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05" windowWidth="9630" windowHeight="1170" tabRatio="909" firstSheet="3" activeTab="4"/>
  </bookViews>
  <sheets>
    <sheet name="Instructions" sheetId="1" r:id="rId1"/>
    <sheet name="inputPrYr" sheetId="2" r:id="rId2"/>
    <sheet name="inputOth" sheetId="43" r:id="rId3"/>
    <sheet name="inputBudSum" sheetId="52" r:id="rId4"/>
    <sheet name="cert" sheetId="3" r:id="rId5"/>
    <sheet name="computation" sheetId="24" r:id="rId6"/>
    <sheet name="mvalloc" sheetId="5" r:id="rId7"/>
    <sheet name="transfers" sheetId="32" r:id="rId8"/>
    <sheet name="TransferStatutes" sheetId="45" r:id="rId9"/>
    <sheet name="debt" sheetId="22" r:id="rId10"/>
    <sheet name="lpform" sheetId="23" r:id="rId11"/>
    <sheet name="Library Grant" sheetId="58" r:id="rId12"/>
    <sheet name="general" sheetId="7" r:id="rId13"/>
    <sheet name="GenDetail" sheetId="9" r:id="rId14"/>
    <sheet name="DebtService" sheetId="57" r:id="rId15"/>
    <sheet name="Library-Rec" sheetId="34" r:id="rId16"/>
    <sheet name="Ind-EBF" sheetId="8" r:id="rId17"/>
    <sheet name="PS Equip-REBF" sheetId="10" r:id="rId18"/>
    <sheet name="St Imp-Refuse" sheetId="14" r:id="rId19"/>
    <sheet name="Golf-911" sheetId="15" r:id="rId20"/>
    <sheet name="Tourism" sheetId="16" r:id="rId21"/>
    <sheet name="levy 7" sheetId="17" state="hidden" r:id="rId22"/>
    <sheet name="Levy 8" sheetId="18" state="hidden" r:id="rId23"/>
    <sheet name="levy9" sheetId="19" state="hidden" r:id="rId24"/>
    <sheet name="levy10" sheetId="53" state="hidden" r:id="rId25"/>
    <sheet name="no levy page21" sheetId="54" state="hidden" r:id="rId26"/>
    <sheet name="levy page11" sheetId="11" state="hidden" r:id="rId27"/>
    <sheet name="levy page12" sheetId="12" state="hidden" r:id="rId28"/>
    <sheet name="levy page13" sheetId="13" state="hidden" r:id="rId29"/>
    <sheet name="Water" sheetId="35" r:id="rId30"/>
    <sheet name="Elec" sheetId="36" r:id="rId31"/>
    <sheet name="Sewer" sheetId="37" r:id="rId32"/>
    <sheet name="SP&amp;R" sheetId="38" r:id="rId33"/>
    <sheet name="CIP Funds" sheetId="39" r:id="rId34"/>
    <sheet name="Agency Funds1" sheetId="40" r:id="rId35"/>
    <sheet name="Agency Funds2" sheetId="41" r:id="rId36"/>
    <sheet name="NonBudD" sheetId="42" state="hidden" r:id="rId37"/>
    <sheet name="NonBudFunds" sheetId="46" r:id="rId38"/>
    <sheet name="summ" sheetId="21" r:id="rId39"/>
    <sheet name="nhood" sheetId="44" r:id="rId40"/>
    <sheet name="ordinance" sheetId="33" r:id="rId41"/>
    <sheet name="Tab A" sheetId="47" r:id="rId42"/>
    <sheet name="Tab B" sheetId="48" r:id="rId43"/>
    <sheet name="Tab C" sheetId="49" r:id="rId44"/>
    <sheet name="Tab D" sheetId="50" r:id="rId45"/>
    <sheet name="Tab E" sheetId="51" r:id="rId46"/>
    <sheet name="Mill Rate Computation" sheetId="55" r:id="rId47"/>
    <sheet name="Helpful Links" sheetId="56" r:id="rId48"/>
    <sheet name="legend" sheetId="25" r:id="rId49"/>
  </sheets>
  <definedNames>
    <definedName name="_xlnm.Print_Area" localSheetId="34">'Agency Funds1'!$A$1:$K$27</definedName>
    <definedName name="_xlnm.Print_Area" localSheetId="35">'Agency Funds2'!$A$1:$K$27</definedName>
    <definedName name="_xlnm.Print_Area" localSheetId="4">cert!$B$1:$G$74</definedName>
    <definedName name="_xlnm.Print_Area" localSheetId="33">'CIP Funds'!$A$1:$K$27</definedName>
    <definedName name="_xlnm.Print_Area" localSheetId="9">debt!$B$1:$M$38</definedName>
    <definedName name="_xlnm.Print_Area" localSheetId="14">DebtService!$B$1:$E$55</definedName>
    <definedName name="_xlnm.Print_Area" localSheetId="30">Elec!$B$1:$E$51</definedName>
    <definedName name="_xlnm.Print_Area" localSheetId="12">general!$B$1:$E$104</definedName>
    <definedName name="_xlnm.Print_Area" localSheetId="19">'Golf-911'!$B$1:$E$61</definedName>
    <definedName name="_xlnm.Print_Area" localSheetId="16">'Ind-EBF'!$B$1:$E$87</definedName>
    <definedName name="_xlnm.Print_Area" localSheetId="1">inputPrYr!$A$1:$E$128</definedName>
    <definedName name="_xlnm.Print_Area" localSheetId="26">'levy page11'!$A$1:$E$82</definedName>
    <definedName name="_xlnm.Print_Area" localSheetId="27">'levy page12'!$A$1:$E$82</definedName>
    <definedName name="_xlnm.Print_Area" localSheetId="28">'levy page13'!$A$1:$E$82</definedName>
    <definedName name="_xlnm.Print_Area" localSheetId="11">'Library Grant'!$A$1:$J$40</definedName>
    <definedName name="_xlnm.Print_Area" localSheetId="15">'Library-Rec'!$B$1:$E$77</definedName>
    <definedName name="_xlnm.Print_Area" localSheetId="10">lpform!$B$1:$I$24</definedName>
    <definedName name="_xlnm.Print_Area" localSheetId="46">'Mill Rate Computation'!$B$1:$W$147</definedName>
    <definedName name="_xlnm.Print_Area" localSheetId="6">mvalloc!$B$1:$G$31</definedName>
    <definedName name="_xlnm.Print_Area" localSheetId="17">'PS Equip-REBF'!$B$1:$E$75</definedName>
    <definedName name="_xlnm.Print_Area" localSheetId="31">Sewer!$B$1:$E$35</definedName>
    <definedName name="_xlnm.Print_Area" localSheetId="32">'SP&amp;R'!$B$1:$E$43</definedName>
    <definedName name="_xlnm.Print_Area" localSheetId="18">'St Imp-Refuse'!$B$1:$E$59</definedName>
    <definedName name="_xlnm.Print_Area" localSheetId="38">summ!$A$1:$H$73</definedName>
    <definedName name="_xlnm.Print_Area" localSheetId="20">Tourism!$B$1:$E$64</definedName>
    <definedName name="_xlnm.Print_Area" localSheetId="7">transfers!$A$1:$F$28</definedName>
    <definedName name="_xlnm.Print_Area" localSheetId="29">Water!$B$1:$E$44</definedName>
  </definedNames>
  <calcPr calcId="145621"/>
</workbook>
</file>

<file path=xl/calcChain.xml><?xml version="1.0" encoding="utf-8"?>
<calcChain xmlns="http://schemas.openxmlformats.org/spreadsheetml/2006/main">
  <c r="J68" i="21" l="1"/>
  <c r="J69" i="21" s="1"/>
  <c r="H34" i="36"/>
  <c r="G34" i="36"/>
  <c r="H22" i="36"/>
  <c r="G22" i="36"/>
  <c r="G22" i="35"/>
  <c r="C34" i="36"/>
  <c r="C9" i="8"/>
  <c r="C23" i="34"/>
  <c r="E39" i="7"/>
  <c r="D39" i="7"/>
  <c r="I5" i="40"/>
  <c r="J10" i="22"/>
  <c r="J18" i="22" s="1"/>
  <c r="J38" i="22" s="1"/>
  <c r="L11" i="22"/>
  <c r="J11" i="22"/>
  <c r="I2" i="21"/>
  <c r="J61" i="21" s="1"/>
  <c r="C20" i="5"/>
  <c r="D57" i="2"/>
  <c r="J69" i="13"/>
  <c r="J68" i="13"/>
  <c r="J29" i="13"/>
  <c r="J28" i="13"/>
  <c r="J29" i="12"/>
  <c r="J28" i="12"/>
  <c r="J29" i="11"/>
  <c r="J28" i="11"/>
  <c r="J26" i="10"/>
  <c r="J25" i="10"/>
  <c r="J30" i="8"/>
  <c r="J29" i="8"/>
  <c r="C20" i="44"/>
  <c r="G33" i="2"/>
  <c r="D47" i="34" s="1"/>
  <c r="D57" i="34" s="1"/>
  <c r="D56" i="34" s="1"/>
  <c r="G30" i="2"/>
  <c r="D47" i="13"/>
  <c r="D60" i="13" s="1"/>
  <c r="D59" i="13" s="1"/>
  <c r="G29" i="2"/>
  <c r="D8" i="13"/>
  <c r="D20" i="13" s="1"/>
  <c r="D19" i="13" s="1"/>
  <c r="G28" i="2"/>
  <c r="D47" i="12" s="1"/>
  <c r="D60" i="12"/>
  <c r="D59" i="12" s="1"/>
  <c r="G27" i="2"/>
  <c r="D8" i="12"/>
  <c r="D20" i="12"/>
  <c r="D19" i="12"/>
  <c r="G26" i="2"/>
  <c r="D47" i="11" s="1"/>
  <c r="D60" i="11"/>
  <c r="D59" i="11"/>
  <c r="G25" i="2"/>
  <c r="D8" i="11"/>
  <c r="D20" i="11"/>
  <c r="D19" i="11" s="1"/>
  <c r="G24" i="2"/>
  <c r="D44" i="10" s="1"/>
  <c r="D53" i="10" s="1"/>
  <c r="D52" i="10" s="1"/>
  <c r="G23" i="2"/>
  <c r="D8" i="10" s="1"/>
  <c r="D17" i="10" s="1"/>
  <c r="D16" i="10"/>
  <c r="G22" i="2"/>
  <c r="D50" i="8" s="1"/>
  <c r="D65" i="8" s="1"/>
  <c r="D64" i="8" s="1"/>
  <c r="G21" i="2"/>
  <c r="D8" i="8" s="1"/>
  <c r="D20" i="8" s="1"/>
  <c r="D19" i="8"/>
  <c r="G19" i="2"/>
  <c r="D8" i="34" s="1"/>
  <c r="G18" i="2"/>
  <c r="D8" i="57"/>
  <c r="D20" i="57"/>
  <c r="D19" i="57" s="1"/>
  <c r="G17" i="2"/>
  <c r="D9" i="7"/>
  <c r="D41" i="7"/>
  <c r="D40" i="7" s="1"/>
  <c r="D48" i="3"/>
  <c r="D47" i="3"/>
  <c r="D46" i="3"/>
  <c r="D45" i="3"/>
  <c r="D44" i="3"/>
  <c r="B48" i="3"/>
  <c r="B47" i="3"/>
  <c r="B46" i="3"/>
  <c r="B45" i="3"/>
  <c r="B44" i="3"/>
  <c r="D32" i="54"/>
  <c r="D63" i="53"/>
  <c r="D32" i="53"/>
  <c r="D33" i="53" s="1"/>
  <c r="D54" i="19"/>
  <c r="D55" i="19" s="1"/>
  <c r="C63" i="54"/>
  <c r="C32" i="54"/>
  <c r="C33" i="54"/>
  <c r="C63" i="53"/>
  <c r="C32" i="53"/>
  <c r="C54" i="19"/>
  <c r="B38" i="54"/>
  <c r="B5" i="54"/>
  <c r="B38" i="53"/>
  <c r="B5" i="53"/>
  <c r="B29" i="19"/>
  <c r="D75" i="11"/>
  <c r="C33" i="34"/>
  <c r="D33" i="34"/>
  <c r="D89" i="34" s="1"/>
  <c r="D52" i="57"/>
  <c r="D48" i="57"/>
  <c r="C48" i="57"/>
  <c r="C62" i="57" s="1"/>
  <c r="G16" i="58"/>
  <c r="B5" i="34"/>
  <c r="B19" i="58"/>
  <c r="B18" i="58"/>
  <c r="B17" i="58"/>
  <c r="B16" i="58"/>
  <c r="B15" i="58"/>
  <c r="E17" i="21"/>
  <c r="C17" i="21"/>
  <c r="I1" i="3"/>
  <c r="C72" i="3"/>
  <c r="C9" i="5"/>
  <c r="B9" i="5"/>
  <c r="B18" i="3"/>
  <c r="D18" i="3"/>
  <c r="D21" i="3"/>
  <c r="D22" i="3"/>
  <c r="C22" i="3"/>
  <c r="B22" i="3"/>
  <c r="B1" i="57"/>
  <c r="A71" i="21"/>
  <c r="A70" i="21"/>
  <c r="A17" i="21"/>
  <c r="E1" i="57"/>
  <c r="H57" i="57" s="1"/>
  <c r="D20" i="3"/>
  <c r="J148" i="55"/>
  <c r="H134" i="55"/>
  <c r="C137" i="55" s="1"/>
  <c r="J137" i="55" s="1"/>
  <c r="H120" i="55"/>
  <c r="C123" i="55" s="1"/>
  <c r="H114" i="55"/>
  <c r="F117" i="55"/>
  <c r="H117" i="55" s="1"/>
  <c r="F123" i="55" s="1"/>
  <c r="H100" i="55"/>
  <c r="C103" i="55"/>
  <c r="H97" i="55"/>
  <c r="F103" i="55" s="1"/>
  <c r="J103" i="55" s="1"/>
  <c r="H94" i="55"/>
  <c r="F97" i="55"/>
  <c r="H80" i="55"/>
  <c r="C83" i="55" s="1"/>
  <c r="H74" i="55"/>
  <c r="F77" i="55"/>
  <c r="H77" i="55"/>
  <c r="F83" i="55" s="1"/>
  <c r="J83" i="55" s="1"/>
  <c r="H48" i="55"/>
  <c r="F50" i="55" s="1"/>
  <c r="J50" i="55" s="1"/>
  <c r="H41" i="55"/>
  <c r="B28" i="55"/>
  <c r="H28" i="55"/>
  <c r="H25" i="55"/>
  <c r="C25" i="55"/>
  <c r="D8" i="44"/>
  <c r="E8" i="44"/>
  <c r="E28" i="34"/>
  <c r="E31" i="34" s="1"/>
  <c r="E22" i="3" s="1"/>
  <c r="B8" i="44"/>
  <c r="E19" i="58"/>
  <c r="E18" i="58"/>
  <c r="E17" i="58"/>
  <c r="E16" i="58"/>
  <c r="G14" i="58"/>
  <c r="E14" i="58"/>
  <c r="B47" i="58" s="1"/>
  <c r="B8" i="58"/>
  <c r="B7" i="58"/>
  <c r="B5" i="58"/>
  <c r="B5" i="57"/>
  <c r="D46" i="57"/>
  <c r="C46" i="57"/>
  <c r="C45" i="57" s="1"/>
  <c r="C20" i="57"/>
  <c r="C21" i="57" s="1"/>
  <c r="C47" i="57" s="1"/>
  <c r="C19" i="57"/>
  <c r="A7" i="21"/>
  <c r="A5" i="21"/>
  <c r="G20" i="52"/>
  <c r="G21" i="52"/>
  <c r="G19" i="52" s="1"/>
  <c r="A25" i="43"/>
  <c r="A65" i="43"/>
  <c r="B88" i="2"/>
  <c r="C75" i="13"/>
  <c r="C96" i="13"/>
  <c r="C35" i="13"/>
  <c r="C75" i="12"/>
  <c r="C96" i="12" s="1"/>
  <c r="D75" i="12"/>
  <c r="D96" i="12" s="1"/>
  <c r="C35" i="12"/>
  <c r="C75" i="11"/>
  <c r="C96" i="11"/>
  <c r="B77" i="11" s="1"/>
  <c r="C35" i="11"/>
  <c r="D35" i="11"/>
  <c r="D94" i="11"/>
  <c r="C68" i="10"/>
  <c r="C89" i="10"/>
  <c r="C32" i="10"/>
  <c r="C80" i="8"/>
  <c r="C102" i="8" s="1"/>
  <c r="C36" i="8"/>
  <c r="C100" i="8" s="1"/>
  <c r="B38" i="8" s="1"/>
  <c r="D58" i="3"/>
  <c r="E53" i="21"/>
  <c r="G79" i="34" s="1"/>
  <c r="C53" i="21"/>
  <c r="D68" i="34"/>
  <c r="C68" i="34"/>
  <c r="G73" i="34"/>
  <c r="C57" i="34"/>
  <c r="C56" i="34" s="1"/>
  <c r="D31" i="34"/>
  <c r="C31" i="34"/>
  <c r="B17" i="21" s="1"/>
  <c r="C19" i="34"/>
  <c r="C20" i="34" s="1"/>
  <c r="C32" i="34" s="1"/>
  <c r="A53" i="21"/>
  <c r="B58" i="3"/>
  <c r="C70" i="34"/>
  <c r="C91" i="34" s="1"/>
  <c r="D70" i="34"/>
  <c r="D19" i="44"/>
  <c r="E19" i="44"/>
  <c r="E65" i="34"/>
  <c r="E68" i="34" s="1"/>
  <c r="B19" i="44"/>
  <c r="B20" i="5"/>
  <c r="B1" i="34"/>
  <c r="E1" i="34"/>
  <c r="H36" i="34" s="1"/>
  <c r="D37" i="43"/>
  <c r="A36" i="43"/>
  <c r="B99" i="2"/>
  <c r="D100" i="2"/>
  <c r="A76" i="43"/>
  <c r="A32" i="2"/>
  <c r="D35" i="13"/>
  <c r="D94" i="13" s="1"/>
  <c r="D75" i="13"/>
  <c r="D96" i="13"/>
  <c r="B77" i="13"/>
  <c r="D35" i="12"/>
  <c r="D94" i="12" s="1"/>
  <c r="D68" i="10"/>
  <c r="D89" i="10" s="1"/>
  <c r="D32" i="10"/>
  <c r="D87" i="10" s="1"/>
  <c r="D36" i="8"/>
  <c r="D100" i="8" s="1"/>
  <c r="D80" i="8"/>
  <c r="D102" i="8" s="1"/>
  <c r="C97" i="7"/>
  <c r="D97" i="7"/>
  <c r="D79" i="12"/>
  <c r="D39" i="12"/>
  <c r="D39" i="11"/>
  <c r="D79" i="11"/>
  <c r="D72" i="10"/>
  <c r="D36" i="10"/>
  <c r="D84" i="8"/>
  <c r="D40" i="8"/>
  <c r="D37" i="34"/>
  <c r="D74" i="34"/>
  <c r="D101" i="7"/>
  <c r="D39" i="13"/>
  <c r="D96" i="11"/>
  <c r="D79" i="13"/>
  <c r="A42" i="21"/>
  <c r="A41" i="21"/>
  <c r="A40" i="21"/>
  <c r="A39" i="21"/>
  <c r="D63" i="54"/>
  <c r="E61" i="54"/>
  <c r="F43" i="21"/>
  <c r="D61" i="54"/>
  <c r="C61" i="54"/>
  <c r="C60" i="54"/>
  <c r="E48" i="54"/>
  <c r="E47" i="54" s="1"/>
  <c r="D48" i="54"/>
  <c r="C48" i="54"/>
  <c r="C49" i="54"/>
  <c r="D47" i="54"/>
  <c r="E30" i="54"/>
  <c r="F42" i="21"/>
  <c r="D30" i="54"/>
  <c r="C30" i="54"/>
  <c r="B42" i="21"/>
  <c r="E17" i="54"/>
  <c r="E16" i="54" s="1"/>
  <c r="D17" i="54"/>
  <c r="C17" i="54"/>
  <c r="D16" i="54"/>
  <c r="E1" i="54"/>
  <c r="D5" i="54" s="1"/>
  <c r="D38" i="54"/>
  <c r="B1" i="54"/>
  <c r="E61" i="53"/>
  <c r="E46" i="3" s="1"/>
  <c r="D61" i="53"/>
  <c r="D64" i="53" s="1"/>
  <c r="C61" i="53"/>
  <c r="B41" i="21" s="1"/>
  <c r="E48" i="53"/>
  <c r="E47" i="53" s="1"/>
  <c r="D48" i="53"/>
  <c r="D47" i="53" s="1"/>
  <c r="C48" i="53"/>
  <c r="C49" i="53" s="1"/>
  <c r="C47" i="53"/>
  <c r="E30" i="53"/>
  <c r="D30" i="53"/>
  <c r="C30" i="53"/>
  <c r="E17" i="53"/>
  <c r="E16" i="53"/>
  <c r="D17" i="53"/>
  <c r="D16" i="53" s="1"/>
  <c r="C17" i="53"/>
  <c r="C18" i="53"/>
  <c r="E1" i="53"/>
  <c r="D5" i="53" s="1"/>
  <c r="D38" i="53"/>
  <c r="B1" i="53"/>
  <c r="A92" i="43"/>
  <c r="A91" i="43"/>
  <c r="A90" i="43"/>
  <c r="A89" i="43"/>
  <c r="A88" i="43"/>
  <c r="A34" i="48"/>
  <c r="A77" i="47"/>
  <c r="A74" i="47"/>
  <c r="A33" i="47"/>
  <c r="A28" i="47"/>
  <c r="A25" i="47"/>
  <c r="A16" i="47"/>
  <c r="A6" i="47"/>
  <c r="A33" i="48"/>
  <c r="A6" i="48"/>
  <c r="A38" i="49"/>
  <c r="A33" i="49"/>
  <c r="A19" i="49"/>
  <c r="A6" i="49"/>
  <c r="A46" i="50"/>
  <c r="A41" i="50"/>
  <c r="A6" i="50"/>
  <c r="A8" i="51"/>
  <c r="B65" i="7"/>
  <c r="B66" i="7"/>
  <c r="B67" i="7"/>
  <c r="B64" i="7"/>
  <c r="B63" i="7"/>
  <c r="B62" i="7"/>
  <c r="B61" i="7"/>
  <c r="B60" i="7"/>
  <c r="D115" i="9"/>
  <c r="E67" i="7" s="1"/>
  <c r="C115" i="9"/>
  <c r="D67" i="7"/>
  <c r="B115" i="9"/>
  <c r="D109" i="9"/>
  <c r="E66" i="7"/>
  <c r="C109" i="9"/>
  <c r="D66" i="7" s="1"/>
  <c r="B109" i="9"/>
  <c r="C66" i="7"/>
  <c r="D103" i="9"/>
  <c r="E65" i="7" s="1"/>
  <c r="C103" i="9"/>
  <c r="D65" i="7"/>
  <c r="B103" i="9"/>
  <c r="C65" i="7" s="1"/>
  <c r="D97" i="9"/>
  <c r="E64" i="7"/>
  <c r="C97" i="9"/>
  <c r="B97" i="9"/>
  <c r="C64" i="7"/>
  <c r="D90" i="9"/>
  <c r="E63" i="7" s="1"/>
  <c r="C90" i="9"/>
  <c r="D63" i="7"/>
  <c r="B90" i="9"/>
  <c r="C63" i="7" s="1"/>
  <c r="D84" i="9"/>
  <c r="E62" i="7"/>
  <c r="C84" i="9"/>
  <c r="D62" i="7" s="1"/>
  <c r="B84" i="9"/>
  <c r="C62" i="7"/>
  <c r="D77" i="9"/>
  <c r="C77" i="9"/>
  <c r="D61" i="7"/>
  <c r="B77" i="9"/>
  <c r="C61" i="7" s="1"/>
  <c r="D71" i="9"/>
  <c r="E60" i="7"/>
  <c r="C71" i="9"/>
  <c r="D60" i="7" s="1"/>
  <c r="B71" i="9"/>
  <c r="C60" i="7"/>
  <c r="D23" i="44"/>
  <c r="D25" i="44" s="1"/>
  <c r="E31" i="2"/>
  <c r="A103" i="2"/>
  <c r="A102" i="2"/>
  <c r="D84" i="2"/>
  <c r="C29" i="14"/>
  <c r="C16" i="14"/>
  <c r="D29" i="14"/>
  <c r="E29" i="14"/>
  <c r="E33" i="3"/>
  <c r="C31" i="14"/>
  <c r="C32" i="14" s="1"/>
  <c r="D31" i="14"/>
  <c r="C53" i="14"/>
  <c r="B29" i="21"/>
  <c r="D53" i="14"/>
  <c r="E53" i="14"/>
  <c r="C55" i="14"/>
  <c r="D55" i="14"/>
  <c r="C32" i="15"/>
  <c r="C31" i="15" s="1"/>
  <c r="D32" i="15"/>
  <c r="E32" i="15"/>
  <c r="F30" i="21" s="1"/>
  <c r="C34" i="15"/>
  <c r="D34" i="15"/>
  <c r="C55" i="15"/>
  <c r="D55" i="15"/>
  <c r="D31" i="21" s="1"/>
  <c r="E55" i="15"/>
  <c r="C57" i="15"/>
  <c r="D57" i="15"/>
  <c r="C34" i="16"/>
  <c r="B32" i="21"/>
  <c r="D34" i="16"/>
  <c r="D32" i="21" s="1"/>
  <c r="E34" i="16"/>
  <c r="E33" i="16"/>
  <c r="C36" i="16"/>
  <c r="D36" i="16"/>
  <c r="C58" i="16"/>
  <c r="D58" i="16"/>
  <c r="E58" i="16"/>
  <c r="E38" i="3" s="1"/>
  <c r="C60" i="16"/>
  <c r="D60" i="16"/>
  <c r="D61" i="16" s="1"/>
  <c r="C23" i="17"/>
  <c r="D23" i="17"/>
  <c r="D34" i="21"/>
  <c r="E23" i="17"/>
  <c r="C25" i="17"/>
  <c r="D25" i="17"/>
  <c r="C54" i="17"/>
  <c r="C57" i="17" s="1"/>
  <c r="D54" i="17"/>
  <c r="E54" i="17"/>
  <c r="C56" i="17"/>
  <c r="D56" i="17"/>
  <c r="C23" i="18"/>
  <c r="B36" i="21" s="1"/>
  <c r="D23" i="18"/>
  <c r="D22" i="18" s="1"/>
  <c r="E23" i="18"/>
  <c r="E22" i="18" s="1"/>
  <c r="D25" i="18"/>
  <c r="D26" i="18" s="1"/>
  <c r="C25" i="18"/>
  <c r="C26" i="18" s="1"/>
  <c r="C47" i="18"/>
  <c r="C46" i="18" s="1"/>
  <c r="D47" i="18"/>
  <c r="D37" i="21"/>
  <c r="E47" i="18"/>
  <c r="E46" i="18" s="1"/>
  <c r="C49" i="18"/>
  <c r="D49" i="18"/>
  <c r="C21" i="19"/>
  <c r="D21" i="19"/>
  <c r="D20" i="19"/>
  <c r="E21" i="19"/>
  <c r="D23" i="19"/>
  <c r="C23" i="19"/>
  <c r="C52" i="19"/>
  <c r="B39" i="21"/>
  <c r="D52" i="19"/>
  <c r="D39" i="21" s="1"/>
  <c r="E52" i="19"/>
  <c r="C38" i="35"/>
  <c r="B44" i="21"/>
  <c r="D38" i="35"/>
  <c r="D44" i="21" s="1"/>
  <c r="E38" i="35"/>
  <c r="E37" i="35"/>
  <c r="D40" i="35"/>
  <c r="C40" i="35"/>
  <c r="C45" i="36"/>
  <c r="B45" i="21"/>
  <c r="D45" i="36"/>
  <c r="E45" i="36"/>
  <c r="C47" i="36"/>
  <c r="D47" i="36"/>
  <c r="D48" i="36" s="1"/>
  <c r="C29" i="37"/>
  <c r="B46" i="21" s="1"/>
  <c r="D29" i="37"/>
  <c r="E29" i="37"/>
  <c r="E28" i="37" s="1"/>
  <c r="D31" i="37"/>
  <c r="C31" i="37"/>
  <c r="C32" i="37" s="1"/>
  <c r="C37" i="38"/>
  <c r="D37" i="38"/>
  <c r="D36" i="38" s="1"/>
  <c r="E37" i="38"/>
  <c r="D39" i="38"/>
  <c r="C39" i="38"/>
  <c r="D56" i="9"/>
  <c r="E59" i="7"/>
  <c r="D49" i="9"/>
  <c r="E58" i="7" s="1"/>
  <c r="D42" i="9"/>
  <c r="E57" i="7"/>
  <c r="D36" i="9"/>
  <c r="E56" i="7" s="1"/>
  <c r="D30" i="9"/>
  <c r="E55" i="7" s="1"/>
  <c r="D24" i="9"/>
  <c r="E54" i="7" s="1"/>
  <c r="C56" i="9"/>
  <c r="D59" i="7" s="1"/>
  <c r="C49" i="9"/>
  <c r="D58" i="7" s="1"/>
  <c r="C42" i="9"/>
  <c r="D57" i="7"/>
  <c r="C36" i="9"/>
  <c r="D56" i="7" s="1"/>
  <c r="C30" i="9"/>
  <c r="D55" i="7"/>
  <c r="C24" i="9"/>
  <c r="D54" i="7" s="1"/>
  <c r="D18" i="9"/>
  <c r="E53" i="7" s="1"/>
  <c r="C12" i="9"/>
  <c r="D52" i="7" s="1"/>
  <c r="C18" i="9"/>
  <c r="D53" i="7"/>
  <c r="B56" i="9"/>
  <c r="C59" i="7" s="1"/>
  <c r="B49" i="9"/>
  <c r="C58" i="7"/>
  <c r="B42" i="9"/>
  <c r="C57" i="7" s="1"/>
  <c r="B36" i="9"/>
  <c r="C56" i="7"/>
  <c r="B30" i="9"/>
  <c r="C55" i="7" s="1"/>
  <c r="B24" i="9"/>
  <c r="B18" i="9"/>
  <c r="C53" i="7" s="1"/>
  <c r="D12" i="9"/>
  <c r="E52" i="7" s="1"/>
  <c r="B12" i="9"/>
  <c r="B58" i="7"/>
  <c r="B59" i="7"/>
  <c r="B57" i="7"/>
  <c r="B56" i="7"/>
  <c r="B55" i="7"/>
  <c r="B54" i="7"/>
  <c r="B53" i="7"/>
  <c r="B52" i="7"/>
  <c r="J6" i="24"/>
  <c r="D33" i="11"/>
  <c r="D22" i="21" s="1"/>
  <c r="D30" i="10"/>
  <c r="D66" i="10"/>
  <c r="D65" i="10"/>
  <c r="D34" i="8"/>
  <c r="D78" i="8"/>
  <c r="C7" i="5"/>
  <c r="C8" i="5"/>
  <c r="C10" i="5"/>
  <c r="C11" i="5"/>
  <c r="C12" i="5"/>
  <c r="C13" i="5"/>
  <c r="C14" i="5"/>
  <c r="C15" i="5"/>
  <c r="C16" i="5"/>
  <c r="C17" i="5"/>
  <c r="C18" i="5"/>
  <c r="C19" i="5"/>
  <c r="C73" i="13"/>
  <c r="C72" i="13" s="1"/>
  <c r="G78" i="13"/>
  <c r="C60" i="13"/>
  <c r="C61" i="13" s="1"/>
  <c r="C74" i="13" s="1"/>
  <c r="D73" i="13"/>
  <c r="D72" i="13" s="1"/>
  <c r="C33" i="13"/>
  <c r="C94" i="13"/>
  <c r="C20" i="13"/>
  <c r="C21" i="13" s="1"/>
  <c r="C34" i="13" s="1"/>
  <c r="D33" i="13"/>
  <c r="D32" i="13"/>
  <c r="C73" i="12"/>
  <c r="B25" i="21" s="1"/>
  <c r="C60" i="12"/>
  <c r="C61" i="12" s="1"/>
  <c r="C74" i="12" s="1"/>
  <c r="D73" i="12"/>
  <c r="C33" i="12"/>
  <c r="G38" i="12" s="1"/>
  <c r="C20" i="12"/>
  <c r="C19" i="12" s="1"/>
  <c r="D33" i="12"/>
  <c r="C73" i="11"/>
  <c r="G78" i="11"/>
  <c r="C60" i="11"/>
  <c r="C61" i="11" s="1"/>
  <c r="C74" i="11" s="1"/>
  <c r="D45" i="11" s="1"/>
  <c r="D61" i="11" s="1"/>
  <c r="D73" i="11"/>
  <c r="C33" i="11"/>
  <c r="C20" i="11"/>
  <c r="C21" i="11"/>
  <c r="C66" i="10"/>
  <c r="G71" i="10" s="1"/>
  <c r="C53" i="10"/>
  <c r="C54" i="10"/>
  <c r="C67" i="10" s="1"/>
  <c r="C30" i="10"/>
  <c r="C17" i="10"/>
  <c r="C18" i="10"/>
  <c r="C78" i="8"/>
  <c r="B19" i="21" s="1"/>
  <c r="G83" i="8"/>
  <c r="C65" i="8"/>
  <c r="C34" i="8"/>
  <c r="G39" i="8"/>
  <c r="C20" i="8"/>
  <c r="C41" i="7"/>
  <c r="E1" i="13"/>
  <c r="B75" i="13"/>
  <c r="E1" i="12"/>
  <c r="H39" i="12" s="1"/>
  <c r="E1" i="11"/>
  <c r="H86" i="11" s="1"/>
  <c r="E1" i="10"/>
  <c r="H79" i="10" s="1"/>
  <c r="E1" i="8"/>
  <c r="H91" i="8"/>
  <c r="E1" i="7"/>
  <c r="H107" i="7" s="1"/>
  <c r="E1" i="14"/>
  <c r="C5" i="14" s="1"/>
  <c r="C37" i="14" s="1"/>
  <c r="D5" i="14"/>
  <c r="D37" i="14" s="1"/>
  <c r="E1" i="15"/>
  <c r="E5" i="15"/>
  <c r="E40" i="15"/>
  <c r="E1" i="16"/>
  <c r="D5" i="16" s="1"/>
  <c r="D42" i="16"/>
  <c r="E1" i="17"/>
  <c r="E1" i="18"/>
  <c r="D5" i="18" s="1"/>
  <c r="D31" i="18"/>
  <c r="E1" i="19"/>
  <c r="B54" i="19" s="1"/>
  <c r="E1" i="37"/>
  <c r="B31" i="37"/>
  <c r="E1" i="38"/>
  <c r="F1" i="44"/>
  <c r="C5" i="44"/>
  <c r="E15" i="2"/>
  <c r="G16" i="2" s="1"/>
  <c r="D15" i="2"/>
  <c r="A57" i="2"/>
  <c r="J28" i="42"/>
  <c r="J17" i="42"/>
  <c r="J18" i="42" s="1"/>
  <c r="J29" i="42" s="1"/>
  <c r="J30" i="42" s="1"/>
  <c r="H28" i="42"/>
  <c r="H17" i="42"/>
  <c r="H18" i="42"/>
  <c r="H29" i="42" s="1"/>
  <c r="F28" i="42"/>
  <c r="F17" i="42"/>
  <c r="F18" i="42"/>
  <c r="F29" i="42" s="1"/>
  <c r="D28" i="42"/>
  <c r="D17" i="42"/>
  <c r="B28" i="42"/>
  <c r="B17" i="42"/>
  <c r="J22" i="41"/>
  <c r="J14" i="41"/>
  <c r="J15" i="41" s="1"/>
  <c r="H22" i="41"/>
  <c r="H14" i="41"/>
  <c r="H15" i="41" s="1"/>
  <c r="H23" i="41" s="1"/>
  <c r="F22" i="41"/>
  <c r="F23" i="41" s="1"/>
  <c r="F24" i="41" s="1"/>
  <c r="F14" i="41"/>
  <c r="F15" i="41" s="1"/>
  <c r="D22" i="41"/>
  <c r="D14" i="41"/>
  <c r="B22" i="41"/>
  <c r="B14" i="41"/>
  <c r="B15" i="41"/>
  <c r="J22" i="40"/>
  <c r="J23" i="40" s="1"/>
  <c r="J24" i="40" s="1"/>
  <c r="J14" i="40"/>
  <c r="J15" i="40"/>
  <c r="H22" i="40"/>
  <c r="H14" i="40"/>
  <c r="H15" i="40" s="1"/>
  <c r="H23" i="40" s="1"/>
  <c r="H24" i="40" s="1"/>
  <c r="F14" i="40"/>
  <c r="F15" i="40" s="1"/>
  <c r="F22" i="40"/>
  <c r="D14" i="40"/>
  <c r="D15" i="40" s="1"/>
  <c r="D23" i="40" s="1"/>
  <c r="D22" i="40"/>
  <c r="B14" i="40"/>
  <c r="B22" i="40"/>
  <c r="J14" i="39"/>
  <c r="J15" i="39"/>
  <c r="J23" i="39"/>
  <c r="J24" i="39" s="1"/>
  <c r="J22" i="39"/>
  <c r="H14" i="39"/>
  <c r="H22" i="39"/>
  <c r="H23" i="39" s="1"/>
  <c r="F14" i="39"/>
  <c r="F22" i="39"/>
  <c r="D14" i="39"/>
  <c r="D15" i="39"/>
  <c r="D22" i="39"/>
  <c r="B22" i="39"/>
  <c r="B14" i="39"/>
  <c r="B15" i="39"/>
  <c r="I5" i="42"/>
  <c r="G5" i="42"/>
  <c r="E5" i="42"/>
  <c r="C5" i="42"/>
  <c r="A5" i="42"/>
  <c r="E28" i="24"/>
  <c r="G11" i="24"/>
  <c r="E14" i="24"/>
  <c r="E15" i="24"/>
  <c r="E19" i="24"/>
  <c r="E20" i="24"/>
  <c r="E21" i="24"/>
  <c r="G22" i="24" s="1"/>
  <c r="G24" i="24"/>
  <c r="K1" i="42"/>
  <c r="F2" i="42"/>
  <c r="K1" i="41"/>
  <c r="F2" i="41" s="1"/>
  <c r="K1" i="40"/>
  <c r="F2" i="40"/>
  <c r="K1" i="39"/>
  <c r="F2" i="39" s="1"/>
  <c r="E1" i="43"/>
  <c r="A49" i="43"/>
  <c r="D62" i="3"/>
  <c r="E9" i="14"/>
  <c r="D9" i="14"/>
  <c r="D16" i="14" s="1"/>
  <c r="D15" i="14" s="1"/>
  <c r="D23" i="5"/>
  <c r="E24" i="5"/>
  <c r="F25" i="5"/>
  <c r="E15" i="7"/>
  <c r="E16" i="7"/>
  <c r="E14" i="7"/>
  <c r="D6" i="44"/>
  <c r="E6" i="44"/>
  <c r="D7" i="44"/>
  <c r="D20" i="44" s="1"/>
  <c r="E7" i="44"/>
  <c r="E43" i="57"/>
  <c r="E46" i="57"/>
  <c r="D9" i="44"/>
  <c r="E9" i="44"/>
  <c r="E31" i="8"/>
  <c r="E34" i="8" s="1"/>
  <c r="D10" i="44"/>
  <c r="E10" i="44"/>
  <c r="E75" i="8"/>
  <c r="E78" i="8" s="1"/>
  <c r="D11" i="44"/>
  <c r="E11" i="44"/>
  <c r="D12" i="44"/>
  <c r="E12" i="44"/>
  <c r="E63" i="10"/>
  <c r="E66" i="10"/>
  <c r="E65" i="10" s="1"/>
  <c r="D13" i="44"/>
  <c r="E13" i="44"/>
  <c r="E30" i="11"/>
  <c r="E33" i="11" s="1"/>
  <c r="D14" i="44"/>
  <c r="E14" i="44"/>
  <c r="E70" i="11" s="1"/>
  <c r="E73" i="11" s="1"/>
  <c r="D15" i="44"/>
  <c r="E15" i="44"/>
  <c r="E30" i="12" s="1"/>
  <c r="E33" i="12" s="1"/>
  <c r="D16" i="44"/>
  <c r="E16" i="44"/>
  <c r="E70" i="12" s="1"/>
  <c r="E73" i="12"/>
  <c r="E72" i="12" s="1"/>
  <c r="E77" i="12"/>
  <c r="D18" i="44"/>
  <c r="E18" i="44"/>
  <c r="E70" i="13"/>
  <c r="E73" i="13" s="1"/>
  <c r="D17" i="44"/>
  <c r="E17" i="44"/>
  <c r="E30" i="13"/>
  <c r="E33" i="13"/>
  <c r="E32" i="13" s="1"/>
  <c r="A1" i="44"/>
  <c r="B18" i="44"/>
  <c r="B17" i="44"/>
  <c r="B16" i="44"/>
  <c r="B15" i="44"/>
  <c r="B14" i="44"/>
  <c r="B13" i="44"/>
  <c r="B12" i="44"/>
  <c r="B11" i="44"/>
  <c r="B10" i="44"/>
  <c r="B9" i="44"/>
  <c r="B7" i="44"/>
  <c r="B6" i="44"/>
  <c r="E14" i="18"/>
  <c r="E13" i="18"/>
  <c r="D14" i="18"/>
  <c r="D13" i="18" s="1"/>
  <c r="C14" i="18"/>
  <c r="E45" i="14"/>
  <c r="E44" i="14" s="1"/>
  <c r="D45" i="14"/>
  <c r="D44" i="14" s="1"/>
  <c r="C45" i="14"/>
  <c r="C44" i="14"/>
  <c r="E21" i="38"/>
  <c r="E20" i="38" s="1"/>
  <c r="D21" i="38"/>
  <c r="D20" i="38" s="1"/>
  <c r="C21" i="38"/>
  <c r="C20" i="38" s="1"/>
  <c r="E13" i="37"/>
  <c r="E12" i="37" s="1"/>
  <c r="D13" i="37"/>
  <c r="D12" i="37" s="1"/>
  <c r="C13" i="37"/>
  <c r="C12" i="37"/>
  <c r="E17" i="36"/>
  <c r="E16" i="36" s="1"/>
  <c r="D17" i="36"/>
  <c r="D16" i="36"/>
  <c r="C17" i="36"/>
  <c r="E19" i="35"/>
  <c r="E18" i="35" s="1"/>
  <c r="D19" i="35"/>
  <c r="D18" i="35" s="1"/>
  <c r="C19" i="35"/>
  <c r="C20" i="35"/>
  <c r="C39" i="35" s="1"/>
  <c r="D51" i="19"/>
  <c r="E39" i="19"/>
  <c r="E38" i="19"/>
  <c r="D39" i="19"/>
  <c r="D38" i="19" s="1"/>
  <c r="C39" i="19"/>
  <c r="C38" i="19"/>
  <c r="E13" i="19"/>
  <c r="E12" i="19" s="1"/>
  <c r="D13" i="19"/>
  <c r="D12" i="19" s="1"/>
  <c r="C13" i="19"/>
  <c r="C14" i="19" s="1"/>
  <c r="E39" i="18"/>
  <c r="E38" i="18" s="1"/>
  <c r="D39" i="18"/>
  <c r="D38" i="18" s="1"/>
  <c r="C39" i="18"/>
  <c r="C40" i="18" s="1"/>
  <c r="C38" i="18"/>
  <c r="E53" i="17"/>
  <c r="E41" i="17"/>
  <c r="E40" i="17"/>
  <c r="D41" i="17"/>
  <c r="D40" i="17" s="1"/>
  <c r="C41" i="17"/>
  <c r="C42" i="17" s="1"/>
  <c r="E14" i="17"/>
  <c r="E13" i="17" s="1"/>
  <c r="D14" i="17"/>
  <c r="D13" i="17"/>
  <c r="C14" i="17"/>
  <c r="C15" i="17" s="1"/>
  <c r="E21" i="16"/>
  <c r="E20" i="16"/>
  <c r="D21" i="16"/>
  <c r="D20" i="16" s="1"/>
  <c r="C21" i="16"/>
  <c r="E50" i="16"/>
  <c r="E49" i="16" s="1"/>
  <c r="D50" i="16"/>
  <c r="D49" i="16" s="1"/>
  <c r="C50" i="16"/>
  <c r="C49" i="16" s="1"/>
  <c r="C57" i="16"/>
  <c r="E18" i="15"/>
  <c r="E17" i="15" s="1"/>
  <c r="D18" i="15"/>
  <c r="D17" i="15"/>
  <c r="C18" i="15"/>
  <c r="C17" i="15" s="1"/>
  <c r="E48" i="15"/>
  <c r="E47" i="15"/>
  <c r="D48" i="15"/>
  <c r="D47" i="15" s="1"/>
  <c r="C48" i="15"/>
  <c r="C49" i="15"/>
  <c r="E8" i="14"/>
  <c r="E16" i="14" s="1"/>
  <c r="E15" i="14" s="1"/>
  <c r="D8" i="14"/>
  <c r="C59" i="13"/>
  <c r="C19" i="13"/>
  <c r="C32" i="13"/>
  <c r="C59" i="12"/>
  <c r="C72" i="11"/>
  <c r="C59" i="11"/>
  <c r="C19" i="11"/>
  <c r="C52" i="10"/>
  <c r="D27" i="44"/>
  <c r="D29" i="44" s="1"/>
  <c r="E1" i="35"/>
  <c r="E5" i="35"/>
  <c r="E1" i="36"/>
  <c r="B47" i="36" s="1"/>
  <c r="E5" i="36"/>
  <c r="A96" i="43"/>
  <c r="A95" i="43"/>
  <c r="A94" i="43"/>
  <c r="A93" i="43"/>
  <c r="A87" i="43"/>
  <c r="A86" i="43"/>
  <c r="A85" i="43"/>
  <c r="A84" i="43"/>
  <c r="A83" i="43"/>
  <c r="A82" i="43"/>
  <c r="A81" i="43"/>
  <c r="A80" i="43"/>
  <c r="A79" i="43"/>
  <c r="A78" i="43"/>
  <c r="A77" i="43"/>
  <c r="A75" i="43"/>
  <c r="A74" i="43"/>
  <c r="A73" i="43"/>
  <c r="A72" i="43"/>
  <c r="A71" i="43"/>
  <c r="A70" i="43"/>
  <c r="A69" i="43"/>
  <c r="A68" i="43"/>
  <c r="A67" i="43"/>
  <c r="A66" i="43"/>
  <c r="A64" i="43"/>
  <c r="A63" i="43"/>
  <c r="C27" i="21"/>
  <c r="C26" i="21"/>
  <c r="C25" i="21"/>
  <c r="C24" i="21"/>
  <c r="C23" i="21"/>
  <c r="C52" i="21" s="1"/>
  <c r="C22" i="21"/>
  <c r="C21" i="21"/>
  <c r="C20" i="21"/>
  <c r="C19" i="21"/>
  <c r="C18" i="21"/>
  <c r="G1" i="5"/>
  <c r="C6" i="5" s="1"/>
  <c r="D5" i="5"/>
  <c r="C23" i="32"/>
  <c r="C25" i="32" s="1"/>
  <c r="B55" i="21" s="1"/>
  <c r="B56" i="3"/>
  <c r="B55" i="3"/>
  <c r="B54" i="3"/>
  <c r="B53" i="3"/>
  <c r="A51" i="21"/>
  <c r="A50" i="21"/>
  <c r="A49" i="21"/>
  <c r="A48" i="21"/>
  <c r="M1" i="22"/>
  <c r="D106" i="2"/>
  <c r="E106" i="2"/>
  <c r="A13" i="2"/>
  <c r="A105" i="2"/>
  <c r="K7" i="42"/>
  <c r="A1" i="42"/>
  <c r="A1" i="41"/>
  <c r="A1" i="40"/>
  <c r="A1" i="39"/>
  <c r="B1" i="22"/>
  <c r="J1" i="24"/>
  <c r="B5" i="24" s="1"/>
  <c r="A31" i="2"/>
  <c r="A21" i="33"/>
  <c r="A27" i="33"/>
  <c r="A15" i="33"/>
  <c r="A4" i="33"/>
  <c r="E23" i="32"/>
  <c r="E25" i="32"/>
  <c r="F55" i="21" s="1"/>
  <c r="D23" i="32"/>
  <c r="D25" i="32" s="1"/>
  <c r="D55" i="21" s="1"/>
  <c r="G37" i="22"/>
  <c r="F65" i="21"/>
  <c r="G27" i="22"/>
  <c r="G18" i="22"/>
  <c r="F63" i="21"/>
  <c r="E27" i="21"/>
  <c r="G84" i="13" s="1"/>
  <c r="E26" i="21"/>
  <c r="G44" i="13"/>
  <c r="E25" i="21"/>
  <c r="G84" i="12" s="1"/>
  <c r="E24" i="21"/>
  <c r="G44" i="12"/>
  <c r="E23" i="21"/>
  <c r="G84" i="11" s="1"/>
  <c r="E22" i="21"/>
  <c r="G44" i="11"/>
  <c r="E21" i="21"/>
  <c r="G77" i="10"/>
  <c r="E20" i="21"/>
  <c r="G41" i="10"/>
  <c r="E19" i="21"/>
  <c r="G89" i="8" s="1"/>
  <c r="E18" i="21"/>
  <c r="G47" i="8"/>
  <c r="E16" i="21"/>
  <c r="G57" i="57"/>
  <c r="E15" i="21"/>
  <c r="G106" i="7"/>
  <c r="D56" i="3"/>
  <c r="D55" i="3"/>
  <c r="D54" i="3"/>
  <c r="D53" i="3"/>
  <c r="D52" i="3"/>
  <c r="D51" i="3"/>
  <c r="D50" i="3"/>
  <c r="D49" i="3"/>
  <c r="D59" i="21"/>
  <c r="E27" i="58" s="1"/>
  <c r="F59" i="21"/>
  <c r="A16" i="21"/>
  <c r="C16" i="21"/>
  <c r="A43" i="21"/>
  <c r="A35" i="43"/>
  <c r="A34" i="43"/>
  <c r="A33" i="43"/>
  <c r="A32" i="43"/>
  <c r="A31" i="43"/>
  <c r="A30" i="43"/>
  <c r="A29" i="43"/>
  <c r="A28" i="43"/>
  <c r="A27" i="43"/>
  <c r="A26" i="43"/>
  <c r="C23" i="3"/>
  <c r="C21" i="3"/>
  <c r="B8" i="5"/>
  <c r="B1" i="5"/>
  <c r="F1" i="32"/>
  <c r="D7" i="32"/>
  <c r="A1" i="32"/>
  <c r="M18" i="22"/>
  <c r="M38" i="22" s="1"/>
  <c r="M27" i="22"/>
  <c r="M37" i="22"/>
  <c r="L18" i="22"/>
  <c r="L27" i="22"/>
  <c r="L37" i="22"/>
  <c r="K18" i="22"/>
  <c r="K27" i="22"/>
  <c r="K37" i="22"/>
  <c r="K38" i="22" s="1"/>
  <c r="J27" i="22"/>
  <c r="J37" i="22"/>
  <c r="I1" i="23"/>
  <c r="H9" i="23" s="1"/>
  <c r="D1" i="9"/>
  <c r="D4" i="9" s="1"/>
  <c r="B2" i="3"/>
  <c r="A1" i="43"/>
  <c r="B5" i="35"/>
  <c r="B1" i="35"/>
  <c r="B5" i="36"/>
  <c r="B1" i="36"/>
  <c r="B5" i="37"/>
  <c r="B1" i="37"/>
  <c r="B5" i="38"/>
  <c r="B1" i="38"/>
  <c r="I5" i="41"/>
  <c r="G5" i="41"/>
  <c r="E5" i="41"/>
  <c r="C5" i="41"/>
  <c r="A5" i="41"/>
  <c r="G5" i="40"/>
  <c r="E5" i="40"/>
  <c r="C5" i="40"/>
  <c r="A5" i="40"/>
  <c r="I5" i="39"/>
  <c r="G5" i="39"/>
  <c r="E5" i="39"/>
  <c r="C5" i="39"/>
  <c r="A5" i="39"/>
  <c r="D66" i="21"/>
  <c r="D65" i="21"/>
  <c r="D64" i="21"/>
  <c r="D63" i="21"/>
  <c r="B66" i="21"/>
  <c r="B65" i="21"/>
  <c r="B64" i="21"/>
  <c r="B63" i="21"/>
  <c r="B98" i="2"/>
  <c r="B97" i="2"/>
  <c r="B96" i="2"/>
  <c r="B95" i="2"/>
  <c r="B94" i="2"/>
  <c r="B93" i="2"/>
  <c r="B92" i="2"/>
  <c r="B91" i="2"/>
  <c r="B90" i="2"/>
  <c r="B89" i="2"/>
  <c r="B87" i="2"/>
  <c r="A85" i="2"/>
  <c r="D85" i="2"/>
  <c r="K7" i="41"/>
  <c r="K7" i="40"/>
  <c r="K7" i="39"/>
  <c r="A7" i="33"/>
  <c r="A13" i="33"/>
  <c r="D32" i="3"/>
  <c r="D31" i="3"/>
  <c r="A27" i="21"/>
  <c r="B32" i="3"/>
  <c r="B31" i="3"/>
  <c r="A47" i="21"/>
  <c r="A46" i="21"/>
  <c r="A45" i="21"/>
  <c r="C32" i="3"/>
  <c r="C31" i="3"/>
  <c r="B52" i="3"/>
  <c r="B51" i="3"/>
  <c r="B50" i="3"/>
  <c r="B19" i="5"/>
  <c r="B18" i="5"/>
  <c r="B44" i="13"/>
  <c r="C30" i="3"/>
  <c r="C29" i="3"/>
  <c r="C28" i="3"/>
  <c r="C27" i="3"/>
  <c r="C26" i="3"/>
  <c r="C25" i="3"/>
  <c r="C24" i="3"/>
  <c r="C20" i="3"/>
  <c r="D43" i="3"/>
  <c r="D42" i="3"/>
  <c r="D41" i="3"/>
  <c r="D40" i="3"/>
  <c r="D39" i="3"/>
  <c r="D38" i="3"/>
  <c r="D37" i="3"/>
  <c r="D36" i="3"/>
  <c r="D35" i="3"/>
  <c r="D34" i="3"/>
  <c r="D33" i="3"/>
  <c r="D30" i="3"/>
  <c r="D29" i="3"/>
  <c r="D28" i="3"/>
  <c r="D27" i="3"/>
  <c r="D26" i="3"/>
  <c r="D25" i="3"/>
  <c r="D24" i="3"/>
  <c r="D23" i="3"/>
  <c r="B49" i="3"/>
  <c r="B43" i="3"/>
  <c r="B42" i="3"/>
  <c r="B41" i="3"/>
  <c r="B40" i="3"/>
  <c r="B39" i="3"/>
  <c r="B38" i="3"/>
  <c r="B37" i="3"/>
  <c r="B36" i="3"/>
  <c r="B35" i="3"/>
  <c r="B34" i="3"/>
  <c r="B33" i="3"/>
  <c r="B30" i="3"/>
  <c r="B29" i="3"/>
  <c r="B28" i="3"/>
  <c r="B27" i="3"/>
  <c r="B26" i="3"/>
  <c r="B25" i="3"/>
  <c r="B24" i="3"/>
  <c r="B23" i="3"/>
  <c r="D61" i="3"/>
  <c r="B4" i="3"/>
  <c r="E40" i="3"/>
  <c r="C1" i="24"/>
  <c r="A1" i="9"/>
  <c r="A61" i="9" s="1"/>
  <c r="B49" i="7"/>
  <c r="B45" i="7"/>
  <c r="B6" i="7"/>
  <c r="B1" i="7"/>
  <c r="B86" i="2"/>
  <c r="B1" i="23"/>
  <c r="I24" i="23"/>
  <c r="H24" i="23"/>
  <c r="G24" i="23"/>
  <c r="F66" i="21"/>
  <c r="B17" i="5"/>
  <c r="B16" i="5"/>
  <c r="B15" i="5"/>
  <c r="B14" i="5"/>
  <c r="B13" i="5"/>
  <c r="B12" i="5"/>
  <c r="B11" i="5"/>
  <c r="B10" i="5"/>
  <c r="B7" i="5"/>
  <c r="B44" i="12"/>
  <c r="B5" i="12"/>
  <c r="B1" i="12"/>
  <c r="B5" i="13"/>
  <c r="B1" i="13"/>
  <c r="B40" i="15"/>
  <c r="B5" i="15"/>
  <c r="B1" i="15"/>
  <c r="B42" i="16"/>
  <c r="B5" i="16"/>
  <c r="B1" i="16"/>
  <c r="B31" i="17"/>
  <c r="B5" i="17"/>
  <c r="B1" i="17"/>
  <c r="B31" i="18"/>
  <c r="B5" i="18"/>
  <c r="B1" i="18"/>
  <c r="B5" i="19"/>
  <c r="B1" i="19"/>
  <c r="B5" i="8"/>
  <c r="B47" i="8"/>
  <c r="B1" i="8"/>
  <c r="B41" i="10"/>
  <c r="B5" i="10"/>
  <c r="B1" i="10"/>
  <c r="B44" i="11"/>
  <c r="B5" i="11"/>
  <c r="B1" i="11"/>
  <c r="B37" i="14"/>
  <c r="B5" i="14"/>
  <c r="B1" i="14"/>
  <c r="A44" i="21"/>
  <c r="A38" i="21"/>
  <c r="A37" i="21"/>
  <c r="A36" i="21"/>
  <c r="A35" i="21"/>
  <c r="A34" i="21"/>
  <c r="A33" i="21"/>
  <c r="A32" i="21"/>
  <c r="A31" i="21"/>
  <c r="A30" i="21"/>
  <c r="A29" i="21"/>
  <c r="A28" i="21"/>
  <c r="A26" i="21"/>
  <c r="A25" i="21"/>
  <c r="A24" i="21"/>
  <c r="A23" i="21"/>
  <c r="A22" i="21"/>
  <c r="A21" i="21"/>
  <c r="A20" i="21"/>
  <c r="A19" i="21"/>
  <c r="A18" i="21"/>
  <c r="C15" i="21"/>
  <c r="B33" i="21"/>
  <c r="B27" i="21"/>
  <c r="B26" i="21"/>
  <c r="B23" i="21"/>
  <c r="D27" i="21"/>
  <c r="D26" i="21"/>
  <c r="F35" i="21"/>
  <c r="F31" i="21"/>
  <c r="B57" i="21"/>
  <c r="B59" i="21"/>
  <c r="A4" i="21"/>
  <c r="A15" i="21"/>
  <c r="B22" i="21"/>
  <c r="D32" i="11"/>
  <c r="H30" i="42"/>
  <c r="F30" i="42"/>
  <c r="C47" i="54"/>
  <c r="A11" i="43"/>
  <c r="B5" i="44"/>
  <c r="D62" i="21"/>
  <c r="C64" i="54"/>
  <c r="D19" i="5"/>
  <c r="E49" i="13"/>
  <c r="C29" i="54"/>
  <c r="C62" i="54"/>
  <c r="C16" i="53"/>
  <c r="J41" i="21"/>
  <c r="A21" i="43"/>
  <c r="J54" i="21"/>
  <c r="J55" i="21"/>
  <c r="G38" i="13"/>
  <c r="C97" i="11"/>
  <c r="G51" i="57"/>
  <c r="D10" i="5"/>
  <c r="E10" i="8"/>
  <c r="D16" i="5"/>
  <c r="E10" i="12" s="1"/>
  <c r="D15" i="5"/>
  <c r="E49" i="11"/>
  <c r="E60" i="11" s="1"/>
  <c r="D17" i="5"/>
  <c r="E49" i="12" s="1"/>
  <c r="E60" i="12" s="1"/>
  <c r="E19" i="5"/>
  <c r="E50" i="13"/>
  <c r="E18" i="5"/>
  <c r="E11" i="13" s="1"/>
  <c r="E20" i="13" s="1"/>
  <c r="E17" i="5"/>
  <c r="E50" i="12" s="1"/>
  <c r="E16" i="5"/>
  <c r="E11" i="12"/>
  <c r="E15" i="5"/>
  <c r="E50" i="11"/>
  <c r="E14" i="5"/>
  <c r="E11" i="11"/>
  <c r="E12" i="5"/>
  <c r="E11" i="10" s="1"/>
  <c r="E9" i="5"/>
  <c r="E11" i="34"/>
  <c r="G18" i="58" s="1"/>
  <c r="E10" i="5"/>
  <c r="D9" i="5"/>
  <c r="E10" i="34" s="1"/>
  <c r="F9" i="5"/>
  <c r="E12" i="34"/>
  <c r="G19" i="58" s="1"/>
  <c r="B37" i="13"/>
  <c r="F19" i="5"/>
  <c r="E51" i="13"/>
  <c r="E60" i="13" s="1"/>
  <c r="F15" i="5"/>
  <c r="E51" i="11"/>
  <c r="F12" i="5"/>
  <c r="E12" i="10" s="1"/>
  <c r="F18" i="5"/>
  <c r="E12" i="13"/>
  <c r="F16" i="5"/>
  <c r="E12" i="12" s="1"/>
  <c r="F17" i="5"/>
  <c r="E51" i="12"/>
  <c r="F14" i="5"/>
  <c r="E12" i="11" s="1"/>
  <c r="F10" i="5"/>
  <c r="E12" i="8"/>
  <c r="D12" i="5"/>
  <c r="E10" i="10"/>
  <c r="D14" i="5"/>
  <c r="E10" i="11"/>
  <c r="D18" i="5"/>
  <c r="E10" i="13" s="1"/>
  <c r="H39" i="11"/>
  <c r="H73" i="11"/>
  <c r="H85" i="11"/>
  <c r="C5" i="11"/>
  <c r="A56" i="43"/>
  <c r="A60" i="43"/>
  <c r="C37" i="10"/>
  <c r="A18" i="43"/>
  <c r="D44" i="11"/>
  <c r="H79" i="11"/>
  <c r="H84" i="13"/>
  <c r="C5" i="38"/>
  <c r="D6" i="13"/>
  <c r="C95" i="13"/>
  <c r="F41" i="21"/>
  <c r="E60" i="53"/>
  <c r="D40" i="21"/>
  <c r="D29" i="53"/>
  <c r="B43" i="21"/>
  <c r="E48" i="3"/>
  <c r="D43" i="21"/>
  <c r="E60" i="54"/>
  <c r="E47" i="3"/>
  <c r="E29" i="54"/>
  <c r="J27" i="13"/>
  <c r="J67" i="13"/>
  <c r="J68" i="12"/>
  <c r="J69" i="12"/>
  <c r="J67" i="12"/>
  <c r="J27" i="12"/>
  <c r="J68" i="11"/>
  <c r="J69" i="11"/>
  <c r="J67" i="11"/>
  <c r="J27" i="11"/>
  <c r="J61" i="10"/>
  <c r="J62" i="10"/>
  <c r="J60" i="10"/>
  <c r="J24" i="10"/>
  <c r="J64" i="34"/>
  <c r="J28" i="8"/>
  <c r="J41" i="57"/>
  <c r="J42" i="57"/>
  <c r="J40" i="57"/>
  <c r="E27" i="3"/>
  <c r="D47" i="21"/>
  <c r="C44" i="36"/>
  <c r="C37" i="35"/>
  <c r="F44" i="21"/>
  <c r="C18" i="35"/>
  <c r="C61" i="16"/>
  <c r="C52" i="14"/>
  <c r="D28" i="21"/>
  <c r="C90" i="34"/>
  <c r="D6" i="57"/>
  <c r="D21" i="57"/>
  <c r="D23" i="39"/>
  <c r="D24" i="39"/>
  <c r="G23" i="52"/>
  <c r="G22" i="52"/>
  <c r="M43" i="21"/>
  <c r="F75" i="21"/>
  <c r="M62" i="21"/>
  <c r="G27" i="58"/>
  <c r="D67" i="21"/>
  <c r="G57" i="10"/>
  <c r="A3" i="24"/>
  <c r="H45" i="11"/>
  <c r="H33" i="11"/>
  <c r="C80" i="11"/>
  <c r="H35" i="12"/>
  <c r="H74" i="11"/>
  <c r="G28" i="11"/>
  <c r="B35" i="11"/>
  <c r="B25" i="18"/>
  <c r="A10" i="43"/>
  <c r="H78" i="11"/>
  <c r="H46" i="11"/>
  <c r="E44" i="11"/>
  <c r="E5" i="11"/>
  <c r="A54" i="43"/>
  <c r="G9" i="23"/>
  <c r="B61" i="43"/>
  <c r="H83" i="11"/>
  <c r="B75" i="11"/>
  <c r="H84" i="11"/>
  <c r="G71" i="11"/>
  <c r="B55" i="14"/>
  <c r="H85" i="12"/>
  <c r="H75" i="11"/>
  <c r="H44" i="11"/>
  <c r="C44" i="11"/>
  <c r="A39" i="43"/>
  <c r="E5" i="57"/>
  <c r="H45" i="13"/>
  <c r="H38" i="13"/>
  <c r="G76" i="8"/>
  <c r="C5" i="19"/>
  <c r="C29" i="19"/>
  <c r="C5" i="8"/>
  <c r="H31" i="10"/>
  <c r="B89" i="58"/>
  <c r="E5" i="37"/>
  <c r="H33" i="13"/>
  <c r="H89" i="8"/>
  <c r="H39" i="8"/>
  <c r="H83" i="13"/>
  <c r="H36" i="13"/>
  <c r="E5" i="13"/>
  <c r="I9" i="23"/>
  <c r="C40" i="12"/>
  <c r="C73" i="10"/>
  <c r="B63" i="54"/>
  <c r="B32" i="54"/>
  <c r="C5" i="54"/>
  <c r="C38" i="54" s="1"/>
  <c r="G71" i="13"/>
  <c r="H79" i="12"/>
  <c r="H81" i="8"/>
  <c r="H34" i="8"/>
  <c r="H75" i="13"/>
  <c r="G31" i="13"/>
  <c r="H71" i="10"/>
  <c r="H78" i="34"/>
  <c r="B6" i="5"/>
  <c r="E5" i="54"/>
  <c r="E38" i="54"/>
  <c r="H74" i="13"/>
  <c r="H43" i="13"/>
  <c r="G28" i="13"/>
  <c r="H46" i="8"/>
  <c r="G29" i="8"/>
  <c r="C80" i="13"/>
  <c r="C85" i="8"/>
  <c r="D5" i="8"/>
  <c r="C5" i="13"/>
  <c r="H85" i="13"/>
  <c r="H73" i="13"/>
  <c r="H39" i="13"/>
  <c r="G24" i="13"/>
  <c r="H90" i="8"/>
  <c r="H78" i="8"/>
  <c r="D44" i="12"/>
  <c r="B8" i="3"/>
  <c r="A42" i="24"/>
  <c r="H86" i="13"/>
  <c r="H47" i="57"/>
  <c r="H79" i="13"/>
  <c r="G64" i="13"/>
  <c r="H35" i="13"/>
  <c r="G64" i="12"/>
  <c r="H84" i="8"/>
  <c r="G69" i="8"/>
  <c r="C14" i="24"/>
  <c r="B80" i="8"/>
  <c r="B9" i="24"/>
  <c r="C40" i="13"/>
  <c r="H78" i="13"/>
  <c r="H46" i="13"/>
  <c r="H34" i="13"/>
  <c r="H83" i="8"/>
  <c r="H49" i="8"/>
  <c r="E44" i="13"/>
  <c r="E5" i="12"/>
  <c r="B36" i="8"/>
  <c r="B7" i="3"/>
  <c r="H59" i="57"/>
  <c r="B91" i="58"/>
  <c r="D37" i="16"/>
  <c r="E28" i="14"/>
  <c r="J23" i="41"/>
  <c r="J24" i="41" s="1"/>
  <c r="L6" i="22"/>
  <c r="E7" i="32"/>
  <c r="B28" i="32"/>
  <c r="C7" i="32"/>
  <c r="L38" i="22"/>
  <c r="C5" i="37"/>
  <c r="D5" i="37"/>
  <c r="B36" i="16"/>
  <c r="C46" i="14"/>
  <c r="C54" i="14" s="1"/>
  <c r="D38" i="14" s="1"/>
  <c r="D46" i="14" s="1"/>
  <c r="D54" i="14" s="1"/>
  <c r="C57" i="14"/>
  <c r="B31" i="14"/>
  <c r="H74" i="34"/>
  <c r="B16" i="21"/>
  <c r="G61" i="34"/>
  <c r="E5" i="34"/>
  <c r="H32" i="34"/>
  <c r="H33" i="34"/>
  <c r="E44" i="34"/>
  <c r="B53" i="21"/>
  <c r="C4" i="9"/>
  <c r="F23" i="40"/>
  <c r="F24" i="40" s="1"/>
  <c r="D24" i="40"/>
  <c r="E57" i="16"/>
  <c r="E5" i="16"/>
  <c r="E42" i="16" s="1"/>
  <c r="B60" i="16"/>
  <c r="C13" i="17"/>
  <c r="C19" i="15"/>
  <c r="C33" i="15"/>
  <c r="D38" i="21"/>
  <c r="D36" i="21"/>
  <c r="B37" i="21"/>
  <c r="C55" i="17"/>
  <c r="C58" i="17" s="1"/>
  <c r="D32" i="17"/>
  <c r="D42" i="17" s="1"/>
  <c r="D55" i="17" s="1"/>
  <c r="C56" i="14"/>
  <c r="E5" i="38"/>
  <c r="D40" i="38"/>
  <c r="C28" i="37"/>
  <c r="E51" i="3"/>
  <c r="F46" i="21"/>
  <c r="C14" i="37"/>
  <c r="C30" i="37" s="1"/>
  <c r="D6" i="37" s="1"/>
  <c r="D14" i="37" s="1"/>
  <c r="C48" i="36"/>
  <c r="D37" i="35"/>
  <c r="D41" i="35"/>
  <c r="C41" i="35"/>
  <c r="C5" i="35"/>
  <c r="E49" i="3"/>
  <c r="C40" i="19"/>
  <c r="C53" i="19"/>
  <c r="C56" i="19" s="1"/>
  <c r="D30" i="19"/>
  <c r="D40" i="19" s="1"/>
  <c r="D53" i="19" s="1"/>
  <c r="C24" i="19"/>
  <c r="C22" i="19"/>
  <c r="C25" i="19" s="1"/>
  <c r="D24" i="19"/>
  <c r="C12" i="19"/>
  <c r="C22" i="18"/>
  <c r="D46" i="18"/>
  <c r="C50" i="18"/>
  <c r="C48" i="18"/>
  <c r="E5" i="18"/>
  <c r="E31" i="18" s="1"/>
  <c r="D50" i="18"/>
  <c r="F36" i="21"/>
  <c r="D57" i="17"/>
  <c r="B35" i="21"/>
  <c r="D22" i="17"/>
  <c r="C22" i="17"/>
  <c r="C24" i="17"/>
  <c r="C40" i="17"/>
  <c r="D26" i="17"/>
  <c r="F33" i="21"/>
  <c r="C5" i="16"/>
  <c r="C42" i="16"/>
  <c r="C51" i="16"/>
  <c r="C59" i="16" s="1"/>
  <c r="C33" i="16"/>
  <c r="C37" i="16"/>
  <c r="D54" i="15"/>
  <c r="C47" i="15"/>
  <c r="E31" i="15"/>
  <c r="D58" i="15"/>
  <c r="B30" i="21"/>
  <c r="E35" i="3"/>
  <c r="C35" i="15"/>
  <c r="F28" i="21"/>
  <c r="E5" i="14"/>
  <c r="E37" i="14" s="1"/>
  <c r="D21" i="21"/>
  <c r="C16" i="10"/>
  <c r="C31" i="10"/>
  <c r="D6" i="10" s="1"/>
  <c r="D18" i="10" s="1"/>
  <c r="D31" i="10" s="1"/>
  <c r="H32" i="10"/>
  <c r="H43" i="10"/>
  <c r="C65" i="10"/>
  <c r="H72" i="10"/>
  <c r="E41" i="10"/>
  <c r="B68" i="10"/>
  <c r="B21" i="21"/>
  <c r="C33" i="8"/>
  <c r="B18" i="21"/>
  <c r="C67" i="34"/>
  <c r="C58" i="34"/>
  <c r="C69" i="34"/>
  <c r="C18" i="34"/>
  <c r="D6" i="34"/>
  <c r="H46" i="57"/>
  <c r="H56" i="57"/>
  <c r="H48" i="57"/>
  <c r="D45" i="57"/>
  <c r="G41" i="57"/>
  <c r="H49" i="57"/>
  <c r="H51" i="57"/>
  <c r="G37" i="57"/>
  <c r="D5" i="57"/>
  <c r="H52" i="57"/>
  <c r="H58" i="57"/>
  <c r="E24" i="3"/>
  <c r="C77" i="8"/>
  <c r="C58" i="9"/>
  <c r="C118" i="9" s="1"/>
  <c r="H100" i="7"/>
  <c r="E6" i="7"/>
  <c r="E49" i="7"/>
  <c r="H106" i="7"/>
  <c r="G93" i="7"/>
  <c r="G16" i="24"/>
  <c r="F19" i="21"/>
  <c r="F36" i="11"/>
  <c r="F81" i="8"/>
  <c r="F17" i="21"/>
  <c r="F34" i="34"/>
  <c r="E50" i="57"/>
  <c r="F49" i="57"/>
  <c r="E21" i="3"/>
  <c r="F76" i="12"/>
  <c r="F36" i="13"/>
  <c r="E30" i="3"/>
  <c r="F21" i="21"/>
  <c r="E30" i="34"/>
  <c r="G74" i="13"/>
  <c r="B82" i="8"/>
  <c r="H69" i="10"/>
  <c r="H42" i="10"/>
  <c r="H30" i="10"/>
  <c r="H71" i="34"/>
  <c r="G29" i="34"/>
  <c r="E44" i="12"/>
  <c r="C6" i="7"/>
  <c r="C49" i="7" s="1"/>
  <c r="B57" i="15"/>
  <c r="B35" i="12"/>
  <c r="J62" i="21"/>
  <c r="C5" i="12"/>
  <c r="H36" i="12"/>
  <c r="H68" i="10"/>
  <c r="H41" i="10"/>
  <c r="G28" i="10"/>
  <c r="H31" i="34"/>
  <c r="E5" i="10"/>
  <c r="B97" i="7"/>
  <c r="B70" i="34"/>
  <c r="C5" i="36"/>
  <c r="C5" i="15"/>
  <c r="C40" i="15" s="1"/>
  <c r="H43" i="12"/>
  <c r="G28" i="12"/>
  <c r="H67" i="10"/>
  <c r="H40" i="10"/>
  <c r="G25" i="10"/>
  <c r="H69" i="34"/>
  <c r="H43" i="34"/>
  <c r="G23" i="34"/>
  <c r="H95" i="7"/>
  <c r="C44" i="12"/>
  <c r="B62" i="21"/>
  <c r="D5" i="36"/>
  <c r="E5" i="53"/>
  <c r="E38" i="53" s="1"/>
  <c r="C5" i="18"/>
  <c r="C31" i="18"/>
  <c r="H78" i="12"/>
  <c r="H46" i="12"/>
  <c r="H78" i="10"/>
  <c r="H66" i="10"/>
  <c r="H36" i="10"/>
  <c r="G21" i="10"/>
  <c r="H70" i="34"/>
  <c r="H44" i="34"/>
  <c r="H98" i="7"/>
  <c r="D6" i="7"/>
  <c r="D49" i="7"/>
  <c r="B33" i="34"/>
  <c r="B32" i="53"/>
  <c r="J45" i="21"/>
  <c r="B13" i="3"/>
  <c r="E9" i="3"/>
  <c r="B4" i="9"/>
  <c r="H76" i="12"/>
  <c r="H45" i="12"/>
  <c r="H45" i="34"/>
  <c r="H97" i="7"/>
  <c r="C41" i="10"/>
  <c r="D5" i="10"/>
  <c r="D12" i="21"/>
  <c r="G13" i="21"/>
  <c r="G68" i="12"/>
  <c r="H73" i="34"/>
  <c r="H46" i="34"/>
  <c r="H101" i="7"/>
  <c r="G86" i="7"/>
  <c r="J47" i="21"/>
  <c r="D5" i="34"/>
  <c r="D44" i="34"/>
  <c r="B32" i="10"/>
  <c r="G62" i="3"/>
  <c r="A23" i="44"/>
  <c r="H84" i="12"/>
  <c r="G71" i="12"/>
  <c r="H38" i="12"/>
  <c r="H77" i="10"/>
  <c r="G64" i="10"/>
  <c r="H35" i="10"/>
  <c r="H79" i="34"/>
  <c r="G66" i="34"/>
  <c r="H34" i="34"/>
  <c r="H105" i="7"/>
  <c r="G90" i="7"/>
  <c r="B49" i="18"/>
  <c r="B34" i="15"/>
  <c r="F12" i="21"/>
  <c r="C102" i="7"/>
  <c r="J48" i="21"/>
  <c r="C5" i="10"/>
  <c r="C5" i="53"/>
  <c r="C38" i="53" s="1"/>
  <c r="D5" i="15"/>
  <c r="D40" i="15"/>
  <c r="G31" i="12"/>
  <c r="H76" i="10"/>
  <c r="G61" i="10"/>
  <c r="H33" i="10"/>
  <c r="H68" i="34"/>
  <c r="H37" i="34"/>
  <c r="H108" i="7"/>
  <c r="H96" i="7"/>
  <c r="D41" i="10"/>
  <c r="C5" i="34"/>
  <c r="C44" i="34"/>
  <c r="B63" i="53"/>
  <c r="F10" i="3"/>
  <c r="C80" i="12"/>
  <c r="D61" i="9"/>
  <c r="G44" i="57"/>
  <c r="C5" i="57"/>
  <c r="C53" i="57"/>
  <c r="B48" i="57"/>
  <c r="C28" i="14"/>
  <c r="B28" i="21"/>
  <c r="D17" i="21"/>
  <c r="D30" i="34"/>
  <c r="C22" i="38"/>
  <c r="C38" i="38"/>
  <c r="D6" i="38" s="1"/>
  <c r="D22" i="38" s="1"/>
  <c r="D38" i="38" s="1"/>
  <c r="F38" i="21"/>
  <c r="E34" i="3"/>
  <c r="E52" i="14"/>
  <c r="F29" i="21"/>
  <c r="E32" i="3"/>
  <c r="E11" i="8"/>
  <c r="E5" i="17"/>
  <c r="E31" i="17"/>
  <c r="B25" i="17"/>
  <c r="B56" i="17"/>
  <c r="C5" i="17"/>
  <c r="C31" i="17"/>
  <c r="E42" i="3"/>
  <c r="F37" i="21"/>
  <c r="C18" i="54"/>
  <c r="C31" i="54" s="1"/>
  <c r="C16" i="54"/>
  <c r="E17" i="10"/>
  <c r="E18" i="10" s="1"/>
  <c r="C56" i="15"/>
  <c r="G26" i="24"/>
  <c r="B23" i="39"/>
  <c r="B24" i="39" s="1"/>
  <c r="E5" i="19"/>
  <c r="E29" i="19"/>
  <c r="B23" i="19"/>
  <c r="D5" i="19"/>
  <c r="D29" i="19"/>
  <c r="C52" i="7"/>
  <c r="C40" i="38"/>
  <c r="C36" i="38"/>
  <c r="B47" i="21"/>
  <c r="E44" i="36"/>
  <c r="F45" i="21"/>
  <c r="E50" i="3"/>
  <c r="D53" i="17"/>
  <c r="D35" i="21"/>
  <c r="D57" i="16"/>
  <c r="D33" i="21"/>
  <c r="F32" i="21"/>
  <c r="E37" i="3"/>
  <c r="C60" i="53"/>
  <c r="C64" i="53"/>
  <c r="F36" i="12"/>
  <c r="D5" i="17"/>
  <c r="D31" i="17"/>
  <c r="E27" i="10"/>
  <c r="E30" i="10" s="1"/>
  <c r="F20" i="21" s="1"/>
  <c r="C20" i="16"/>
  <c r="C22" i="16"/>
  <c r="C35" i="16" s="1"/>
  <c r="J63" i="21"/>
  <c r="F62" i="21"/>
  <c r="B12" i="21"/>
  <c r="A9" i="21"/>
  <c r="B23" i="41"/>
  <c r="H24" i="41"/>
  <c r="C42" i="7"/>
  <c r="C40" i="7"/>
  <c r="G35" i="10"/>
  <c r="B20" i="21"/>
  <c r="C29" i="10"/>
  <c r="C87" i="10"/>
  <c r="B34" i="10"/>
  <c r="D41" i="21"/>
  <c r="D60" i="53"/>
  <c r="B38" i="24"/>
  <c r="B6" i="24"/>
  <c r="B13" i="24"/>
  <c r="B28" i="24"/>
  <c r="B11" i="24"/>
  <c r="D5" i="35"/>
  <c r="B40" i="35"/>
  <c r="H15" i="39"/>
  <c r="H24" i="39"/>
  <c r="B18" i="42"/>
  <c r="B29" i="42" s="1"/>
  <c r="A33" i="44"/>
  <c r="D5" i="44"/>
  <c r="E5" i="44"/>
  <c r="B3" i="44"/>
  <c r="C21" i="8"/>
  <c r="C35" i="8" s="1"/>
  <c r="D6" i="8" s="1"/>
  <c r="C19" i="8"/>
  <c r="C66" i="8"/>
  <c r="C79" i="8"/>
  <c r="C64" i="8"/>
  <c r="D77" i="8"/>
  <c r="D19" i="21"/>
  <c r="D57" i="21"/>
  <c r="J5" i="24"/>
  <c r="J7" i="24" s="1"/>
  <c r="C62" i="53"/>
  <c r="D39" i="53" s="1"/>
  <c r="C89" i="34"/>
  <c r="G36" i="34"/>
  <c r="C30" i="34"/>
  <c r="C54" i="21"/>
  <c r="E28" i="58"/>
  <c r="D72" i="12"/>
  <c r="D25" i="21"/>
  <c r="C20" i="19"/>
  <c r="B38" i="21"/>
  <c r="E54" i="15"/>
  <c r="E36" i="3"/>
  <c r="C17" i="14"/>
  <c r="C30" i="14" s="1"/>
  <c r="D6" i="14" s="1"/>
  <c r="C15" i="14"/>
  <c r="C63" i="57"/>
  <c r="C88" i="10"/>
  <c r="C33" i="37"/>
  <c r="D30" i="37"/>
  <c r="D6" i="19"/>
  <c r="D14" i="19" s="1"/>
  <c r="D22" i="19" s="1"/>
  <c r="D64" i="9"/>
  <c r="B64" i="9"/>
  <c r="C64" i="9"/>
  <c r="D49" i="53"/>
  <c r="D62" i="53" s="1"/>
  <c r="D65" i="53" s="1"/>
  <c r="C101" i="8"/>
  <c r="D21" i="8"/>
  <c r="B24" i="41"/>
  <c r="E6" i="10"/>
  <c r="C41" i="38"/>
  <c r="C33" i="14"/>
  <c r="B35" i="34"/>
  <c r="G74" i="12"/>
  <c r="D13" i="5"/>
  <c r="E46" i="10" s="1"/>
  <c r="F20" i="5"/>
  <c r="F13" i="5"/>
  <c r="E48" i="10"/>
  <c r="E20" i="5"/>
  <c r="E50" i="34" s="1"/>
  <c r="E13" i="5"/>
  <c r="E47" i="10" s="1"/>
  <c r="D20" i="5"/>
  <c r="E49" i="34"/>
  <c r="E57" i="34" s="1"/>
  <c r="B30" i="42"/>
  <c r="E39" i="53"/>
  <c r="E49" i="53" s="1"/>
  <c r="E62" i="53" s="1"/>
  <c r="E63" i="53" s="1"/>
  <c r="E53" i="10"/>
  <c r="J73" i="8"/>
  <c r="J74" i="8"/>
  <c r="J72" i="8"/>
  <c r="J90" i="7"/>
  <c r="J91" i="7"/>
  <c r="J89" i="7"/>
  <c r="F107" i="7"/>
  <c r="G18" i="52"/>
  <c r="D7" i="52" l="1"/>
  <c r="G69" i="34"/>
  <c r="D16" i="21"/>
  <c r="D62" i="57"/>
  <c r="B50" i="57" s="1"/>
  <c r="D45" i="34"/>
  <c r="D58" i="34" s="1"/>
  <c r="D69" i="34" s="1"/>
  <c r="C92" i="34"/>
  <c r="C27" i="17"/>
  <c r="D6" i="17"/>
  <c r="D15" i="17" s="1"/>
  <c r="D24" i="17" s="1"/>
  <c r="D32" i="18"/>
  <c r="D40" i="18" s="1"/>
  <c r="D48" i="18" s="1"/>
  <c r="C51" i="18"/>
  <c r="D56" i="19"/>
  <c r="E30" i="19"/>
  <c r="E40" i="19" s="1"/>
  <c r="E53" i="19" s="1"/>
  <c r="E54" i="19" s="1"/>
  <c r="D57" i="14"/>
  <c r="E38" i="14"/>
  <c r="E46" i="14" s="1"/>
  <c r="E54" i="14" s="1"/>
  <c r="E55" i="14" s="1"/>
  <c r="E19" i="34"/>
  <c r="G17" i="58"/>
  <c r="G74" i="11"/>
  <c r="D19" i="34"/>
  <c r="D18" i="34" s="1"/>
  <c r="E15" i="58"/>
  <c r="E22" i="58" s="1"/>
  <c r="E29" i="3"/>
  <c r="E32" i="12"/>
  <c r="E37" i="12"/>
  <c r="F24" i="21"/>
  <c r="D53" i="21"/>
  <c r="D91" i="34"/>
  <c r="D67" i="34"/>
  <c r="C59" i="15"/>
  <c r="D41" i="15"/>
  <c r="D49" i="15" s="1"/>
  <c r="D56" i="15" s="1"/>
  <c r="B40" i="21"/>
  <c r="C33" i="53"/>
  <c r="C29" i="53"/>
  <c r="D33" i="37"/>
  <c r="E6" i="37"/>
  <c r="E14" i="37" s="1"/>
  <c r="E30" i="37" s="1"/>
  <c r="E31" i="37" s="1"/>
  <c r="D23" i="21"/>
  <c r="D74" i="11"/>
  <c r="D72" i="11"/>
  <c r="D33" i="8"/>
  <c r="D18" i="21"/>
  <c r="E22" i="17"/>
  <c r="F34" i="21"/>
  <c r="E39" i="3"/>
  <c r="D64" i="7"/>
  <c r="D68" i="7" s="1"/>
  <c r="D95" i="7" s="1"/>
  <c r="C117" i="9"/>
  <c r="C119" i="9" s="1"/>
  <c r="D41" i="38"/>
  <c r="E6" i="38"/>
  <c r="E22" i="38" s="1"/>
  <c r="E38" i="38" s="1"/>
  <c r="E39" i="38" s="1"/>
  <c r="D15" i="41"/>
  <c r="D23" i="41" s="1"/>
  <c r="K14" i="41"/>
  <c r="E52" i="3"/>
  <c r="F47" i="21"/>
  <c r="E36" i="38"/>
  <c r="G31" i="10"/>
  <c r="D45" i="12"/>
  <c r="D61" i="12" s="1"/>
  <c r="D74" i="12" s="1"/>
  <c r="C97" i="12"/>
  <c r="C68" i="7"/>
  <c r="C95" i="7" s="1"/>
  <c r="D31" i="15"/>
  <c r="D30" i="21"/>
  <c r="D35" i="15"/>
  <c r="E67" i="34"/>
  <c r="F71" i="34"/>
  <c r="F53" i="21"/>
  <c r="E72" i="34"/>
  <c r="E58" i="3"/>
  <c r="D35" i="8"/>
  <c r="C15" i="18"/>
  <c r="C24" i="18" s="1"/>
  <c r="C13" i="18"/>
  <c r="E6" i="19"/>
  <c r="E14" i="19" s="1"/>
  <c r="E22" i="19" s="1"/>
  <c r="E23" i="19" s="1"/>
  <c r="D25" i="19"/>
  <c r="C103" i="8"/>
  <c r="D48" i="8"/>
  <c r="D66" i="8" s="1"/>
  <c r="D79" i="8" s="1"/>
  <c r="E72" i="11"/>
  <c r="E28" i="3"/>
  <c r="E77" i="11"/>
  <c r="F23" i="21"/>
  <c r="F76" i="11"/>
  <c r="C97" i="13"/>
  <c r="D45" i="13"/>
  <c r="D61" i="13" s="1"/>
  <c r="D74" i="13" s="1"/>
  <c r="K24" i="41"/>
  <c r="B67" i="21"/>
  <c r="B58" i="9"/>
  <c r="B118" i="9" s="1"/>
  <c r="C54" i="7"/>
  <c r="E32" i="17"/>
  <c r="E42" i="17" s="1"/>
  <c r="E55" i="17" s="1"/>
  <c r="E56" i="17" s="1"/>
  <c r="D58" i="17"/>
  <c r="C50" i="7"/>
  <c r="C96" i="7"/>
  <c r="D6" i="16"/>
  <c r="D22" i="16" s="1"/>
  <c r="D35" i="16" s="1"/>
  <c r="C38" i="16"/>
  <c r="C34" i="54"/>
  <c r="D6" i="54"/>
  <c r="D18" i="54" s="1"/>
  <c r="D31" i="54" s="1"/>
  <c r="D43" i="16"/>
  <c r="D51" i="16" s="1"/>
  <c r="D59" i="16" s="1"/>
  <c r="C62" i="16"/>
  <c r="D18" i="42"/>
  <c r="K17" i="42"/>
  <c r="D88" i="10"/>
  <c r="B35" i="10" s="1"/>
  <c r="G30" i="10"/>
  <c r="G34" i="13"/>
  <c r="K14" i="40"/>
  <c r="K24" i="40" s="1"/>
  <c r="B15" i="40"/>
  <c r="E52" i="21"/>
  <c r="E29" i="58"/>
  <c r="G44" i="34"/>
  <c r="G67" i="10"/>
  <c r="E34" i="10"/>
  <c r="E35" i="10" s="1"/>
  <c r="E29" i="10"/>
  <c r="F33" i="10"/>
  <c r="E25" i="3"/>
  <c r="E20" i="11"/>
  <c r="C42" i="35"/>
  <c r="D6" i="35"/>
  <c r="D20" i="35" s="1"/>
  <c r="D39" i="35" s="1"/>
  <c r="E72" i="13"/>
  <c r="E77" i="13"/>
  <c r="F27" i="21"/>
  <c r="E20" i="44"/>
  <c r="E92" i="7"/>
  <c r="E44" i="3"/>
  <c r="E51" i="19"/>
  <c r="F39" i="21"/>
  <c r="C58" i="15"/>
  <c r="C54" i="15"/>
  <c r="B31" i="21"/>
  <c r="D28" i="14"/>
  <c r="D32" i="14"/>
  <c r="E61" i="7"/>
  <c r="E68" i="7" s="1"/>
  <c r="E95" i="7" s="1"/>
  <c r="D117" i="9"/>
  <c r="D119" i="9" s="1"/>
  <c r="C67" i="7"/>
  <c r="B117" i="9"/>
  <c r="B72" i="34"/>
  <c r="F76" i="13"/>
  <c r="E23" i="3"/>
  <c r="E33" i="8"/>
  <c r="F18" i="21"/>
  <c r="C21" i="5"/>
  <c r="D17" i="14"/>
  <c r="D30" i="14" s="1"/>
  <c r="E26" i="3"/>
  <c r="E70" i="10"/>
  <c r="F69" i="10"/>
  <c r="F64" i="21"/>
  <c r="G38" i="22"/>
  <c r="G38" i="11"/>
  <c r="C94" i="11"/>
  <c r="B37" i="11" s="1"/>
  <c r="C32" i="11"/>
  <c r="C34" i="11"/>
  <c r="C32" i="12"/>
  <c r="B24" i="21"/>
  <c r="C94" i="12"/>
  <c r="B37" i="12" s="1"/>
  <c r="B70" i="10"/>
  <c r="D28" i="37"/>
  <c r="D32" i="37"/>
  <c r="D52" i="14"/>
  <c r="D56" i="14"/>
  <c r="C65" i="53"/>
  <c r="F25" i="21"/>
  <c r="F15" i="39"/>
  <c r="K14" i="39"/>
  <c r="K22" i="41"/>
  <c r="B50" i="21" s="1"/>
  <c r="K28" i="42"/>
  <c r="B51" i="21" s="1"/>
  <c r="B39" i="38"/>
  <c r="D5" i="38"/>
  <c r="E5" i="8"/>
  <c r="H48" i="8"/>
  <c r="H47" i="8"/>
  <c r="H80" i="8"/>
  <c r="C41" i="8"/>
  <c r="E47" i="8"/>
  <c r="H88" i="8"/>
  <c r="G32" i="8"/>
  <c r="G73" i="8"/>
  <c r="H40" i="8"/>
  <c r="H35" i="8"/>
  <c r="H37" i="8"/>
  <c r="H79" i="8"/>
  <c r="G24" i="8"/>
  <c r="C47" i="8"/>
  <c r="D47" i="8"/>
  <c r="H36" i="8"/>
  <c r="D42" i="10"/>
  <c r="D54" i="10" s="1"/>
  <c r="D67" i="10" s="1"/>
  <c r="C90" i="10"/>
  <c r="B78" i="58"/>
  <c r="B84" i="58"/>
  <c r="B46" i="58"/>
  <c r="C53" i="17"/>
  <c r="C65" i="54"/>
  <c r="D39" i="54"/>
  <c r="D49" i="54" s="1"/>
  <c r="D62" i="54" s="1"/>
  <c r="C16" i="36"/>
  <c r="C18" i="36"/>
  <c r="C46" i="36" s="1"/>
  <c r="E37" i="13"/>
  <c r="F26" i="21"/>
  <c r="E31" i="3"/>
  <c r="G30" i="24"/>
  <c r="G32" i="24" s="1"/>
  <c r="J34" i="24" s="1"/>
  <c r="J36" i="24" s="1"/>
  <c r="K22" i="39"/>
  <c r="B48" i="21" s="1"/>
  <c r="H86" i="12"/>
  <c r="H33" i="12"/>
  <c r="H75" i="12"/>
  <c r="H74" i="12"/>
  <c r="H44" i="12"/>
  <c r="G24" i="12"/>
  <c r="H73" i="12"/>
  <c r="H83" i="12"/>
  <c r="B75" i="12"/>
  <c r="H34" i="12"/>
  <c r="D5" i="12"/>
  <c r="D24" i="21"/>
  <c r="D32" i="12"/>
  <c r="E29" i="53"/>
  <c r="F40" i="21"/>
  <c r="B77" i="12"/>
  <c r="D6" i="15"/>
  <c r="D19" i="15" s="1"/>
  <c r="D33" i="15" s="1"/>
  <c r="C36" i="15"/>
  <c r="D47" i="57"/>
  <c r="D21" i="13"/>
  <c r="D34" i="13" s="1"/>
  <c r="E20" i="12"/>
  <c r="D33" i="16"/>
  <c r="F22" i="21"/>
  <c r="E37" i="11"/>
  <c r="E32" i="11"/>
  <c r="E45" i="57"/>
  <c r="F16" i="21"/>
  <c r="K22" i="40"/>
  <c r="B49" i="21" s="1"/>
  <c r="K15" i="41"/>
  <c r="D20" i="21"/>
  <c r="D29" i="10"/>
  <c r="D44" i="36"/>
  <c r="D45" i="21"/>
  <c r="E43" i="3"/>
  <c r="E20" i="19"/>
  <c r="C31" i="53"/>
  <c r="D33" i="54"/>
  <c r="D42" i="21"/>
  <c r="D29" i="54"/>
  <c r="D58" i="9"/>
  <c r="D118" i="9" s="1"/>
  <c r="D46" i="21"/>
  <c r="D29" i="21"/>
  <c r="E45" i="3"/>
  <c r="E20" i="8"/>
  <c r="F67" i="21"/>
  <c r="E82" i="8"/>
  <c r="E77" i="8"/>
  <c r="A41" i="43"/>
  <c r="A16" i="43"/>
  <c r="C61" i="43"/>
  <c r="A8" i="43"/>
  <c r="A53" i="43"/>
  <c r="A9" i="43"/>
  <c r="A17" i="43"/>
  <c r="A55" i="43"/>
  <c r="B34" i="21"/>
  <c r="C26" i="17"/>
  <c r="B18" i="24"/>
  <c r="G7" i="22"/>
  <c r="J6" i="22"/>
  <c r="C44" i="13"/>
  <c r="D5" i="13"/>
  <c r="B35" i="13"/>
  <c r="H44" i="13"/>
  <c r="D44" i="13"/>
  <c r="G68" i="13"/>
  <c r="H76" i="13"/>
  <c r="E35" i="34"/>
  <c r="C55" i="19"/>
  <c r="C51" i="19"/>
  <c r="C15" i="24"/>
  <c r="B24" i="24"/>
  <c r="H35" i="11"/>
  <c r="D5" i="11"/>
  <c r="C40" i="11"/>
  <c r="G68" i="11"/>
  <c r="G24" i="11"/>
  <c r="G64" i="11"/>
  <c r="H36" i="11"/>
  <c r="H76" i="11"/>
  <c r="H43" i="11"/>
  <c r="H34" i="11"/>
  <c r="H38" i="11"/>
  <c r="G31" i="11"/>
  <c r="D60" i="54"/>
  <c r="D64" i="54"/>
  <c r="J123" i="55"/>
  <c r="C72" i="12"/>
  <c r="J52" i="21"/>
  <c r="C21" i="12"/>
  <c r="C34" i="12" s="1"/>
  <c r="G78" i="12"/>
  <c r="E41" i="3"/>
  <c r="J60" i="21"/>
  <c r="E94" i="7" l="1"/>
  <c r="F15" i="21"/>
  <c r="F52" i="21" s="1"/>
  <c r="F54" i="21" s="1"/>
  <c r="F56" i="21" s="1"/>
  <c r="E99" i="7"/>
  <c r="E20" i="3"/>
  <c r="E57" i="3" s="1"/>
  <c r="E59" i="3" s="1"/>
  <c r="D116" i="7"/>
  <c r="D94" i="7"/>
  <c r="D15" i="21"/>
  <c r="D52" i="21" s="1"/>
  <c r="D54" i="21" s="1"/>
  <c r="D56" i="21" s="1"/>
  <c r="G35" i="8"/>
  <c r="G66" i="10"/>
  <c r="D90" i="10"/>
  <c r="B71" i="10" s="1"/>
  <c r="E42" i="10"/>
  <c r="E54" i="10" s="1"/>
  <c r="G32" i="34"/>
  <c r="G34" i="12"/>
  <c r="G34" i="11"/>
  <c r="D6" i="18"/>
  <c r="D15" i="18" s="1"/>
  <c r="D24" i="18" s="1"/>
  <c r="C27" i="18"/>
  <c r="B73" i="34"/>
  <c r="C95" i="12"/>
  <c r="D6" i="12"/>
  <c r="D21" i="12" s="1"/>
  <c r="D34" i="12" s="1"/>
  <c r="C34" i="53"/>
  <c r="D6" i="53"/>
  <c r="D18" i="53" s="1"/>
  <c r="D31" i="53" s="1"/>
  <c r="D20" i="34"/>
  <c r="D32" i="34" s="1"/>
  <c r="D6" i="11"/>
  <c r="D21" i="11" s="1"/>
  <c r="D34" i="11" s="1"/>
  <c r="C95" i="11"/>
  <c r="E71" i="10"/>
  <c r="K30" i="42"/>
  <c r="D38" i="16"/>
  <c r="E6" i="16"/>
  <c r="E22" i="16" s="1"/>
  <c r="E35" i="16" s="1"/>
  <c r="E36" i="16" s="1"/>
  <c r="G34" i="8"/>
  <c r="D101" i="8"/>
  <c r="B39" i="8" s="1"/>
  <c r="E6" i="8"/>
  <c r="E21" i="8" s="1"/>
  <c r="E37" i="8" s="1"/>
  <c r="E45" i="11"/>
  <c r="E61" i="11" s="1"/>
  <c r="E78" i="11" s="1"/>
  <c r="D97" i="11"/>
  <c r="B78" i="11" s="1"/>
  <c r="G73" i="11"/>
  <c r="D59" i="15"/>
  <c r="E41" i="15"/>
  <c r="E49" i="15" s="1"/>
  <c r="E56" i="15" s="1"/>
  <c r="E57" i="15" s="1"/>
  <c r="D92" i="34"/>
  <c r="E45" i="34"/>
  <c r="E58" i="34" s="1"/>
  <c r="G68" i="34"/>
  <c r="D7" i="7"/>
  <c r="D42" i="7" s="1"/>
  <c r="C117" i="7"/>
  <c r="B23" i="40"/>
  <c r="K15" i="40"/>
  <c r="B83" i="8"/>
  <c r="E36" i="10"/>
  <c r="E6" i="13"/>
  <c r="E21" i="13" s="1"/>
  <c r="D95" i="13"/>
  <c r="B38" i="13" s="1"/>
  <c r="G33" i="13"/>
  <c r="D29" i="42"/>
  <c r="K18" i="42"/>
  <c r="D6" i="36"/>
  <c r="D18" i="36" s="1"/>
  <c r="D46" i="36" s="1"/>
  <c r="C49" i="36"/>
  <c r="D33" i="14"/>
  <c r="E6" i="14"/>
  <c r="E17" i="14" s="1"/>
  <c r="E30" i="14" s="1"/>
  <c r="E31" i="14" s="1"/>
  <c r="E73" i="34"/>
  <c r="E6" i="15"/>
  <c r="E19" i="15" s="1"/>
  <c r="E33" i="15" s="1"/>
  <c r="E34" i="15" s="1"/>
  <c r="D36" i="15"/>
  <c r="D65" i="54"/>
  <c r="E39" i="54"/>
  <c r="E49" i="54" s="1"/>
  <c r="E62" i="54" s="1"/>
  <c r="E63" i="54" s="1"/>
  <c r="K24" i="39"/>
  <c r="E28" i="5"/>
  <c r="D27" i="5"/>
  <c r="F29" i="5"/>
  <c r="B119" i="9"/>
  <c r="D62" i="16"/>
  <c r="E43" i="16"/>
  <c r="E51" i="16" s="1"/>
  <c r="E59" i="16" s="1"/>
  <c r="E60" i="16" s="1"/>
  <c r="D97" i="12"/>
  <c r="B78" i="12" s="1"/>
  <c r="G73" i="12"/>
  <c r="E45" i="12"/>
  <c r="E61" i="12" s="1"/>
  <c r="E78" i="12" s="1"/>
  <c r="D24" i="41"/>
  <c r="K23" i="41"/>
  <c r="D51" i="18"/>
  <c r="E32" i="18"/>
  <c r="E40" i="18" s="1"/>
  <c r="E48" i="18" s="1"/>
  <c r="E49" i="18" s="1"/>
  <c r="E38" i="13"/>
  <c r="G79" i="10"/>
  <c r="G46" i="34"/>
  <c r="M47" i="21"/>
  <c r="M55" i="21" s="1"/>
  <c r="G86" i="11"/>
  <c r="G46" i="12"/>
  <c r="G59" i="57"/>
  <c r="G108" i="7"/>
  <c r="G49" i="8"/>
  <c r="G46" i="11"/>
  <c r="E54" i="21"/>
  <c r="G86" i="13"/>
  <c r="G91" i="8"/>
  <c r="G86" i="12"/>
  <c r="G46" i="13"/>
  <c r="G43" i="10"/>
  <c r="G78" i="8"/>
  <c r="D103" i="8"/>
  <c r="E48" i="8"/>
  <c r="D63" i="57"/>
  <c r="B51" i="57" s="1"/>
  <c r="G46" i="57"/>
  <c r="E6" i="57"/>
  <c r="E45" i="13"/>
  <c r="E61" i="13" s="1"/>
  <c r="E78" i="13" s="1"/>
  <c r="G73" i="13"/>
  <c r="D97" i="13"/>
  <c r="B78" i="13" s="1"/>
  <c r="C94" i="7"/>
  <c r="C116" i="7"/>
  <c r="B99" i="7" s="1"/>
  <c r="G100" i="7"/>
  <c r="B15" i="21"/>
  <c r="B52" i="21" s="1"/>
  <c r="B54" i="21" s="1"/>
  <c r="B56" i="21" s="1"/>
  <c r="F23" i="39"/>
  <c r="K15" i="39"/>
  <c r="D42" i="35"/>
  <c r="E6" i="35"/>
  <c r="E20" i="35" s="1"/>
  <c r="E39" i="35" s="1"/>
  <c r="E40" i="35" s="1"/>
  <c r="D34" i="54"/>
  <c r="E6" i="54"/>
  <c r="E18" i="54" s="1"/>
  <c r="E31" i="54" s="1"/>
  <c r="E32" i="54" s="1"/>
  <c r="E6" i="17"/>
  <c r="E15" i="17" s="1"/>
  <c r="E24" i="17" s="1"/>
  <c r="E25" i="17" s="1"/>
  <c r="D27" i="17"/>
  <c r="G75" i="13" l="1"/>
  <c r="E79" i="13"/>
  <c r="E80" i="13" s="1"/>
  <c r="E79" i="11"/>
  <c r="E80" i="11"/>
  <c r="G75" i="11"/>
  <c r="D11" i="5"/>
  <c r="E52" i="8" s="1"/>
  <c r="D8" i="5"/>
  <c r="G76" i="13"/>
  <c r="G79" i="13" s="1"/>
  <c r="D49" i="36"/>
  <c r="E6" i="36"/>
  <c r="E18" i="36" s="1"/>
  <c r="E46" i="36" s="1"/>
  <c r="E47" i="36" s="1"/>
  <c r="G32" i="10"/>
  <c r="F37" i="8"/>
  <c r="E38" i="8"/>
  <c r="E39" i="8" s="1"/>
  <c r="E6" i="11"/>
  <c r="E21" i="11" s="1"/>
  <c r="E38" i="11" s="1"/>
  <c r="D95" i="11"/>
  <c r="G33" i="11"/>
  <c r="D27" i="18"/>
  <c r="E6" i="18"/>
  <c r="E15" i="18" s="1"/>
  <c r="E24" i="18" s="1"/>
  <c r="E25" i="18" s="1"/>
  <c r="F24" i="39"/>
  <c r="K23" i="39"/>
  <c r="E37" i="10"/>
  <c r="D90" i="34"/>
  <c r="B36" i="34" s="1"/>
  <c r="E6" i="34"/>
  <c r="E20" i="34" s="1"/>
  <c r="E36" i="34" s="1"/>
  <c r="G31" i="34"/>
  <c r="F11" i="5"/>
  <c r="E54" i="8" s="1"/>
  <c r="F8" i="5"/>
  <c r="D30" i="42"/>
  <c r="K29" i="42"/>
  <c r="E6" i="53"/>
  <c r="E18" i="53" s="1"/>
  <c r="E31" i="53" s="1"/>
  <c r="E32" i="53" s="1"/>
  <c r="D34" i="53"/>
  <c r="E74" i="34"/>
  <c r="G33" i="12"/>
  <c r="D95" i="12"/>
  <c r="B38" i="12" s="1"/>
  <c r="E6" i="12"/>
  <c r="E21" i="12" s="1"/>
  <c r="E38" i="12" s="1"/>
  <c r="B24" i="40"/>
  <c r="K23" i="40"/>
  <c r="G76" i="11"/>
  <c r="G79" i="11" s="1"/>
  <c r="E11" i="5"/>
  <c r="E53" i="8" s="1"/>
  <c r="E8" i="5"/>
  <c r="G68" i="10"/>
  <c r="E72" i="10"/>
  <c r="E73" i="10" s="1"/>
  <c r="G75" i="12"/>
  <c r="E79" i="12"/>
  <c r="E80" i="12" s="1"/>
  <c r="G69" i="10"/>
  <c r="G72" i="10" s="1"/>
  <c r="E39" i="13"/>
  <c r="E40" i="13"/>
  <c r="D96" i="7"/>
  <c r="D50" i="7"/>
  <c r="B38" i="11"/>
  <c r="G25" i="21" l="1"/>
  <c r="F30" i="3"/>
  <c r="G30" i="3" s="1"/>
  <c r="H25" i="21"/>
  <c r="G83" i="12" s="1"/>
  <c r="E59" i="12"/>
  <c r="H27" i="21"/>
  <c r="G83" i="13" s="1"/>
  <c r="G27" i="21"/>
  <c r="F32" i="3"/>
  <c r="G32" i="3" s="1"/>
  <c r="E59" i="13"/>
  <c r="F26" i="3"/>
  <c r="G26" i="3" s="1"/>
  <c r="G21" i="21"/>
  <c r="H21" i="21"/>
  <c r="G76" i="10" s="1"/>
  <c r="E52" i="10"/>
  <c r="K75" i="12"/>
  <c r="E11" i="57"/>
  <c r="E7" i="5"/>
  <c r="E21" i="5" s="1"/>
  <c r="E39" i="12"/>
  <c r="F25" i="3"/>
  <c r="G25" i="3" s="1"/>
  <c r="H20" i="21"/>
  <c r="G40" i="10" s="1"/>
  <c r="G20" i="21"/>
  <c r="E16" i="10"/>
  <c r="E40" i="8"/>
  <c r="E41" i="8"/>
  <c r="D7" i="5"/>
  <c r="E10" i="57"/>
  <c r="E20" i="57" s="1"/>
  <c r="E65" i="8"/>
  <c r="E7" i="7"/>
  <c r="D117" i="7"/>
  <c r="B100" i="7" s="1"/>
  <c r="G95" i="7"/>
  <c r="F7" i="5"/>
  <c r="F21" i="5" s="1"/>
  <c r="E12" i="57"/>
  <c r="K75" i="11"/>
  <c r="K32" i="10"/>
  <c r="G33" i="10"/>
  <c r="G36" i="10" s="1"/>
  <c r="K68" i="10"/>
  <c r="G35" i="13"/>
  <c r="E75" i="34"/>
  <c r="G76" i="12"/>
  <c r="G79" i="12" s="1"/>
  <c r="E37" i="34"/>
  <c r="E38" i="34"/>
  <c r="G26" i="21"/>
  <c r="H26" i="21"/>
  <c r="G43" i="13" s="1"/>
  <c r="F31" i="3"/>
  <c r="G31" i="3" s="1"/>
  <c r="E19" i="13"/>
  <c r="H23" i="21"/>
  <c r="G83" i="11" s="1"/>
  <c r="G23" i="21"/>
  <c r="F28" i="3"/>
  <c r="G28" i="3" s="1"/>
  <c r="E59" i="11"/>
  <c r="E39" i="11"/>
  <c r="E40" i="11" s="1"/>
  <c r="K75" i="13"/>
  <c r="G22" i="21" l="1"/>
  <c r="H22" i="21"/>
  <c r="G43" i="11" s="1"/>
  <c r="F27" i="3"/>
  <c r="G27" i="3" s="1"/>
  <c r="E19" i="11"/>
  <c r="G79" i="8"/>
  <c r="E66" i="8"/>
  <c r="E83" i="8" s="1"/>
  <c r="F58" i="3"/>
  <c r="G58" i="3" s="1"/>
  <c r="H58" i="3" s="1"/>
  <c r="G53" i="21"/>
  <c r="H53" i="21"/>
  <c r="E56" i="34"/>
  <c r="G47" i="57"/>
  <c r="E21" i="57"/>
  <c r="E51" i="57" s="1"/>
  <c r="K35" i="13"/>
  <c r="G36" i="13"/>
  <c r="G39" i="13" s="1"/>
  <c r="E11" i="7"/>
  <c r="E41" i="7" s="1"/>
  <c r="D21" i="5"/>
  <c r="E40" i="12"/>
  <c r="G35" i="12" s="1"/>
  <c r="G70" i="34"/>
  <c r="H18" i="21"/>
  <c r="G46" i="8" s="1"/>
  <c r="F23" i="3"/>
  <c r="G23" i="3" s="1"/>
  <c r="G18" i="21"/>
  <c r="E19" i="8"/>
  <c r="G36" i="8"/>
  <c r="G33" i="34"/>
  <c r="G34" i="34" s="1"/>
  <c r="G37" i="34" s="1"/>
  <c r="G35" i="11"/>
  <c r="F22" i="3"/>
  <c r="G22" i="3" s="1"/>
  <c r="H17" i="21"/>
  <c r="G17" i="21"/>
  <c r="G15" i="58"/>
  <c r="G22" i="58" s="1"/>
  <c r="E18" i="34"/>
  <c r="E42" i="7"/>
  <c r="K35" i="12" l="1"/>
  <c r="G36" i="12"/>
  <c r="G39" i="12" s="1"/>
  <c r="G81" i="8"/>
  <c r="G84" i="8" s="1"/>
  <c r="K36" i="8"/>
  <c r="G37" i="8"/>
  <c r="G40" i="8" s="1"/>
  <c r="G96" i="7"/>
  <c r="G40" i="7"/>
  <c r="G41" i="7" s="1"/>
  <c r="I53" i="21"/>
  <c r="G78" i="34"/>
  <c r="D24" i="58"/>
  <c r="F33" i="58" s="1"/>
  <c r="F38" i="34" s="1"/>
  <c r="E23" i="58"/>
  <c r="G29" i="58"/>
  <c r="E30" i="58" s="1"/>
  <c r="D31" i="58" s="1"/>
  <c r="G43" i="34"/>
  <c r="E84" i="8"/>
  <c r="E85" i="8"/>
  <c r="G80" i="8"/>
  <c r="K80" i="8" s="1"/>
  <c r="E52" i="57"/>
  <c r="G48" i="57" s="1"/>
  <c r="E53" i="57"/>
  <c r="G65" i="8"/>
  <c r="K35" i="11"/>
  <c r="G36" i="11"/>
  <c r="G39" i="11" s="1"/>
  <c r="K70" i="34"/>
  <c r="G71" i="34"/>
  <c r="G74" i="34" s="1"/>
  <c r="F29" i="3"/>
  <c r="G29" i="3" s="1"/>
  <c r="H24" i="21"/>
  <c r="G43" i="12" s="1"/>
  <c r="G24" i="21"/>
  <c r="E19" i="12"/>
  <c r="E50" i="7"/>
  <c r="E100" i="7"/>
  <c r="F21" i="3" l="1"/>
  <c r="G21" i="3" s="1"/>
  <c r="G16" i="21"/>
  <c r="H16" i="21" s="1"/>
  <c r="G56" i="57" s="1"/>
  <c r="J38" i="24"/>
  <c r="J40" i="24" s="1"/>
  <c r="E19" i="57"/>
  <c r="K48" i="57"/>
  <c r="F75" i="34"/>
  <c r="F74" i="34" s="1"/>
  <c r="J78" i="34"/>
  <c r="F24" i="3"/>
  <c r="G24" i="3" s="1"/>
  <c r="G19" i="21"/>
  <c r="H19" i="21"/>
  <c r="G88" i="8" s="1"/>
  <c r="E64" i="8"/>
  <c r="G98" i="7"/>
  <c r="G101" i="7" s="1"/>
  <c r="E101" i="7"/>
  <c r="G97" i="7" s="1"/>
  <c r="E102" i="7"/>
  <c r="G49" i="57"/>
  <c r="G52" i="57" s="1"/>
  <c r="F20" i="3" l="1"/>
  <c r="G15" i="21"/>
  <c r="G52" i="21" s="1"/>
  <c r="E40" i="7"/>
  <c r="K97" i="7"/>
  <c r="M63" i="21" l="1"/>
  <c r="M54" i="21"/>
  <c r="M56" i="21" s="1"/>
  <c r="G54" i="21"/>
  <c r="G20" i="3"/>
  <c r="G57" i="3" s="1"/>
  <c r="F57" i="3"/>
  <c r="H15" i="21"/>
  <c r="F59" i="3" l="1"/>
  <c r="F60" i="3"/>
  <c r="M49" i="21"/>
  <c r="J49" i="21" s="1"/>
  <c r="M50" i="21"/>
  <c r="J50" i="21" s="1"/>
  <c r="H52" i="21"/>
  <c r="G105" i="7"/>
  <c r="E106" i="7" s="1"/>
  <c r="G45" i="13" l="1"/>
  <c r="G85" i="11"/>
  <c r="G48" i="8"/>
  <c r="G42" i="10"/>
  <c r="G107" i="7"/>
  <c r="G78" i="10"/>
  <c r="M60" i="21"/>
  <c r="G45" i="34"/>
  <c r="G85" i="12"/>
  <c r="G45" i="12"/>
  <c r="G45" i="11"/>
  <c r="H54" i="21"/>
  <c r="G58" i="57"/>
  <c r="G90" i="8"/>
  <c r="G85" i="13"/>
</calcChain>
</file>

<file path=xl/sharedStrings.xml><?xml version="1.0" encoding="utf-8"?>
<sst xmlns="http://schemas.openxmlformats.org/spreadsheetml/2006/main" count="2626" uniqueCount="1244">
  <si>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</si>
  <si>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</si>
  <si>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</si>
  <si>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</si>
  <si>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</si>
  <si>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</si>
  <si>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</si>
  <si>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</si>
  <si>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</si>
  <si>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</si>
  <si>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</si>
  <si>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</si>
  <si>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</si>
  <si>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</si>
  <si>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</si>
  <si>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</si>
  <si>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</si>
  <si>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</si>
  <si>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</si>
  <si>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</si>
  <si>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</si>
  <si>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</si>
  <si>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</si>
  <si>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</si>
  <si>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</si>
  <si>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</si>
  <si>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</si>
  <si>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</si>
  <si>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</si>
  <si>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</si>
  <si>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Cert tab, link general page number to the general tab page number</t>
  </si>
  <si>
    <t>36. General tab, link receipt page number to expenditure page number</t>
  </si>
  <si>
    <t>37. GenDetail tab, link general receipt page number to detail page numbers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</si>
  <si>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</si>
  <si>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</si>
  <si>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</si>
  <si>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</si>
  <si>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(DebtService), Library and Recreation (Library-Rec), four levy pages (levy page8 and levy page9),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</si>
  <si>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t>11a. General Fund page and General Fund Detail page number are linked.   If the municipality has a Library Fund, the Library Grant page becomes number 7 and the General Fund page would be numbered 8, otherwise the General would be 7.</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</si>
  <si>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</si>
  <si>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</si>
  <si>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</si>
  <si>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</si>
  <si>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</si>
  <si>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</si>
  <si>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</si>
  <si>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</si>
  <si>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</si>
  <si>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</si>
  <si>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</si>
  <si>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</si>
  <si>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</si>
  <si>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</si>
  <si>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</si>
  <si>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</si>
  <si>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</si>
  <si>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</si>
  <si>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</si>
  <si>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</si>
  <si>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</si>
  <si>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</si>
  <si>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</si>
  <si>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</si>
  <si>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</si>
  <si>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</si>
  <si>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</si>
  <si>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38.  Add Library-Rec tab, in comparison block j83 "Exceed Mill Rate", cell f79 'Reduce', cell f80 shows amount that needs to be reduce
</t>
  </si>
  <si>
    <r>
      <t>11p. On the Recreation (Library-Rec) fund page, in the 'Comparison ' block, if the mill levy is exceeded, then a statement will appear "</t>
    </r>
    <r>
      <rPr>
        <sz val="12"/>
        <color indexed="10"/>
        <rFont val="Times New Roman"/>
        <family val="1"/>
      </rPr>
      <t>Exceed Mill Rate</t>
    </r>
    <r>
      <rPr>
        <sz val="12"/>
        <rFont val="Times New Roman"/>
        <family val="1"/>
      </rPr>
      <t>".  Additionally, in column 'E' we will have "</t>
    </r>
    <r>
      <rPr>
        <sz val="12"/>
        <color indexed="10"/>
        <rFont val="Times New Roman"/>
        <family val="1"/>
      </rPr>
      <t>Reduce</t>
    </r>
    <r>
      <rPr>
        <sz val="12"/>
        <rFont val="Times New Roman"/>
        <family val="1"/>
      </rPr>
      <t>" and "</t>
    </r>
    <r>
      <rPr>
        <sz val="12"/>
        <color indexed="10"/>
        <rFont val="Times New Roman"/>
        <family val="1"/>
      </rPr>
      <t>negative $ amount</t>
    </r>
    <r>
      <rPr>
        <sz val="12"/>
        <rFont val="Times New Roman"/>
        <family val="1"/>
      </rPr>
      <t xml:space="preserve"> " will appear.  Reduce means the negative $ amount must be used to reduced the expenditures amount to bring the mill rate under the max levy rate.  </t>
    </r>
    <r>
      <rPr>
        <sz val="12"/>
        <color indexed="10"/>
        <rFont val="Times New Roman"/>
        <family val="1"/>
      </rPr>
      <t>Notice:</t>
    </r>
    <r>
      <rPr>
        <sz val="12"/>
        <rFont val="Times New Roman"/>
        <family val="1"/>
      </rPr>
      <t xml:space="preserve">  if NR rebate is computed, this will cause the expenditures to increase, so you will need to readjust.</t>
    </r>
  </si>
  <si>
    <t>City 2 spreadsheets has General Fund page (general), Debt Service (DebtService), Library and Recreation page (Library-Rec), 10 tax levy pages (levy page9 to levy page13), Special Highway page (Sp Hiway), 15 no levy fund pages (nolevypage15 to nolevypage21 with one under the Sp Hiway tab), 4 single no levy pages (SinNoLevy18-SinNolevy21), and 20 non-budgeted fund pages (NonBudA to NonBudD).</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</si>
  <si>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</si>
  <si>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</si>
  <si>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#5d to show on Certificate page the table for Library Grant</t>
  </si>
  <si>
    <t xml:space="preserve">peter.haxton@library.ks.gov </t>
  </si>
  <si>
    <t>The following were changed to this spreadsheet on 2/22/12</t>
  </si>
  <si>
    <t>1. Library Grant tab, updated State Library e-mail contact address</t>
  </si>
  <si>
    <t>The following were changed to this spreadsheet on 4/10/12</t>
  </si>
  <si>
    <t>1. Corrected addition computation in column D, inputPrYr tab</t>
  </si>
  <si>
    <t>Miami County</t>
  </si>
  <si>
    <t>City of Osawatomie</t>
  </si>
  <si>
    <t>Bond &amp; Interest</t>
  </si>
  <si>
    <t>Recreation Employee Benefits</t>
  </si>
  <si>
    <t>Industrial</t>
  </si>
  <si>
    <t>Public Safety Equipment</t>
  </si>
  <si>
    <t>Fire Insurance Proceeds</t>
  </si>
  <si>
    <t>Special Parks &amp; Recreation</t>
  </si>
  <si>
    <t>Tourism</t>
  </si>
  <si>
    <t>12-1617h</t>
  </si>
  <si>
    <t>12-16,102</t>
  </si>
  <si>
    <t>12-110b</t>
  </si>
  <si>
    <t>Water</t>
  </si>
  <si>
    <t>Electric</t>
  </si>
  <si>
    <t>Refuse</t>
  </si>
  <si>
    <t>Sewer</t>
  </si>
  <si>
    <t>Rural Fire</t>
  </si>
  <si>
    <t>Revolving Fund</t>
  </si>
  <si>
    <t>Golf Course</t>
  </si>
  <si>
    <t>Special Revenue (911)</t>
  </si>
  <si>
    <t>Capital Projects - General</t>
  </si>
  <si>
    <t>Capital Improve. - Sewer</t>
  </si>
  <si>
    <t>Capital Improve. - Street</t>
  </si>
  <si>
    <t>Capital Improve. - Grants</t>
  </si>
  <si>
    <t>Street Improvements</t>
  </si>
  <si>
    <t>Court ADSAP</t>
  </si>
  <si>
    <t>Court Bonds</t>
  </si>
  <si>
    <t>Forfeitures</t>
  </si>
  <si>
    <t>Old Stone Church</t>
  </si>
  <si>
    <t>Cafeteria 125-HRA</t>
  </si>
  <si>
    <t>Golf</t>
  </si>
  <si>
    <t>Employee Benefit</t>
  </si>
  <si>
    <t>12-825d</t>
  </si>
  <si>
    <t>12-1,118</t>
  </si>
  <si>
    <t>Series 2008B Street Bonds</t>
  </si>
  <si>
    <t>Series 2008A Sewer Rehab.</t>
  </si>
  <si>
    <t>3/1 &amp; 9/1</t>
  </si>
  <si>
    <t>4.1 - 5.5</t>
  </si>
  <si>
    <t>Grants</t>
  </si>
  <si>
    <t>City Sales Tax</t>
  </si>
  <si>
    <t>County Sales Tax</t>
  </si>
  <si>
    <t>Charges for Services</t>
  </si>
  <si>
    <t>Fines and Fees</t>
  </si>
  <si>
    <t>Reimbursed Expense</t>
  </si>
  <si>
    <t>Transfer In from Electric</t>
  </si>
  <si>
    <t>Transer In from Sewer</t>
  </si>
  <si>
    <t>Transfer In from Refuse</t>
  </si>
  <si>
    <t>Transfer In from Water</t>
  </si>
  <si>
    <t>Transfer in from Library</t>
  </si>
  <si>
    <t>Sale of Fixed Assets</t>
  </si>
  <si>
    <t>COPS Fast Police Grant</t>
  </si>
  <si>
    <t>Federal Grants</t>
  </si>
  <si>
    <t>Administration</t>
  </si>
  <si>
    <t>Police &amp; Fire</t>
  </si>
  <si>
    <t>John Brown Cabin</t>
  </si>
  <si>
    <t>Streets &amp; Alleys</t>
  </si>
  <si>
    <t>Swimming Pool</t>
  </si>
  <si>
    <t>Cemeteries</t>
  </si>
  <si>
    <t>Lakes &amp; Parks</t>
  </si>
  <si>
    <t>Municipal Court</t>
  </si>
  <si>
    <t>Levees &amp; Stormwater</t>
  </si>
  <si>
    <t xml:space="preserve">  Other Assistance</t>
  </si>
  <si>
    <t>Transfer from Recreation Emp Ben Fund</t>
  </si>
  <si>
    <t>FICA</t>
  </si>
  <si>
    <t>KPERS</t>
  </si>
  <si>
    <t>Health Insurance</t>
  </si>
  <si>
    <t>Workers' Compensation</t>
  </si>
  <si>
    <t>Unemployment Insurance</t>
  </si>
  <si>
    <t>Other Contractual</t>
  </si>
  <si>
    <t>Special Assessment</t>
  </si>
  <si>
    <t>Transfer In from Sewer</t>
  </si>
  <si>
    <t>Bond Principal</t>
  </si>
  <si>
    <t>Bond Interest</t>
  </si>
  <si>
    <t>Grant Receipts (Non-CDBG)</t>
  </si>
  <si>
    <t>Donations</t>
  </si>
  <si>
    <t>Professional Services</t>
  </si>
  <si>
    <t>Transfer Out - To General</t>
  </si>
  <si>
    <t>Transfer Out - Library Project Fund</t>
  </si>
  <si>
    <t>Appropriation</t>
  </si>
  <si>
    <t>Transfer to Electric Fund</t>
  </si>
  <si>
    <t>Transfer to Special Parks &amp; Recreation Fund</t>
  </si>
  <si>
    <t>Property Leases</t>
  </si>
  <si>
    <t>Other Commodities</t>
  </si>
  <si>
    <t>Capital Equipment</t>
  </si>
  <si>
    <t>Transfer To Employee Benefit Fund</t>
  </si>
  <si>
    <t>City Connecting Links from County</t>
  </si>
  <si>
    <t>Transfer from Electric</t>
  </si>
  <si>
    <t>Contractual Services</t>
  </si>
  <si>
    <t>Machine Parts</t>
  </si>
  <si>
    <t>Street Materials</t>
  </si>
  <si>
    <t>Fuel</t>
  </si>
  <si>
    <t>Equipment</t>
  </si>
  <si>
    <t>Chip/Seal</t>
  </si>
  <si>
    <t>Vehicles</t>
  </si>
  <si>
    <t>Insurance Proceeds</t>
  </si>
  <si>
    <t>Refund of Unused Funds</t>
  </si>
  <si>
    <t>Transient Guest Tax</t>
  </si>
  <si>
    <t>Old Stone Church Rent</t>
  </si>
  <si>
    <t>Transfer from Electric Fund for Jamboree</t>
  </si>
  <si>
    <t>Sales/Charges</t>
  </si>
  <si>
    <t>Contract Collection</t>
  </si>
  <si>
    <t>Interest on Investments</t>
  </si>
  <si>
    <t>Greens &amp; Range Fees</t>
  </si>
  <si>
    <t>Member Fees</t>
  </si>
  <si>
    <t>Cart Related Fees</t>
  </si>
  <si>
    <t>Food &amp; Beverage</t>
  </si>
  <si>
    <t>Utilities</t>
  </si>
  <si>
    <t>Rentals</t>
  </si>
  <si>
    <t>Chemicals/Seed/Fertilizer</t>
  </si>
  <si>
    <t>Fuels</t>
  </si>
  <si>
    <t>Construction Equipment</t>
  </si>
  <si>
    <t>All Other Expenditures</t>
  </si>
  <si>
    <t>Operational/Construction Equipment</t>
  </si>
  <si>
    <t>125 Contributions</t>
  </si>
  <si>
    <t>Disbursements</t>
  </si>
  <si>
    <t>Court Fees</t>
  </si>
  <si>
    <t>Bonds</t>
  </si>
  <si>
    <t>Refunds</t>
  </si>
  <si>
    <t>Forfeited Assets</t>
  </si>
  <si>
    <t>Undercover Operations</t>
  </si>
  <si>
    <t>Maintenance</t>
  </si>
  <si>
    <t>Bulk Water Sales</t>
  </si>
  <si>
    <t>New Utility Services</t>
  </si>
  <si>
    <t>Miscellaneous Revenue</t>
  </si>
  <si>
    <t>Water Protection Tax</t>
  </si>
  <si>
    <t>Tower Lease</t>
  </si>
  <si>
    <t xml:space="preserve">  Contractual Services</t>
  </si>
  <si>
    <t>Sales and Charges</t>
  </si>
  <si>
    <t>Penalties and Fees</t>
  </si>
  <si>
    <t>Utility Deposits</t>
  </si>
  <si>
    <t>Sales Taxes Collected</t>
  </si>
  <si>
    <t>Liquor Tax</t>
  </si>
  <si>
    <t>Registration Fees</t>
  </si>
  <si>
    <t>Tournament Registrations</t>
  </si>
  <si>
    <t>Tournament Gate</t>
  </si>
  <si>
    <t>Concessions</t>
  </si>
  <si>
    <t>Sponsorship Fees</t>
  </si>
  <si>
    <t>Transfer from Recreation Fund</t>
  </si>
  <si>
    <t>Transfer from Electric Fund</t>
  </si>
  <si>
    <t>Balance from Recreation Commission</t>
  </si>
  <si>
    <t>Facilities</t>
  </si>
  <si>
    <t xml:space="preserve">  Salaries &amp; Wages</t>
  </si>
  <si>
    <t>Recreation Programs</t>
  </si>
  <si>
    <t>Building &amp; Fixed Equip</t>
  </si>
  <si>
    <t>Federal Grant Proceeds</t>
  </si>
  <si>
    <t>`</t>
  </si>
  <si>
    <t>Memorial Hall</t>
  </si>
  <si>
    <t>Non-Budgeted CIP Funds</t>
  </si>
  <si>
    <t>Non-Budgeted Agency Funds 1</t>
  </si>
  <si>
    <t>Non-Budgeted Agency Funds 2</t>
  </si>
  <si>
    <t>2012 G.O. Refunding Bonds</t>
  </si>
  <si>
    <t>2.0-3.0</t>
  </si>
  <si>
    <t>The governing body of  the</t>
  </si>
  <si>
    <t>Special Parks &amp; Rec</t>
  </si>
  <si>
    <t>Rec Employee Benefits</t>
  </si>
  <si>
    <t>Electric Fund</t>
  </si>
  <si>
    <t>Capital Projects - Street</t>
  </si>
  <si>
    <t>79-2934</t>
  </si>
  <si>
    <t>79-2958</t>
  </si>
  <si>
    <t>Refinanced OGC Irr &amp; Equip</t>
  </si>
  <si>
    <t xml:space="preserve">  </t>
  </si>
  <si>
    <t>6:30 PM</t>
  </si>
  <si>
    <t>Evidence Liability Fund</t>
  </si>
  <si>
    <t>Overhead Fees</t>
  </si>
  <si>
    <t>Transfer In from CIP - Streets</t>
  </si>
  <si>
    <t>Capital Improvements</t>
  </si>
  <si>
    <t>JTC Lease (Pass Through)</t>
  </si>
  <si>
    <t>Lease Payments to State</t>
  </si>
  <si>
    <t>Commodities</t>
  </si>
  <si>
    <t>Loans</t>
  </si>
  <si>
    <t>Loan Payments</t>
  </si>
  <si>
    <t>Reimbused Expense</t>
  </si>
  <si>
    <t>Reimbursement from Electric</t>
  </si>
  <si>
    <t>Reimbursement from Water</t>
  </si>
  <si>
    <t>Reimbursement from Sewer</t>
  </si>
  <si>
    <t>Reimbursement to 125/HRA Fund</t>
  </si>
  <si>
    <t>Reimbursement from CIP-Streets</t>
  </si>
  <si>
    <t>Other Capital Outlay</t>
  </si>
  <si>
    <t>Communications</t>
  </si>
  <si>
    <t>Loans From Other Funds</t>
  </si>
  <si>
    <t>Jamboree Sponsorships</t>
  </si>
  <si>
    <t>Ticket Sales</t>
  </si>
  <si>
    <t>Entry Fees</t>
  </si>
  <si>
    <t>Concession &amp; Merchandise Sales</t>
  </si>
  <si>
    <t>All Other</t>
  </si>
  <si>
    <t>Tourism Operations</t>
  </si>
  <si>
    <t>Capital Outlay</t>
  </si>
  <si>
    <t xml:space="preserve">  Other Expenses</t>
  </si>
  <si>
    <t>Wholesale Water Sales</t>
  </si>
  <si>
    <t>Salaries</t>
  </si>
  <si>
    <t>All Other Benefits</t>
  </si>
  <si>
    <t>Treatment Chemicals</t>
  </si>
  <si>
    <t>Machine Parts &amp; Supplies</t>
  </si>
  <si>
    <t>State Taxes &amp; Fees</t>
  </si>
  <si>
    <t>Capital Expenses</t>
  </si>
  <si>
    <t>All Other Operating Expenses</t>
  </si>
  <si>
    <t xml:space="preserve">Debt Service </t>
  </si>
  <si>
    <t>Reimbursed Expense - CIP Streets Fund</t>
  </si>
  <si>
    <t>Transfer to General Fund</t>
  </si>
  <si>
    <t>Transfer to Bond &amp; Interest</t>
  </si>
  <si>
    <t>Purchased Power/Trans/Fuel</t>
  </si>
  <si>
    <t>Insurance</t>
  </si>
  <si>
    <t>Bldg &amp; Mach Parts &amp; Supplies</t>
  </si>
  <si>
    <t>Motor Fuel</t>
  </si>
  <si>
    <t>State &amp; Local Taxes</t>
  </si>
  <si>
    <t>Deposit Refunds/Interest</t>
  </si>
  <si>
    <t>Other Operating Expenses</t>
  </si>
  <si>
    <t>Overhead Expenses</t>
  </si>
  <si>
    <t>Poles/Transformers/Wire</t>
  </si>
  <si>
    <t>Vehicles/Equipment</t>
  </si>
  <si>
    <t>All Other Capital Expenses</t>
  </si>
  <si>
    <t>Other Assistance</t>
  </si>
  <si>
    <t>Transfer Out - To Capital Improvements</t>
  </si>
  <si>
    <t>Transfer Out - To Golf Course</t>
  </si>
  <si>
    <t>Transfer Out - Special Parks and Recreation</t>
  </si>
  <si>
    <t>Transfer Out - Tourism (JBJ)</t>
  </si>
  <si>
    <t>Transfer Out - Employee Benefit</t>
  </si>
  <si>
    <t>Professional Services &amp; Contract Maint</t>
  </si>
  <si>
    <t>Chemicals</t>
  </si>
  <si>
    <t>Parts &amp; Supplies</t>
  </si>
  <si>
    <t>Tranfer to Bond &amp; Interest</t>
  </si>
  <si>
    <t xml:space="preserve">  Sales Tax</t>
  </si>
  <si>
    <t>Reimbursed Expenses</t>
  </si>
  <si>
    <t>Improvements</t>
  </si>
  <si>
    <t>Supplies</t>
  </si>
  <si>
    <t>Bond Proceeds</t>
  </si>
  <si>
    <t>Reimbursements</t>
  </si>
  <si>
    <t>Volunteer Stipends</t>
  </si>
  <si>
    <t>HRA Contributions</t>
  </si>
  <si>
    <t>125 Disbursements</t>
  </si>
  <si>
    <t>HRA Payments</t>
  </si>
  <si>
    <t>Admin Fee</t>
  </si>
  <si>
    <t>Restitution Payment</t>
  </si>
  <si>
    <t>Pay Pal</t>
  </si>
  <si>
    <t>Online Ticket Sales</t>
  </si>
  <si>
    <t>City Manager</t>
  </si>
  <si>
    <t>Don Cawby</t>
  </si>
  <si>
    <t>August 22, 2012</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</si>
  <si>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</si>
  <si>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</si>
  <si>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</si>
  <si>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</si>
  <si>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</si>
  <si>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</si>
  <si>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</si>
  <si>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</si>
  <si>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</si>
  <si>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</si>
  <si>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</si>
  <si>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</si>
  <si>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</si>
  <si>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</si>
  <si>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</si>
  <si>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</si>
  <si>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</si>
  <si>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</si>
  <si>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</si>
  <si>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</si>
  <si>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</si>
  <si>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</si>
  <si>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</si>
  <si>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</si>
  <si>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</si>
  <si>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</si>
  <si>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</si>
  <si>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</si>
  <si>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</si>
  <si>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</si>
  <si>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</si>
  <si>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</si>
  <si>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</si>
  <si>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</si>
  <si>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</si>
  <si>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</si>
  <si>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</si>
  <si>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</si>
  <si>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</si>
  <si>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</si>
  <si>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</si>
  <si>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</si>
  <si>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</si>
  <si>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</si>
  <si>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</si>
  <si>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</si>
  <si>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</si>
  <si>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</si>
  <si>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</si>
  <si>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</si>
  <si>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</si>
  <si>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</si>
  <si>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</si>
  <si>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</si>
  <si>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</si>
  <si>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</si>
  <si>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</si>
  <si>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</si>
  <si>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</si>
  <si>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</si>
  <si>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</si>
  <si>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</si>
  <si>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</si>
  <si>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</si>
  <si>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</si>
  <si>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</si>
  <si>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</si>
  <si>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</si>
  <si>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</si>
  <si>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</si>
  <si>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</si>
  <si>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</si>
  <si>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</si>
  <si>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</si>
  <si>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</si>
  <si>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</si>
  <si>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</si>
  <si>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</si>
  <si>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</si>
  <si>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</si>
  <si>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</si>
  <si>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</si>
  <si>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</si>
  <si>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</si>
  <si>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</si>
  <si>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</si>
  <si>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</si>
  <si>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</si>
  <si>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</si>
  <si>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</si>
  <si>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</si>
  <si>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</si>
  <si>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</si>
  <si>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</si>
  <si>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</si>
  <si>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</si>
  <si>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</si>
  <si>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</si>
  <si>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</si>
  <si>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</si>
  <si>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</si>
  <si>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</si>
  <si>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</si>
  <si>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</si>
  <si>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</si>
  <si>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</si>
  <si>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</si>
  <si>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</si>
  <si>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</si>
  <si>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</si>
  <si>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</si>
  <si>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</si>
  <si>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</si>
  <si>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</si>
  <si>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</si>
  <si>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</si>
  <si>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</si>
  <si>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</si>
  <si>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</si>
  <si>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</si>
  <si>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</si>
  <si>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</si>
  <si>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</si>
  <si>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</si>
  <si>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</si>
  <si>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</si>
  <si>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</si>
  <si>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</si>
  <si>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</si>
  <si>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</si>
  <si>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</si>
  <si>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</si>
  <si>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</si>
  <si>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</si>
  <si>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</si>
  <si>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</si>
  <si>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</si>
  <si>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</si>
  <si>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</si>
  <si>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</si>
  <si>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</si>
  <si>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Pages or Debt Service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</si>
  <si>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</si>
  <si>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</si>
  <si>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</si>
  <si>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</si>
  <si>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</si>
  <si>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</si>
  <si>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</si>
  <si>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</si>
  <si>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</si>
  <si>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</si>
  <si>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</si>
  <si>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</si>
  <si>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</si>
  <si>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</si>
  <si>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</si>
  <si>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</si>
  <si>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</si>
  <si>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</si>
  <si>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</si>
  <si>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</si>
  <si>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</si>
  <si>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</si>
  <si>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</si>
  <si>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</si>
  <si>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</si>
  <si>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</si>
  <si>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</si>
  <si>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</si>
  <si>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</si>
  <si>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</si>
  <si>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Amount of  -1 Ad Valorem Tax</t>
  </si>
  <si>
    <t>Recreation</t>
  </si>
  <si>
    <t>12-1927</t>
  </si>
  <si>
    <t>Totals for City</t>
  </si>
  <si>
    <t>Totals  Includes Recreation</t>
  </si>
  <si>
    <t>Imposed Levy Limit (City's Historical Records)</t>
  </si>
  <si>
    <t>Fund Name</t>
  </si>
  <si>
    <t>Mill Rate Limit</t>
  </si>
  <si>
    <t>Ordinance Number:</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</si>
  <si>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</si>
  <si>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</si>
  <si>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</si>
  <si>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</si>
  <si>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</si>
  <si>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</si>
  <si>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</si>
  <si>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</si>
  <si>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</si>
  <si>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</si>
  <si>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</si>
  <si>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</si>
  <si>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</si>
  <si>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</si>
  <si>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</si>
  <si>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</si>
  <si>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</si>
  <si>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</si>
  <si>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</si>
  <si>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</si>
  <si>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</si>
  <si>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</si>
  <si>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</si>
  <si>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</si>
  <si>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</si>
  <si>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</si>
  <si>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</si>
  <si>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</si>
  <si>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</si>
  <si>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</si>
  <si>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</si>
  <si>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</si>
  <si>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</si>
  <si>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</si>
  <si>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</si>
  <si>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</si>
  <si>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</si>
  <si>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</si>
  <si>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</si>
  <si>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</si>
  <si>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</si>
  <si>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</si>
  <si>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</si>
  <si>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</si>
  <si>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</si>
  <si>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</si>
  <si>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</si>
  <si>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</si>
  <si>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</si>
  <si>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</si>
  <si>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</si>
  <si>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</si>
  <si>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</si>
  <si>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</si>
  <si>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</si>
  <si>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</si>
  <si>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</si>
  <si>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</si>
  <si>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</si>
  <si>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</si>
  <si>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</si>
  <si>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</si>
  <si>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</si>
  <si>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</si>
  <si>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</si>
  <si>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</si>
  <si>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</si>
  <si>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</si>
  <si>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</si>
  <si>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</si>
  <si>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</si>
  <si>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</si>
  <si>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</si>
  <si>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</si>
  <si>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</si>
  <si>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</si>
  <si>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r>
      <rPr>
        <b/>
        <sz val="12"/>
        <rFont val="Times New Roman"/>
        <family val="1"/>
      </rPr>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</si>
  <si>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</si>
  <si>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2c. The recreation has a set levy limitation when it was created or increase by the governing body through a petition request by the taxpayers requiring a vote to increase the levy. The budget spreadsheet has a formula in place to determine if the mill levy has been exceeded on the Certificate and Budget Summary pages. The city will need to review past ordinances/resolutions to determine the current mill levy limitation imposed on the recreation.  Another sources for the mill levy information would be at the recreation or county clerk office.</t>
  </si>
  <si>
    <r>
      <t>4c. Recreation line has been added.  Once the mill rate has been computed, the mill rate is compared to the mill levy limitation on the inputoth tab and if the mill rate exceeds the levy limitation, the block will turn red and a statement "</t>
    </r>
    <r>
      <rPr>
        <sz val="12"/>
        <color indexed="10"/>
        <rFont val="Times New Roman"/>
        <family val="1"/>
      </rPr>
      <t>Exceed Limit</t>
    </r>
    <r>
      <rPr>
        <sz val="12"/>
        <rFont val="Times New Roman"/>
        <family val="1"/>
      </rPr>
      <t>" will appear.  To eliminate the statement and turn the block back to normal, the expenditures will need to be reduce.  County Clerk should notify the city that the expenditures have been reduced to comply with the mill levy limitation.</t>
    </r>
  </si>
  <si>
    <t>1. All pages removed the revision date</t>
  </si>
  <si>
    <t>2. All tax levy fund pages reduced the columns and revised the bottom of pages for see tabs</t>
  </si>
  <si>
    <t>4. Instruction Tab, add fund 'Recreation' in the "This spreadsheet has…"</t>
  </si>
  <si>
    <t>5. Inputpryr tab added lines 25 and 26 for 'Other Fund Not Considered' and Recreation fund</t>
  </si>
  <si>
    <t>6. Certificate tab change the 'Expenditure' heading by adding  'Budget Authority for Expenditures'</t>
  </si>
  <si>
    <t>7. Certificate tab change 'Total' to 'Totals for City' and added another line for 'Totals Includes Recreation'</t>
  </si>
  <si>
    <t>8. Certificate tab added line for 'Recreation', statute, expenditure, ad valorem, and levy</t>
  </si>
  <si>
    <t>9. Certificate tab created check to determine if levy for recreation is exceeded</t>
  </si>
  <si>
    <t xml:space="preserve">10. Certificate tab added additional lines for the governing body signatures </t>
  </si>
  <si>
    <t>11. Certificate tab add the year in the block for 'County Clerk Use Only'</t>
  </si>
  <si>
    <t>12. Certificate tab moved the 'County Clerk's Use Only' from center to right</t>
  </si>
  <si>
    <t>13. Debt tab expand the 'Date' columns and removed two lines from the 'Other Section'</t>
  </si>
  <si>
    <t>14. Gen tab added revenue line for 'Compensation Use'</t>
  </si>
  <si>
    <t>15. Gen tab added table for 'Projection of Cash Carryover'</t>
  </si>
  <si>
    <t>16. Gen tab added table for 'Desired Carryover'</t>
  </si>
  <si>
    <t>17. Gen tab redefine print que to not include tables</t>
  </si>
  <si>
    <t>18. Gen tab hid the comp for see tabs</t>
  </si>
  <si>
    <t>19. DebtService tab reduced the Debt Service fund page and added the Recreation fund</t>
  </si>
  <si>
    <t>20. DebtService tab added table for 'Projected Carryover'</t>
  </si>
  <si>
    <t>21. DebtService tab redefine print que and hid comp for see tabs</t>
  </si>
  <si>
    <t>22. Levy page9 and page10 tab hid comp for see tabs</t>
  </si>
  <si>
    <t>23. Summ tab added line after total for Recreation fund and put a check to determine if levy was exceeded</t>
  </si>
  <si>
    <t>24. Summ tab merged cells above the 'City Official Title' and center a name if used</t>
  </si>
  <si>
    <t>25. Summ tab link the City Official Title to inputBudSum tab</t>
  </si>
  <si>
    <t>26. Summ tab changed proposed year expenditure column to 'Budget Authority (Includes Carryover)</t>
  </si>
  <si>
    <t>3. Instruction tab added lines 4c (cert-rec), 11b (fund-rec), 11c (signature), 11d (last year mill rate), 11e (desired mill rate), 10a(project carryover), 10b (Desired Carryover), and 14 (protection)</t>
  </si>
  <si>
    <t>Totals Includes Recreation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</si>
  <si>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</si>
  <si>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</si>
  <si>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</si>
  <si>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</si>
  <si>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</si>
  <si>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</si>
  <si>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27. Summ tab added four tables to the right of the form</t>
  </si>
  <si>
    <t>28. InputBudSum tab added line for City Official Title and provided an example</t>
  </si>
  <si>
    <t>29. Revised TransferStatutes and NonBudFunds tabs</t>
  </si>
  <si>
    <t>30. Added Mill Rate Computation tab</t>
  </si>
  <si>
    <t>31. Summ tab redefine print que</t>
  </si>
  <si>
    <t>32. Add Helpful Links tab</t>
  </si>
  <si>
    <t>33. Certificate page deleted state block</t>
  </si>
  <si>
    <t>The following were changed to this spreadsheet on 8/29/10</t>
  </si>
  <si>
    <t>The estimated value of one mill would be:</t>
  </si>
  <si>
    <t>Change in Ad Valorem Tax Revenue:</t>
  </si>
  <si>
    <t>What Mill Rate Would Be Desired?</t>
  </si>
  <si>
    <t>Official Title:</t>
  </si>
  <si>
    <t>City Clerk, City Treasurer, Mayor</t>
  </si>
  <si>
    <t>34. Added four more no tax levy fund pages</t>
  </si>
  <si>
    <t>Compensating Use Tax</t>
  </si>
  <si>
    <t>Franchise Tax</t>
  </si>
  <si>
    <t>Licenses</t>
  </si>
  <si>
    <t>Desired Carryover Amount:</t>
  </si>
  <si>
    <t>Estimated Mill Rate Impact:</t>
  </si>
  <si>
    <t>35.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</si>
  <si>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</si>
  <si>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</si>
  <si>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</si>
  <si>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</si>
  <si>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</si>
  <si>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</si>
  <si>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</si>
  <si>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</si>
  <si>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</si>
  <si>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</si>
  <si>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</si>
  <si>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Does miscellanous exceed 10% Total Exp</t>
  </si>
  <si>
    <t>The following were changed to this spreadsheet on 4/8/11</t>
  </si>
  <si>
    <t>1. Mvalloc tab change c19, d19, and e19 formula from InputPrYrE30 to E32</t>
  </si>
  <si>
    <t>The following were changed to this spreadsheet on 4/19/11</t>
  </si>
  <si>
    <t>1. Summ tab changed proposed year expenditure column to 'Budget Authority for Expenditures'</t>
  </si>
  <si>
    <t>City2 with Recreation Spreadsheet Instructions</t>
  </si>
  <si>
    <t>Library</t>
  </si>
  <si>
    <t>12-1220</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</si>
  <si>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</si>
  <si>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</si>
  <si>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</si>
  <si>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</si>
  <si>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</si>
  <si>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</si>
  <si>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</si>
  <si>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</si>
  <si>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</si>
  <si>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</si>
  <si>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</si>
  <si>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</si>
  <si>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</si>
  <si>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</si>
  <si>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 xml:space="preserve">Prior Year </t>
  </si>
  <si>
    <t xml:space="preserve">Current Year </t>
  </si>
  <si>
    <t xml:space="preserve">Proposed Budget </t>
  </si>
  <si>
    <t>Expenditures Must Be Changed by:</t>
  </si>
  <si>
    <t>Mill Rate Comparison</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</si>
  <si>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</si>
  <si>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</si>
  <si>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</si>
  <si>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</si>
  <si>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</si>
  <si>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</si>
  <si>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</si>
  <si>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</si>
  <si>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</si>
  <si>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</si>
  <si>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</si>
  <si>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</si>
  <si>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</si>
  <si>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</si>
  <si>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</si>
  <si>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</si>
  <si>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</si>
  <si>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</si>
  <si>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</si>
  <si>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</si>
  <si>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</si>
  <si>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</si>
  <si>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</si>
  <si>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</si>
  <si>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</si>
  <si>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</si>
  <si>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</si>
  <si>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</si>
  <si>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</si>
  <si>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</si>
  <si>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</si>
  <si>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</si>
  <si>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</si>
  <si>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</si>
  <si>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</si>
  <si>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</si>
  <si>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</si>
  <si>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</si>
  <si>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</si>
  <si>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</si>
  <si>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</si>
  <si>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</si>
  <si>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</si>
  <si>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</si>
  <si>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</si>
  <si>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</si>
  <si>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</si>
  <si>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</si>
  <si>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</si>
  <si>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</si>
  <si>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</si>
  <si>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</si>
  <si>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</si>
  <si>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</si>
  <si>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</si>
  <si>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</si>
  <si>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</si>
  <si>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 xml:space="preserve">Cities can use the city.xls, city1.xls, city2.xls, city3.xls or city4.xls files.   You must choose a form that meets the needs for the number of funds.  If you don't need all the funds, just leave the pages blank and number the completed pages sequentially. </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</si>
  <si>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</si>
  <si>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</si>
  <si>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</si>
  <si>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</si>
  <si>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</si>
  <si>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</si>
  <si>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</si>
  <si>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</si>
  <si>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</si>
  <si>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</si>
  <si>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</si>
  <si>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</si>
  <si>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</si>
  <si>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</si>
  <si>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Employee Benefits</t>
  </si>
  <si>
    <t>21. Added four single no levy fund pages and 4 non-budgeted pages.</t>
  </si>
  <si>
    <t>22. Added question on Certificate page about the ordinance.</t>
  </si>
  <si>
    <t>23. Added note to the non-budgeted fund pages to ensure the amounts agree.</t>
  </si>
  <si>
    <t xml:space="preserve">budget year. The State Library requires a letter of certification from the municipality to continue </t>
  </si>
  <si>
    <t>eligibility. For more information contact the State Library of Kansas at 785.296.3296, or e-mail:</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</si>
  <si>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</si>
  <si>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</si>
  <si>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</si>
  <si>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</si>
  <si>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</si>
  <si>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</si>
  <si>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</si>
  <si>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 xml:space="preserve"> Debt</t>
  </si>
  <si>
    <t>Type of</t>
  </si>
  <si>
    <t xml:space="preserve"> Purchased</t>
  </si>
  <si>
    <t>Items</t>
  </si>
  <si>
    <t>Email:</t>
  </si>
  <si>
    <t>________________________  __________________________</t>
  </si>
  <si>
    <t>Allocation of MVT, RVT, 16/20M Vehicle Tax</t>
  </si>
  <si>
    <t xml:space="preserve">Allocation of Motor, Recreational, 16/20M Vehicle Tax </t>
  </si>
  <si>
    <t xml:space="preserve">Budget Tax Levy </t>
  </si>
  <si>
    <t>Delinquency % used in this budget will be shown on all fund pages with a tax levy**</t>
  </si>
  <si>
    <t>Expenditures Must Be Changed By: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</si>
  <si>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</si>
  <si>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</si>
  <si>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Prior Year</t>
  </si>
  <si>
    <t>Proposed Budget</t>
  </si>
  <si>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</si>
  <si>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</si>
  <si>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</si>
  <si>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</si>
  <si>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</si>
  <si>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</si>
  <si>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</si>
  <si>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</si>
  <si>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</si>
  <si>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</si>
  <si>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</si>
  <si>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</si>
  <si>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</si>
  <si>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</si>
  <si>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</si>
  <si>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</si>
  <si>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</si>
  <si>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</si>
  <si>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</si>
  <si>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</si>
  <si>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</si>
  <si>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</si>
  <si>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</si>
  <si>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</si>
  <si>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</si>
  <si>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</si>
  <si>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</si>
  <si>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</si>
  <si>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</si>
  <si>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</si>
  <si>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</si>
  <si>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</si>
  <si>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</si>
  <si>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</si>
  <si>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</si>
  <si>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</si>
  <si>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</si>
  <si>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</si>
  <si>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</si>
  <si>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</si>
  <si>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</si>
  <si>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</si>
  <si>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</si>
  <si>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</si>
  <si>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</si>
  <si>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</si>
  <si>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</si>
  <si>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</si>
  <si>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</si>
  <si>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</si>
  <si>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</si>
  <si>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</si>
  <si>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</si>
  <si>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</si>
  <si>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</si>
  <si>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</si>
  <si>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</si>
  <si>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</si>
  <si>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</si>
  <si>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</si>
  <si>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</si>
  <si>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</si>
  <si>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</si>
  <si>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</si>
  <si>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</si>
  <si>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</si>
  <si>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</si>
  <si>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</si>
  <si>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</si>
  <si>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</si>
  <si>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</si>
  <si>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</si>
  <si>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</si>
  <si>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</si>
  <si>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</si>
  <si>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</si>
  <si>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</si>
  <si>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</si>
  <si>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</si>
  <si>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</si>
  <si>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</si>
  <si>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</si>
  <si>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</si>
  <si>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</si>
  <si>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</si>
  <si>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</si>
  <si>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</si>
  <si>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</si>
  <si>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</si>
  <si>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</si>
  <si>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</si>
  <si>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</si>
  <si>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</si>
  <si>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</si>
  <si>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</si>
  <si>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</si>
  <si>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</si>
  <si>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</si>
  <si>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</si>
  <si>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</si>
  <si>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</si>
  <si>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</si>
  <si>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</si>
  <si>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</si>
  <si>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</si>
  <si>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</si>
  <si>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</si>
  <si>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</si>
  <si>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</si>
  <si>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</si>
  <si>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</si>
  <si>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</si>
  <si>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</si>
  <si>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</si>
  <si>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</si>
  <si>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</si>
  <si>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</si>
  <si>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</si>
  <si>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</si>
  <si>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</si>
  <si>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</si>
  <si>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</si>
  <si>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</si>
  <si>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</si>
  <si>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</si>
  <si>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</si>
  <si>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</si>
  <si>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</si>
  <si>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</si>
  <si>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</si>
  <si>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</si>
  <si>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</si>
  <si>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</si>
  <si>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</si>
  <si>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</si>
  <si>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</si>
  <si>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</si>
  <si>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</si>
  <si>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</si>
  <si>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</si>
  <si>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</si>
  <si>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</si>
  <si>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</si>
  <si>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</si>
  <si>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</si>
  <si>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</si>
  <si>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</si>
  <si>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</si>
  <si>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</si>
  <si>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</si>
  <si>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</si>
  <si>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</si>
  <si>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</si>
  <si>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</si>
  <si>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</si>
  <si>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</si>
  <si>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</si>
  <si>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</si>
  <si>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</si>
  <si>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</si>
  <si>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</si>
  <si>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</si>
  <si>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</si>
  <si>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</si>
  <si>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</si>
  <si>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</si>
  <si>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</si>
  <si>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</si>
  <si>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</si>
  <si>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</si>
  <si>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</si>
  <si>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</si>
  <si>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</si>
  <si>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</si>
  <si>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</si>
  <si>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</si>
  <si>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</si>
  <si>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</si>
  <si>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</si>
  <si>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</si>
  <si>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</si>
  <si>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</si>
  <si>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</si>
  <si>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</si>
  <si>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</si>
  <si>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</si>
  <si>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</si>
  <si>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</si>
  <si>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</si>
  <si>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</si>
  <si>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</si>
  <si>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</si>
  <si>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</si>
  <si>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</si>
  <si>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</si>
  <si>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</si>
  <si>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</si>
  <si>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</si>
  <si>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</si>
  <si>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</si>
  <si>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</si>
  <si>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</si>
  <si>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</si>
  <si>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</si>
  <si>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</si>
  <si>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</si>
  <si>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</si>
  <si>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</si>
  <si>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</si>
  <si>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</si>
  <si>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</si>
  <si>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</si>
  <si>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</si>
  <si>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</si>
  <si>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</si>
  <si>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</si>
  <si>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</si>
  <si>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</si>
  <si>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</si>
  <si>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</si>
  <si>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</si>
  <si>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</si>
  <si>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</si>
  <si>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Current</t>
  </si>
  <si>
    <t>Proposed</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</si>
  <si>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</si>
  <si>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</si>
  <si>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Current Year Estimate</t>
  </si>
  <si>
    <t>Proposed Budget Year</t>
  </si>
  <si>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</si>
  <si>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</si>
  <si>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</si>
  <si>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</si>
  <si>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</si>
  <si>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</si>
  <si>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</si>
  <si>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</si>
  <si>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</si>
  <si>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</si>
  <si>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</si>
  <si>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</si>
  <si>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</si>
  <si>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</si>
  <si>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</si>
  <si>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</si>
  <si>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 xml:space="preserve">   </t>
  </si>
  <si>
    <t>Enter year being budgeted (YYYY)</t>
  </si>
  <si>
    <t>10-113</t>
  </si>
  <si>
    <t xml:space="preserve">  G.O. Bonds</t>
  </si>
  <si>
    <t xml:space="preserve">  Revenue Bonds</t>
  </si>
  <si>
    <t xml:space="preserve">  Other</t>
  </si>
  <si>
    <t xml:space="preserve">  Lease Purchase Principal</t>
  </si>
  <si>
    <t>Other (non-tax levy) fund names:</t>
  </si>
  <si>
    <t>Salaries &amp; Wages</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</si>
  <si>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</si>
  <si>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</si>
  <si>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</si>
  <si>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</si>
  <si>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</si>
  <si>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</si>
  <si>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</si>
  <si>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</si>
  <si>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</si>
  <si>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</si>
  <si>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</si>
  <si>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</si>
  <si>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</si>
  <si>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</si>
  <si>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</si>
  <si>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</si>
  <si>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</si>
  <si>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adopt an ordinance to exceed this limit, publish the ordinance, and</t>
  </si>
  <si>
    <t>attach a copy of the published ordinance to this budget.</t>
  </si>
  <si>
    <t>Non-Budgeted Funds-D</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</si>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</sst>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6" formatCode="&quot;$&quot;#,##0_);[Red]\(&quot;$&quot;#,##0\)"/>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_(* #,##0_);_(* \(#,##0\);_(* &quot;-&quot;??_);_(@_)"/>
    <numFmt numFmtId="171" formatCode="0.000"/>
    <numFmt numFmtId="172" formatCode="#,##0.000"/>
    <numFmt numFmtId="173" formatCode="[$-409]mmmm\ d\,\ yyyy;@"/>
    <numFmt numFmtId="174" formatCode="[$-409]h:mm\ AM/PM;@"/>
    <numFmt numFmtId="175" formatCode="&quot;$&quot;#,##0"/>
    <numFmt numFmtId="176" formatCode="&quot;$&quot;#,##0.00"/>
    <numFmt numFmtId="177" formatCode="#,###"/>
    <numFmt numFmtId="178" formatCode="0.0%"/>
    <numFmt numFmtId="179" formatCode="#,##0.000_);[Red]\(#,##0.000\)"/>
    <numFmt numFmtId="180" formatCode="0.000_);[Red]\(0.000\)"/>
    <numFmt numFmtId="181" formatCode="0_);[Red]\(0\)"/>
  </numFmts>
  <fonts count="62" x14ac:knownFonts="1">
    <font>
      <sz val="12"/>
      <name val="Courier"/>
    </font>
    <font>
      <b/>
      <sz val="12"/>
      <name val="Courier"/>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9"/>
      <name val="Times New Roman"/>
      <family val="1"/>
    </font>
    <font>
      <sz val="8"/>
      <name val="Courier"/>
      <family val="3"/>
    </font>
    <font>
      <u/>
      <sz val="12"/>
      <color indexed="12"/>
      <name val="Courier"/>
      <family val="3"/>
    </font>
    <font>
      <sz val="8"/>
      <name val="Times New Roman"/>
      <family val="1"/>
    </font>
    <font>
      <b/>
      <u/>
      <sz val="12"/>
      <name val="Times New Roman"/>
      <family val="1"/>
    </font>
    <font>
      <b/>
      <u/>
      <sz val="12"/>
      <color indexed="10"/>
      <name val="Times New Roman"/>
      <family val="1"/>
    </font>
    <font>
      <b/>
      <u/>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sz val="8"/>
      <color indexed="10"/>
      <name val="Times New Roman"/>
      <family val="1"/>
    </font>
    <font>
      <sz val="12"/>
      <name val="Courier"/>
      <family val="3"/>
    </font>
    <font>
      <sz val="12"/>
      <name val="Courier New"/>
      <family val="3"/>
    </font>
    <font>
      <b/>
      <u/>
      <sz val="12"/>
      <name val="Courier"/>
      <family val="3"/>
    </font>
    <font>
      <b/>
      <sz val="12"/>
      <name val="Courier"/>
      <family val="3"/>
    </font>
    <font>
      <i/>
      <sz val="12"/>
      <name val="Courier"/>
      <family val="3"/>
    </font>
    <font>
      <i/>
      <u/>
      <sz val="12"/>
      <name val="Courier"/>
      <family val="3"/>
    </font>
    <font>
      <sz val="12"/>
      <name val="Courier New"/>
      <family val="3"/>
    </font>
    <font>
      <b/>
      <u/>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sz val="12"/>
      <color indexed="12"/>
      <name val="Times New Roman"/>
      <family val="1"/>
    </font>
    <font>
      <sz val="10"/>
      <name val="Times New Roman"/>
      <family val="1"/>
    </font>
    <font>
      <b/>
      <u/>
      <sz val="10"/>
      <name val="Times New Roman"/>
      <family val="1"/>
    </font>
    <font>
      <b/>
      <sz val="10"/>
      <name val="Times New Roman"/>
      <family val="1"/>
    </font>
    <font>
      <sz val="10"/>
      <name val="Courier"/>
      <family val="3"/>
    </font>
    <font>
      <b/>
      <sz val="8"/>
      <color indexed="10"/>
      <name val="Times New Roman"/>
      <family val="1"/>
    </font>
    <font>
      <u/>
      <sz val="12"/>
      <color indexed="12"/>
      <name val="Courier New"/>
      <family val="3"/>
    </font>
    <font>
      <sz val="10"/>
      <color indexed="10"/>
      <name val="Times New Roman"/>
      <family val="1"/>
    </font>
    <font>
      <u/>
      <sz val="12"/>
      <color indexed="10"/>
      <name val="Times New Roman"/>
      <family val="1"/>
    </font>
    <font>
      <u/>
      <sz val="12"/>
      <color indexed="10"/>
      <name val="Times New Roman"/>
      <family val="1"/>
    </font>
    <font>
      <b/>
      <u/>
      <sz val="12"/>
      <color indexed="8"/>
      <name val="Times New Roman"/>
      <family val="1"/>
    </font>
    <font>
      <b/>
      <sz val="11"/>
      <color indexed="8"/>
      <name val="Cambria"/>
      <family val="1"/>
    </font>
    <font>
      <sz val="11"/>
      <color indexed="8"/>
      <name val="Cambria"/>
      <family val="1"/>
    </font>
    <font>
      <b/>
      <sz val="12"/>
      <color indexed="8"/>
      <name val="Times New Roman"/>
      <family val="1"/>
    </font>
    <font>
      <sz val="10"/>
      <color indexed="10"/>
      <name val="Times New Roman"/>
      <family val="1"/>
    </font>
    <font>
      <sz val="12"/>
      <color indexed="10"/>
      <name val="Times New Roman"/>
      <family val="1"/>
    </font>
    <font>
      <b/>
      <sz val="12"/>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u/>
      <sz val="12"/>
      <color indexed="10"/>
      <name val="Times New Roman"/>
      <family val="1"/>
    </font>
    <font>
      <sz val="11"/>
      <color theme="1"/>
      <name val="Calibri"/>
      <family val="2"/>
      <scheme val="minor"/>
    </font>
  </fonts>
  <fills count="13">
    <fill>
      <patternFill patternType="none"/>
    </fill>
    <fill>
      <patternFill patternType="gray125"/>
    </fill>
    <fill>
      <patternFill patternType="solid">
        <fgColor indexed="26"/>
        <bgColor indexed="64"/>
      </patternFill>
    </fill>
    <fill>
      <patternFill patternType="solid">
        <fgColor indexed="10"/>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1"/>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indexed="9"/>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s>
  <cellStyleXfs count="379">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7" fillId="0" borderId="0"/>
    <xf numFmtId="0" fontId="28" fillId="0" borderId="0"/>
    <xf numFmtId="0" fontId="2" fillId="0" borderId="0"/>
    <xf numFmtId="0" fontId="2" fillId="0" borderId="0"/>
    <xf numFmtId="0" fontId="28" fillId="0" borderId="0"/>
    <xf numFmtId="0" fontId="28" fillId="0" borderId="0"/>
    <xf numFmtId="0" fontId="28"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8" fillId="0" borderId="0"/>
    <xf numFmtId="0" fontId="28" fillId="0" borderId="0"/>
    <xf numFmtId="0" fontId="28" fillId="0" borderId="0"/>
    <xf numFmtId="0" fontId="2" fillId="0" borderId="0"/>
    <xf numFmtId="0" fontId="2" fillId="0" borderId="0"/>
    <xf numFmtId="0" fontId="28" fillId="0" borderId="0"/>
    <xf numFmtId="0" fontId="33" fillId="0" borderId="0"/>
    <xf numFmtId="0" fontId="28" fillId="0" borderId="0"/>
    <xf numFmtId="0" fontId="28" fillId="0" borderId="0"/>
    <xf numFmtId="0" fontId="28" fillId="0" borderId="0"/>
    <xf numFmtId="0" fontId="33" fillId="0" borderId="0"/>
    <xf numFmtId="0" fontId="28" fillId="0" borderId="0"/>
    <xf numFmtId="0" fontId="28" fillId="0" borderId="0"/>
    <xf numFmtId="0" fontId="28" fillId="0" borderId="0"/>
    <xf numFmtId="0" fontId="33" fillId="0" borderId="0"/>
    <xf numFmtId="0" fontId="28" fillId="0" borderId="0"/>
    <xf numFmtId="0" fontId="28" fillId="0" borderId="0"/>
    <xf numFmtId="0" fontId="28" fillId="0" borderId="0"/>
    <xf numFmtId="0" fontId="33"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 fillId="0" borderId="0"/>
    <xf numFmtId="0" fontId="33"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7"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7" fillId="0" borderId="0"/>
    <xf numFmtId="0" fontId="2" fillId="0" borderId="0"/>
    <xf numFmtId="0" fontId="2" fillId="0" borderId="0"/>
    <xf numFmtId="0" fontId="27" fillId="0" borderId="0"/>
    <xf numFmtId="0" fontId="2" fillId="0" borderId="0"/>
    <xf numFmtId="0" fontId="27"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7" fillId="0" borderId="0"/>
    <xf numFmtId="0" fontId="2"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8" fillId="0" borderId="0"/>
    <xf numFmtId="0" fontId="28" fillId="0" borderId="0"/>
    <xf numFmtId="0" fontId="27" fillId="0" borderId="0"/>
    <xf numFmtId="0" fontId="2" fillId="0" borderId="0"/>
    <xf numFmtId="0" fontId="2" fillId="0" borderId="0"/>
    <xf numFmtId="0" fontId="28"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0" fontId="28" fillId="0" borderId="0"/>
    <xf numFmtId="0" fontId="27" fillId="0" borderId="0"/>
    <xf numFmtId="0" fontId="2" fillId="0" borderId="0"/>
    <xf numFmtId="0" fontId="2" fillId="0" borderId="0"/>
    <xf numFmtId="0" fontId="28"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6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xf numFmtId="0" fontId="28" fillId="0" borderId="0"/>
    <xf numFmtId="0" fontId="2"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7" fillId="0" borderId="0"/>
    <xf numFmtId="0" fontId="2"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cellStyleXfs>
  <cellXfs count="1052">
    <xf numFmtId="0" fontId="0" fillId="0" borderId="0" xfId="0"/>
    <xf numFmtId="0" fontId="4" fillId="0" borderId="0" xfId="0" applyFont="1"/>
    <xf numFmtId="0" fontId="4" fillId="0" borderId="0" xfId="0" applyFont="1" applyProtection="1">
      <protection locked="0"/>
    </xf>
    <xf numFmtId="0" fontId="4" fillId="2" borderId="1" xfId="0" applyFont="1" applyFill="1" applyBorder="1" applyProtection="1"/>
    <xf numFmtId="0" fontId="4" fillId="2" borderId="0" xfId="0" applyFont="1" applyFill="1" applyProtection="1"/>
    <xf numFmtId="0" fontId="4" fillId="2" borderId="0" xfId="0" applyFont="1" applyFill="1" applyAlignment="1" applyProtection="1">
      <alignment horizontal="right"/>
    </xf>
    <xf numFmtId="37" fontId="4" fillId="2" borderId="0" xfId="0" applyNumberFormat="1" applyFont="1" applyFill="1" applyAlignment="1" applyProtection="1">
      <alignment horizontal="right"/>
    </xf>
    <xf numFmtId="0" fontId="4" fillId="2" borderId="0" xfId="0" applyFont="1" applyFill="1" applyAlignment="1" applyProtection="1">
      <alignment horizontal="centerContinuous"/>
    </xf>
    <xf numFmtId="0" fontId="4" fillId="2" borderId="2" xfId="0" applyFont="1" applyFill="1" applyBorder="1" applyProtection="1"/>
    <xf numFmtId="37" fontId="4" fillId="2" borderId="0" xfId="0" applyNumberFormat="1" applyFont="1" applyFill="1" applyProtection="1"/>
    <xf numFmtId="0" fontId="3" fillId="2" borderId="0" xfId="378" applyFont="1" applyFill="1" applyAlignment="1" applyProtection="1">
      <alignment horizontal="centerContinuous"/>
    </xf>
    <xf numFmtId="0" fontId="4" fillId="2" borderId="1" xfId="0" applyFont="1" applyFill="1" applyBorder="1" applyAlignment="1" applyProtection="1">
      <alignment horizontal="fill"/>
    </xf>
    <xf numFmtId="0" fontId="3" fillId="2" borderId="0" xfId="0" applyFont="1" applyFill="1" applyAlignment="1" applyProtection="1">
      <alignment horizontal="left"/>
    </xf>
    <xf numFmtId="0" fontId="4" fillId="2" borderId="0" xfId="0" applyFont="1" applyFill="1" applyAlignment="1" applyProtection="1">
      <alignment horizontal="center"/>
    </xf>
    <xf numFmtId="0" fontId="4" fillId="2" borderId="0" xfId="0" applyNumberFormat="1" applyFont="1" applyFill="1" applyAlignment="1" applyProtection="1">
      <alignment horizontal="right"/>
    </xf>
    <xf numFmtId="0" fontId="4" fillId="0" borderId="0" xfId="0" applyFont="1" applyAlignment="1">
      <alignment vertical="justify" wrapText="1"/>
    </xf>
    <xf numFmtId="0" fontId="4" fillId="0" borderId="0" xfId="0" applyFont="1" applyAlignment="1">
      <alignment horizontal="left" vertical="justify" wrapText="1"/>
    </xf>
    <xf numFmtId="0" fontId="4" fillId="0" borderId="0" xfId="0" applyFont="1" applyAlignment="1">
      <alignment horizontal="left" vertical="justify"/>
    </xf>
    <xf numFmtId="0" fontId="4" fillId="3" borderId="0" xfId="377" applyFont="1" applyFill="1" applyProtection="1"/>
    <xf numFmtId="0" fontId="4" fillId="3" borderId="0" xfId="0" applyFont="1" applyFill="1" applyProtection="1"/>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xf>
    <xf numFmtId="0" fontId="16" fillId="0" borderId="0" xfId="0" applyFont="1" applyAlignment="1">
      <alignment vertical="center" wrapText="1"/>
    </xf>
    <xf numFmtId="0" fontId="4" fillId="4" borderId="0" xfId="0" applyFont="1" applyFill="1" applyAlignment="1">
      <alignment vertical="center"/>
    </xf>
    <xf numFmtId="0" fontId="4" fillId="0" borderId="0" xfId="0" applyFont="1" applyFill="1" applyAlignment="1">
      <alignment vertical="center"/>
    </xf>
    <xf numFmtId="0" fontId="4" fillId="2" borderId="0" xfId="0" applyFont="1" applyFill="1" applyAlignment="1">
      <alignment vertical="center" wrapText="1"/>
    </xf>
    <xf numFmtId="0" fontId="4" fillId="0" borderId="0" xfId="0" applyFont="1" applyFill="1" applyAlignment="1">
      <alignment vertical="center" wrapText="1"/>
    </xf>
    <xf numFmtId="0" fontId="4" fillId="5" borderId="0" xfId="0" applyFont="1" applyFill="1" applyAlignment="1">
      <alignment vertical="center" wrapText="1"/>
    </xf>
    <xf numFmtId="0" fontId="4" fillId="3" borderId="0" xfId="0" applyFont="1" applyFill="1" applyAlignment="1">
      <alignment vertical="center"/>
    </xf>
    <xf numFmtId="37" fontId="4" fillId="0" borderId="0" xfId="0" applyNumberFormat="1" applyFont="1" applyFill="1" applyAlignment="1" applyProtection="1">
      <alignment horizontal="left" vertical="center" wrapText="1"/>
    </xf>
    <xf numFmtId="0" fontId="4" fillId="0" borderId="0" xfId="0" applyFont="1" applyAlignment="1" applyProtection="1">
      <alignment vertical="center"/>
      <protection locked="0"/>
    </xf>
    <xf numFmtId="37" fontId="3" fillId="2" borderId="0" xfId="0" applyNumberFormat="1" applyFont="1" applyFill="1" applyAlignment="1" applyProtection="1">
      <alignment horizontal="left" vertical="center"/>
    </xf>
    <xf numFmtId="0" fontId="4" fillId="2" borderId="0" xfId="0" applyFont="1" applyFill="1" applyAlignment="1" applyProtection="1">
      <alignment vertical="center"/>
    </xf>
    <xf numFmtId="37" fontId="4" fillId="4" borderId="1" xfId="0" applyNumberFormat="1" applyFont="1" applyFill="1" applyBorder="1" applyAlignment="1" applyProtection="1">
      <alignment horizontal="left" vertical="center"/>
      <protection locked="0"/>
    </xf>
    <xf numFmtId="0" fontId="4" fillId="4" borderId="1" xfId="0" applyFont="1" applyFill="1" applyBorder="1" applyAlignment="1" applyProtection="1">
      <alignment vertical="center"/>
    </xf>
    <xf numFmtId="37" fontId="4" fillId="4" borderId="3" xfId="0" applyNumberFormat="1" applyFont="1" applyFill="1" applyBorder="1" applyAlignment="1" applyProtection="1">
      <alignment horizontal="left" vertical="center"/>
      <protection locked="0"/>
    </xf>
    <xf numFmtId="0" fontId="4" fillId="4" borderId="3" xfId="0" applyFont="1" applyFill="1" applyBorder="1" applyAlignment="1" applyProtection="1">
      <alignment vertical="center"/>
    </xf>
    <xf numFmtId="37" fontId="4" fillId="2" borderId="0" xfId="0" applyNumberFormat="1" applyFont="1" applyFill="1" applyAlignment="1" applyProtection="1">
      <alignment horizontal="left" vertical="center"/>
    </xf>
    <xf numFmtId="37" fontId="4" fillId="2" borderId="0" xfId="0" applyNumberFormat="1" applyFont="1" applyFill="1" applyBorder="1" applyAlignment="1" applyProtection="1">
      <alignment horizontal="left" vertical="center"/>
      <protection locked="0"/>
    </xf>
    <xf numFmtId="0" fontId="3" fillId="4" borderId="4" xfId="0" applyFont="1" applyFill="1" applyBorder="1" applyAlignment="1" applyProtection="1">
      <alignment horizontal="center" vertical="center"/>
      <protection locked="0"/>
    </xf>
    <xf numFmtId="37" fontId="3" fillId="2" borderId="0" xfId="0" applyNumberFormat="1" applyFont="1" applyFill="1" applyAlignment="1" applyProtection="1">
      <alignment horizontal="centerContinuous" vertical="center"/>
    </xf>
    <xf numFmtId="0" fontId="4" fillId="2" borderId="0" xfId="0" applyFont="1" applyFill="1" applyAlignment="1" applyProtection="1">
      <alignment horizontal="centerContinuous" vertical="center"/>
    </xf>
    <xf numFmtId="0" fontId="3" fillId="6" borderId="0" xfId="0" applyFont="1" applyFill="1" applyAlignment="1" applyProtection="1">
      <alignment vertical="center"/>
    </xf>
    <xf numFmtId="0" fontId="4" fillId="6" borderId="0" xfId="0" applyFont="1" applyFill="1" applyAlignment="1" applyProtection="1">
      <alignment vertical="center"/>
    </xf>
    <xf numFmtId="37" fontId="3" fillId="7" borderId="0" xfId="0" applyNumberFormat="1" applyFont="1" applyFill="1" applyAlignment="1" applyProtection="1">
      <alignment horizontal="left" vertical="center"/>
    </xf>
    <xf numFmtId="0" fontId="4" fillId="7" borderId="0" xfId="0" applyFont="1" applyFill="1" applyAlignment="1" applyProtection="1">
      <alignment vertical="center"/>
    </xf>
    <xf numFmtId="0" fontId="4" fillId="5" borderId="2" xfId="0" applyNumberFormat="1" applyFont="1" applyFill="1" applyBorder="1" applyAlignment="1" applyProtection="1">
      <alignment horizontal="center" vertical="center"/>
    </xf>
    <xf numFmtId="37" fontId="4" fillId="2" borderId="5" xfId="0" applyNumberFormat="1" applyFont="1" applyFill="1" applyBorder="1" applyAlignment="1" applyProtection="1">
      <alignment horizontal="center" vertical="center"/>
    </xf>
    <xf numFmtId="37" fontId="4" fillId="5" borderId="6" xfId="0" applyNumberFormat="1" applyFont="1" applyFill="1" applyBorder="1" applyAlignment="1" applyProtection="1">
      <alignment horizontal="center" vertical="center"/>
    </xf>
    <xf numFmtId="37" fontId="4" fillId="2" borderId="4" xfId="0" applyNumberFormat="1" applyFont="1" applyFill="1" applyBorder="1" applyAlignment="1" applyProtection="1">
      <alignment horizontal="left" vertical="center"/>
    </xf>
    <xf numFmtId="0" fontId="4" fillId="2" borderId="4" xfId="0" applyFont="1" applyFill="1" applyBorder="1" applyAlignment="1" applyProtection="1">
      <alignment vertical="center"/>
    </xf>
    <xf numFmtId="3" fontId="4" fillId="8" borderId="6" xfId="0" applyNumberFormat="1" applyFont="1" applyFill="1" applyBorder="1" applyAlignment="1" applyProtection="1">
      <alignment vertical="center"/>
      <protection locked="0"/>
    </xf>
    <xf numFmtId="3" fontId="4" fillId="8" borderId="4" xfId="0" applyNumberFormat="1" applyFont="1" applyFill="1" applyBorder="1" applyAlignment="1" applyProtection="1">
      <alignment vertical="center"/>
      <protection locked="0"/>
    </xf>
    <xf numFmtId="0" fontId="0" fillId="2" borderId="0" xfId="0" applyFill="1" applyAlignment="1">
      <alignment vertical="center"/>
    </xf>
    <xf numFmtId="0" fontId="4" fillId="8" borderId="4" xfId="0" applyFont="1" applyFill="1" applyBorder="1" applyAlignment="1" applyProtection="1">
      <alignment vertical="center"/>
      <protection locked="0"/>
    </xf>
    <xf numFmtId="37" fontId="4" fillId="2" borderId="1" xfId="0" applyNumberFormat="1" applyFont="1" applyFill="1" applyBorder="1" applyAlignment="1" applyProtection="1">
      <alignment horizontal="left" vertical="center"/>
    </xf>
    <xf numFmtId="0" fontId="4" fillId="2" borderId="1" xfId="0" applyFont="1" applyFill="1" applyBorder="1" applyAlignment="1" applyProtection="1">
      <alignment vertical="center"/>
    </xf>
    <xf numFmtId="0" fontId="4" fillId="2" borderId="3" xfId="0" applyFont="1" applyFill="1" applyBorder="1" applyAlignment="1" applyProtection="1">
      <alignment vertical="center"/>
    </xf>
    <xf numFmtId="37" fontId="4" fillId="2" borderId="7" xfId="0" applyNumberFormat="1" applyFont="1" applyFill="1" applyBorder="1" applyAlignment="1" applyProtection="1">
      <alignment vertical="center"/>
    </xf>
    <xf numFmtId="37" fontId="4" fillId="9" borderId="7" xfId="0" applyNumberFormat="1" applyFont="1" applyFill="1" applyBorder="1" applyAlignment="1" applyProtection="1">
      <alignment vertical="center"/>
    </xf>
    <xf numFmtId="37" fontId="4" fillId="2" borderId="0" xfId="0" applyNumberFormat="1" applyFont="1" applyFill="1" applyBorder="1" applyAlignment="1" applyProtection="1">
      <alignment horizontal="left" vertical="center"/>
    </xf>
    <xf numFmtId="0" fontId="4" fillId="2" borderId="0" xfId="0" applyFont="1" applyFill="1" applyBorder="1" applyAlignment="1" applyProtection="1">
      <alignment vertical="center"/>
    </xf>
    <xf numFmtId="37" fontId="4" fillId="2" borderId="0" xfId="0" applyNumberFormat="1" applyFont="1" applyFill="1" applyBorder="1" applyAlignment="1" applyProtection="1">
      <alignment vertical="center"/>
    </xf>
    <xf numFmtId="164" fontId="4" fillId="8" borderId="4" xfId="0" applyNumberFormat="1" applyFont="1" applyFill="1" applyBorder="1" applyAlignment="1" applyProtection="1">
      <alignment vertical="center"/>
      <protection locked="0"/>
    </xf>
    <xf numFmtId="164" fontId="4" fillId="2" borderId="4" xfId="0" applyNumberFormat="1" applyFont="1" applyFill="1" applyBorder="1" applyAlignment="1" applyProtection="1">
      <alignment vertical="center"/>
      <protection locked="0"/>
    </xf>
    <xf numFmtId="164" fontId="4" fillId="2" borderId="1" xfId="0" applyNumberFormat="1" applyFont="1" applyFill="1" applyBorder="1" applyAlignment="1" applyProtection="1">
      <alignment vertical="center"/>
      <protection locked="0"/>
    </xf>
    <xf numFmtId="0" fontId="4" fillId="2" borderId="5" xfId="0" applyFont="1" applyFill="1" applyBorder="1" applyAlignment="1" applyProtection="1">
      <alignment vertical="center"/>
    </xf>
    <xf numFmtId="3" fontId="4" fillId="9" borderId="4" xfId="0" applyNumberFormat="1" applyFont="1" applyFill="1" applyBorder="1" applyAlignment="1" applyProtection="1">
      <alignment vertical="center"/>
    </xf>
    <xf numFmtId="164" fontId="4" fillId="2" borderId="6" xfId="0" applyNumberFormat="1" applyFont="1" applyFill="1" applyBorder="1" applyAlignment="1" applyProtection="1">
      <alignment vertical="center"/>
      <protection locked="0"/>
    </xf>
    <xf numFmtId="3" fontId="4" fillId="2" borderId="0" xfId="0" applyNumberFormat="1" applyFont="1" applyFill="1" applyBorder="1" applyAlignment="1" applyProtection="1">
      <alignment vertical="center"/>
      <protection locked="0"/>
    </xf>
    <xf numFmtId="37" fontId="4" fillId="6" borderId="0" xfId="0" applyNumberFormat="1" applyFont="1" applyFill="1" applyAlignment="1" applyProtection="1">
      <alignment horizontal="center" vertical="center"/>
    </xf>
    <xf numFmtId="0" fontId="4" fillId="6" borderId="1" xfId="0" applyFont="1" applyFill="1" applyBorder="1" applyAlignment="1">
      <alignment horizontal="center" vertical="center"/>
    </xf>
    <xf numFmtId="37" fontId="4" fillId="2" borderId="4" xfId="0" applyNumberFormat="1" applyFont="1" applyFill="1" applyBorder="1" applyAlignment="1" applyProtection="1">
      <alignment vertical="center"/>
    </xf>
    <xf numFmtId="164" fontId="4" fillId="9" borderId="4" xfId="0" applyNumberFormat="1" applyFont="1" applyFill="1" applyBorder="1" applyAlignment="1" applyProtection="1">
      <alignment vertical="center"/>
    </xf>
    <xf numFmtId="37" fontId="4" fillId="5" borderId="1" xfId="0" applyNumberFormat="1" applyFont="1" applyFill="1" applyBorder="1" applyAlignment="1" applyProtection="1">
      <alignment horizontal="left" vertical="center"/>
    </xf>
    <xf numFmtId="0" fontId="4" fillId="5" borderId="1" xfId="0" applyFont="1" applyFill="1" applyBorder="1" applyAlignment="1" applyProtection="1">
      <alignment vertical="center"/>
    </xf>
    <xf numFmtId="37" fontId="4" fillId="5" borderId="3" xfId="0" applyNumberFormat="1" applyFont="1" applyFill="1" applyBorder="1" applyAlignment="1" applyProtection="1">
      <alignment horizontal="left" vertical="center"/>
    </xf>
    <xf numFmtId="0" fontId="4" fillId="5" borderId="3" xfId="0" applyFont="1" applyFill="1" applyBorder="1" applyAlignment="1" applyProtection="1">
      <alignment vertical="center"/>
    </xf>
    <xf numFmtId="0" fontId="4" fillId="2" borderId="7" xfId="0" applyFont="1" applyFill="1" applyBorder="1" applyAlignment="1" applyProtection="1">
      <alignment vertical="center"/>
    </xf>
    <xf numFmtId="37" fontId="12" fillId="6" borderId="0" xfId="0" applyNumberFormat="1" applyFont="1" applyFill="1" applyAlignment="1" applyProtection="1">
      <alignment horizontal="left" vertical="center"/>
    </xf>
    <xf numFmtId="0" fontId="5" fillId="5" borderId="0" xfId="0" applyFont="1" applyFill="1" applyAlignment="1" applyProtection="1">
      <alignment vertical="center"/>
    </xf>
    <xf numFmtId="0" fontId="5" fillId="2" borderId="0" xfId="0" applyFont="1" applyFill="1" applyAlignment="1" applyProtection="1">
      <alignment horizontal="center" vertical="center"/>
    </xf>
    <xf numFmtId="3" fontId="4" fillId="2" borderId="0" xfId="0" applyNumberFormat="1" applyFont="1" applyFill="1" applyAlignment="1" applyProtection="1">
      <alignment vertical="center"/>
    </xf>
    <xf numFmtId="0" fontId="4" fillId="2" borderId="0" xfId="0" applyFont="1" applyFill="1" applyAlignment="1" applyProtection="1">
      <alignment vertical="center"/>
      <protection locked="0"/>
    </xf>
    <xf numFmtId="0" fontId="4" fillId="2" borderId="1" xfId="0" applyFont="1" applyFill="1" applyBorder="1" applyAlignment="1" applyProtection="1">
      <alignment horizontal="center" vertical="center"/>
    </xf>
    <xf numFmtId="0" fontId="4" fillId="2" borderId="1" xfId="0" applyFont="1" applyFill="1" applyBorder="1" applyAlignment="1" applyProtection="1">
      <alignment horizontal="center" vertical="center"/>
      <protection locked="0"/>
    </xf>
    <xf numFmtId="0" fontId="4" fillId="6" borderId="1" xfId="0" applyFont="1" applyFill="1" applyBorder="1" applyAlignment="1" applyProtection="1">
      <alignment vertical="center"/>
    </xf>
    <xf numFmtId="0" fontId="4" fillId="2" borderId="5" xfId="0" applyFont="1" applyFill="1" applyBorder="1" applyAlignment="1" applyProtection="1">
      <alignment vertical="center"/>
      <protection locked="0"/>
    </xf>
    <xf numFmtId="3" fontId="4" fillId="4" borderId="4" xfId="0" applyNumberFormat="1" applyFont="1" applyFill="1" applyBorder="1" applyAlignment="1" applyProtection="1">
      <alignment vertical="center"/>
      <protection locked="0"/>
    </xf>
    <xf numFmtId="0" fontId="4" fillId="6" borderId="3" xfId="0" applyFont="1" applyFill="1" applyBorder="1" applyAlignment="1" applyProtection="1">
      <alignment vertical="center"/>
    </xf>
    <xf numFmtId="0" fontId="4" fillId="2" borderId="7" xfId="0" applyFont="1" applyFill="1" applyBorder="1" applyAlignment="1" applyProtection="1">
      <alignment vertical="center"/>
      <protection locked="0"/>
    </xf>
    <xf numFmtId="0" fontId="0" fillId="0" borderId="0" xfId="0" applyAlignment="1">
      <alignment vertical="center"/>
    </xf>
    <xf numFmtId="37" fontId="4" fillId="2" borderId="3" xfId="0" applyNumberFormat="1" applyFont="1" applyFill="1" applyBorder="1" applyAlignment="1" applyProtection="1">
      <alignment horizontal="left" vertical="center"/>
    </xf>
    <xf numFmtId="37" fontId="4" fillId="4" borderId="4" xfId="0" applyNumberFormat="1" applyFont="1" applyFill="1" applyBorder="1" applyAlignment="1" applyProtection="1">
      <alignment vertical="center"/>
      <protection locked="0"/>
    </xf>
    <xf numFmtId="37" fontId="3" fillId="2" borderId="3" xfId="0" applyNumberFormat="1" applyFont="1" applyFill="1" applyBorder="1" applyAlignment="1" applyProtection="1">
      <alignment horizontal="left" vertical="center"/>
    </xf>
    <xf numFmtId="0" fontId="12" fillId="2" borderId="0" xfId="0" applyFont="1" applyFill="1" applyBorder="1" applyAlignment="1" applyProtection="1">
      <alignment horizontal="center" vertical="center"/>
    </xf>
    <xf numFmtId="171" fontId="4" fillId="4" borderId="1" xfId="0" applyNumberFormat="1" applyFont="1" applyFill="1" applyBorder="1" applyAlignment="1" applyProtection="1">
      <alignment vertical="center"/>
      <protection locked="0"/>
    </xf>
    <xf numFmtId="171" fontId="4" fillId="4" borderId="3" xfId="0" applyNumberFormat="1" applyFont="1" applyFill="1" applyBorder="1" applyAlignment="1" applyProtection="1">
      <alignment vertical="center"/>
      <protection locked="0"/>
    </xf>
    <xf numFmtId="0" fontId="4" fillId="2" borderId="8" xfId="0" applyFont="1" applyFill="1" applyBorder="1" applyAlignment="1" applyProtection="1">
      <alignment vertical="center"/>
    </xf>
    <xf numFmtId="171" fontId="4" fillId="4" borderId="8" xfId="0" applyNumberFormat="1" applyFont="1" applyFill="1" applyBorder="1" applyAlignment="1" applyProtection="1">
      <alignment vertical="center"/>
      <protection locked="0"/>
    </xf>
    <xf numFmtId="0" fontId="0" fillId="2" borderId="0" xfId="0" applyFill="1" applyAlignment="1" applyProtection="1">
      <alignment vertical="center"/>
    </xf>
    <xf numFmtId="0" fontId="0" fillId="2" borderId="0" xfId="0" applyFill="1" applyBorder="1" applyAlignment="1" applyProtection="1">
      <alignment vertical="center"/>
    </xf>
    <xf numFmtId="171" fontId="4" fillId="2" borderId="4" xfId="0" applyNumberFormat="1" applyFont="1" applyFill="1" applyBorder="1" applyAlignment="1" applyProtection="1">
      <alignment vertical="center"/>
    </xf>
    <xf numFmtId="0" fontId="0" fillId="2" borderId="1" xfId="0" applyFill="1" applyBorder="1" applyAlignment="1" applyProtection="1">
      <alignment vertical="center"/>
    </xf>
    <xf numFmtId="37" fontId="3" fillId="6" borderId="0" xfId="0" applyNumberFormat="1" applyFont="1" applyFill="1" applyAlignment="1" applyProtection="1">
      <alignment horizontal="left" vertical="center"/>
    </xf>
    <xf numFmtId="3" fontId="4" fillId="6" borderId="0" xfId="0" applyNumberFormat="1" applyFont="1" applyFill="1" applyAlignment="1" applyProtection="1">
      <alignment vertical="center"/>
    </xf>
    <xf numFmtId="3" fontId="4" fillId="2" borderId="5" xfId="0" applyNumberFormat="1" applyFont="1" applyFill="1" applyBorder="1" applyAlignment="1" applyProtection="1">
      <alignment vertical="center"/>
    </xf>
    <xf numFmtId="3" fontId="4" fillId="2" borderId="7" xfId="0" applyNumberFormat="1" applyFont="1" applyFill="1" applyBorder="1" applyAlignment="1" applyProtection="1">
      <alignment vertical="center"/>
    </xf>
    <xf numFmtId="0" fontId="3" fillId="6" borderId="0" xfId="0" applyFont="1" applyFill="1" applyAlignment="1">
      <alignment vertical="center"/>
    </xf>
    <xf numFmtId="0" fontId="1" fillId="6" borderId="0" xfId="0" applyFont="1" applyFill="1" applyAlignment="1">
      <alignment vertical="center"/>
    </xf>
    <xf numFmtId="0" fontId="0" fillId="6" borderId="0" xfId="0" applyFill="1" applyAlignment="1" applyProtection="1">
      <alignment vertical="center"/>
      <protection locked="0"/>
    </xf>
    <xf numFmtId="0" fontId="4" fillId="2" borderId="1" xfId="0" applyFont="1" applyFill="1" applyBorder="1" applyAlignment="1">
      <alignment vertical="center"/>
    </xf>
    <xf numFmtId="0" fontId="0" fillId="2" borderId="1" xfId="0" applyFill="1" applyBorder="1" applyAlignment="1">
      <alignment vertical="center"/>
    </xf>
    <xf numFmtId="0" fontId="0" fillId="2" borderId="5" xfId="0" applyFill="1" applyBorder="1" applyAlignment="1">
      <alignment vertical="center"/>
    </xf>
    <xf numFmtId="0" fontId="4" fillId="2" borderId="3" xfId="0" applyFont="1" applyFill="1" applyBorder="1" applyAlignment="1">
      <alignment vertical="center"/>
    </xf>
    <xf numFmtId="0" fontId="0" fillId="2" borderId="3" xfId="0" applyFill="1" applyBorder="1" applyAlignment="1">
      <alignment vertical="center"/>
    </xf>
    <xf numFmtId="0" fontId="0" fillId="2" borderId="7" xfId="0" applyFill="1" applyBorder="1" applyAlignment="1">
      <alignment vertical="center"/>
    </xf>
    <xf numFmtId="0" fontId="0" fillId="3" borderId="0" xfId="0" applyFill="1" applyAlignment="1">
      <alignment vertical="center"/>
    </xf>
    <xf numFmtId="0" fontId="4" fillId="5" borderId="2" xfId="0" applyFont="1" applyFill="1" applyBorder="1" applyAlignment="1">
      <alignment horizontal="center" vertical="center"/>
    </xf>
    <xf numFmtId="0" fontId="4" fillId="5" borderId="6" xfId="0" applyFont="1" applyFill="1" applyBorder="1" applyAlignment="1">
      <alignment horizontal="center" vertical="center"/>
    </xf>
    <xf numFmtId="0" fontId="15" fillId="2" borderId="0" xfId="0" applyFont="1" applyFill="1" applyAlignment="1">
      <alignment vertical="center"/>
    </xf>
    <xf numFmtId="0" fontId="18" fillId="2" borderId="0" xfId="0" applyFont="1" applyFill="1" applyAlignment="1">
      <alignment vertical="center"/>
    </xf>
    <xf numFmtId="37" fontId="4" fillId="2" borderId="4" xfId="0" applyNumberFormat="1" applyFont="1" applyFill="1" applyBorder="1" applyAlignment="1">
      <alignment vertical="center"/>
    </xf>
    <xf numFmtId="0" fontId="4" fillId="2" borderId="0" xfId="0" applyFont="1" applyFill="1" applyAlignment="1" applyProtection="1">
      <alignment horizontal="right" vertical="center"/>
    </xf>
    <xf numFmtId="37" fontId="4" fillId="2" borderId="0" xfId="0" applyNumberFormat="1" applyFont="1" applyFill="1" applyAlignment="1" applyProtection="1">
      <alignment horizontal="center" vertical="center"/>
    </xf>
    <xf numFmtId="37" fontId="4" fillId="2" borderId="0" xfId="0" applyNumberFormat="1" applyFont="1" applyFill="1" applyAlignment="1" applyProtection="1">
      <alignment horizontal="centerContinuous" vertical="center"/>
    </xf>
    <xf numFmtId="37" fontId="4" fillId="2" borderId="9" xfId="0" applyNumberFormat="1" applyFont="1" applyFill="1" applyBorder="1" applyAlignment="1" applyProtection="1">
      <alignment horizontal="centerContinuous" vertical="center"/>
    </xf>
    <xf numFmtId="0" fontId="4" fillId="2" borderId="3" xfId="0" applyFont="1" applyFill="1" applyBorder="1" applyAlignment="1" applyProtection="1">
      <alignment horizontal="centerContinuous" vertical="center"/>
    </xf>
    <xf numFmtId="0" fontId="4" fillId="2" borderId="7" xfId="0" applyFont="1" applyFill="1" applyBorder="1" applyAlignment="1" applyProtection="1">
      <alignment horizontal="centerContinuous" vertical="center"/>
    </xf>
    <xf numFmtId="37" fontId="4" fillId="2" borderId="1" xfId="0" applyNumberFormat="1" applyFont="1" applyFill="1" applyBorder="1" applyAlignment="1" applyProtection="1">
      <alignment horizontal="fill" vertical="center"/>
    </xf>
    <xf numFmtId="37" fontId="4" fillId="2" borderId="2" xfId="0" applyNumberFormat="1" applyFont="1" applyFill="1" applyBorder="1" applyAlignment="1" applyProtection="1">
      <alignment horizontal="left" vertical="center"/>
    </xf>
    <xf numFmtId="37" fontId="4" fillId="2" borderId="2" xfId="0" applyNumberFormat="1" applyFont="1" applyFill="1" applyBorder="1" applyAlignment="1" applyProtection="1">
      <alignment horizontal="center" vertical="center"/>
    </xf>
    <xf numFmtId="37" fontId="4" fillId="2" borderId="10" xfId="0" applyNumberFormat="1" applyFont="1" applyFill="1" applyBorder="1" applyAlignment="1" applyProtection="1">
      <alignment horizontal="center" vertical="center"/>
    </xf>
    <xf numFmtId="0" fontId="4" fillId="2" borderId="10" xfId="0" applyFont="1" applyFill="1" applyBorder="1" applyAlignment="1">
      <alignment horizontal="center" vertical="center"/>
    </xf>
    <xf numFmtId="37" fontId="3" fillId="2" borderId="1" xfId="0" applyNumberFormat="1" applyFont="1" applyFill="1" applyBorder="1" applyAlignment="1" applyProtection="1">
      <alignment horizontal="left" vertical="center"/>
    </xf>
    <xf numFmtId="37" fontId="4" fillId="2" borderId="6" xfId="0" applyNumberFormat="1" applyFont="1" applyFill="1" applyBorder="1" applyAlignment="1" applyProtection="1">
      <alignment horizontal="center" vertical="center"/>
    </xf>
    <xf numFmtId="0" fontId="4" fillId="2" borderId="6" xfId="0" applyFont="1" applyFill="1" applyBorder="1" applyAlignment="1">
      <alignment horizontal="center" vertical="center"/>
    </xf>
    <xf numFmtId="37" fontId="4" fillId="2" borderId="9" xfId="0" applyNumberFormat="1" applyFont="1" applyFill="1" applyBorder="1" applyAlignment="1" applyProtection="1">
      <alignment horizontal="left" vertical="center"/>
    </xf>
    <xf numFmtId="37" fontId="4" fillId="2" borderId="4" xfId="0" applyNumberFormat="1" applyFont="1" applyFill="1" applyBorder="1" applyAlignment="1" applyProtection="1">
      <alignment horizontal="center" vertical="center"/>
    </xf>
    <xf numFmtId="0" fontId="4" fillId="2" borderId="2" xfId="0" applyFont="1" applyFill="1" applyBorder="1" applyAlignment="1" applyProtection="1">
      <alignment vertical="center"/>
    </xf>
    <xf numFmtId="0" fontId="4" fillId="2" borderId="10" xfId="0" applyFont="1" applyFill="1" applyBorder="1" applyAlignment="1" applyProtection="1">
      <alignment vertical="center"/>
    </xf>
    <xf numFmtId="37" fontId="12" fillId="2" borderId="9" xfId="0" applyNumberFormat="1" applyFont="1" applyFill="1" applyBorder="1" applyAlignment="1" applyProtection="1">
      <alignment horizontal="left" vertical="center"/>
    </xf>
    <xf numFmtId="37" fontId="12" fillId="2" borderId="7" xfId="0" applyNumberFormat="1"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6" xfId="0" applyFont="1" applyFill="1" applyBorder="1" applyAlignment="1" applyProtection="1">
      <alignment vertical="center"/>
    </xf>
    <xf numFmtId="37" fontId="4" fillId="9" borderId="4" xfId="0" applyNumberFormat="1" applyFont="1" applyFill="1" applyBorder="1" applyAlignment="1" applyProtection="1">
      <alignment horizontal="center" vertical="center"/>
    </xf>
    <xf numFmtId="37" fontId="4" fillId="2" borderId="9" xfId="0" applyNumberFormat="1" applyFont="1" applyFill="1" applyBorder="1" applyAlignment="1" applyProtection="1">
      <alignment vertical="center"/>
    </xf>
    <xf numFmtId="0" fontId="4" fillId="2" borderId="7" xfId="0" applyFont="1" applyFill="1" applyBorder="1" applyAlignment="1" applyProtection="1">
      <alignment horizontal="center" vertical="center"/>
    </xf>
    <xf numFmtId="37" fontId="4" fillId="2" borderId="7" xfId="0" applyNumberFormat="1"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37" fontId="4" fillId="10" borderId="4" xfId="0" applyNumberFormat="1" applyFont="1" applyFill="1" applyBorder="1" applyAlignment="1" applyProtection="1">
      <alignment horizontal="left" vertical="center"/>
    </xf>
    <xf numFmtId="0" fontId="4" fillId="10" borderId="4" xfId="0" applyFont="1" applyFill="1" applyBorder="1" applyAlignment="1" applyProtection="1">
      <alignment vertical="center"/>
    </xf>
    <xf numFmtId="37" fontId="4" fillId="10" borderId="4" xfId="0" applyNumberFormat="1" applyFont="1" applyFill="1" applyBorder="1" applyAlignment="1" applyProtection="1">
      <alignment vertical="center"/>
    </xf>
    <xf numFmtId="0" fontId="0" fillId="10" borderId="4" xfId="0" applyFill="1" applyBorder="1" applyAlignment="1" applyProtection="1">
      <alignment vertical="center"/>
    </xf>
    <xf numFmtId="0" fontId="15" fillId="10" borderId="7" xfId="0" applyFont="1" applyFill="1" applyBorder="1" applyAlignment="1" applyProtection="1">
      <alignment horizontal="center" vertical="center"/>
    </xf>
    <xf numFmtId="37" fontId="4" fillId="2" borderId="0" xfId="0" applyNumberFormat="1" applyFont="1" applyFill="1" applyAlignment="1" applyProtection="1">
      <alignment horizontal="right" vertical="center"/>
    </xf>
    <xf numFmtId="0" fontId="4" fillId="2" borderId="0" xfId="0" applyFont="1" applyFill="1" applyBorder="1" applyAlignment="1" applyProtection="1">
      <alignment horizontal="right" vertical="center"/>
    </xf>
    <xf numFmtId="0" fontId="4" fillId="2" borderId="0" xfId="0" applyFont="1" applyFill="1" applyAlignment="1" applyProtection="1">
      <alignment horizontal="left" vertical="center"/>
    </xf>
    <xf numFmtId="0" fontId="4" fillId="2" borderId="0" xfId="0" applyFont="1" applyFill="1" applyAlignment="1" applyProtection="1">
      <alignment horizontal="center" vertical="center"/>
    </xf>
    <xf numFmtId="0" fontId="4" fillId="2" borderId="0" xfId="0" applyFont="1" applyFill="1" applyAlignment="1">
      <alignment vertical="center"/>
    </xf>
    <xf numFmtId="37" fontId="4" fillId="2" borderId="0" xfId="0" applyNumberFormat="1" applyFont="1" applyFill="1" applyAlignment="1">
      <alignment vertical="center"/>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4" fillId="2" borderId="0" xfId="0" quotePrefix="1" applyFont="1" applyFill="1" applyAlignment="1">
      <alignment horizontal="right" vertical="center"/>
    </xf>
    <xf numFmtId="3" fontId="4" fillId="2" borderId="0" xfId="0" applyNumberFormat="1" applyFont="1" applyFill="1" applyAlignment="1">
      <alignment vertical="center"/>
    </xf>
    <xf numFmtId="3" fontId="4" fillId="2" borderId="0" xfId="0" quotePrefix="1" applyNumberFormat="1" applyFont="1" applyFill="1" applyAlignment="1">
      <alignment vertical="center"/>
    </xf>
    <xf numFmtId="3" fontId="4" fillId="2" borderId="1" xfId="0" applyNumberFormat="1" applyFont="1" applyFill="1" applyBorder="1" applyAlignment="1">
      <alignment vertical="center"/>
    </xf>
    <xf numFmtId="3" fontId="4" fillId="2" borderId="3" xfId="0" applyNumberFormat="1" applyFont="1" applyFill="1" applyBorder="1" applyAlignment="1" applyProtection="1">
      <alignment horizontal="right" vertical="center"/>
    </xf>
    <xf numFmtId="0" fontId="3" fillId="2" borderId="0" xfId="0" applyFont="1" applyFill="1" applyAlignment="1">
      <alignment vertical="center"/>
    </xf>
    <xf numFmtId="3" fontId="4" fillId="2" borderId="3" xfId="0" applyNumberFormat="1" applyFont="1" applyFill="1" applyBorder="1" applyAlignment="1">
      <alignment vertical="center"/>
    </xf>
    <xf numFmtId="3" fontId="4" fillId="2" borderId="1" xfId="0" applyNumberFormat="1" applyFont="1" applyFill="1" applyBorder="1" applyAlignment="1" applyProtection="1">
      <alignment vertical="center"/>
    </xf>
    <xf numFmtId="3" fontId="4" fillId="2" borderId="0" xfId="0" applyNumberFormat="1" applyFont="1" applyFill="1" applyBorder="1" applyAlignment="1">
      <alignment vertical="center"/>
    </xf>
    <xf numFmtId="0" fontId="4" fillId="2" borderId="0" xfId="0" quotePrefix="1" applyFont="1" applyFill="1" applyAlignment="1">
      <alignment vertical="center"/>
    </xf>
    <xf numFmtId="0" fontId="4" fillId="2" borderId="0" xfId="0" applyFont="1" applyFill="1" applyAlignment="1">
      <alignment horizontal="right" vertical="center"/>
    </xf>
    <xf numFmtId="3" fontId="4" fillId="2" borderId="3" xfId="0" applyNumberFormat="1" applyFont="1" applyFill="1" applyBorder="1" applyAlignment="1" applyProtection="1">
      <alignment vertical="center"/>
    </xf>
    <xf numFmtId="3" fontId="4" fillId="2" borderId="8" xfId="0" applyNumberFormat="1" applyFont="1" applyFill="1" applyBorder="1" applyAlignment="1">
      <alignment vertical="center"/>
    </xf>
    <xf numFmtId="0" fontId="4" fillId="2" borderId="8" xfId="0" applyFont="1" applyFill="1" applyBorder="1" applyAlignment="1">
      <alignment vertical="center"/>
    </xf>
    <xf numFmtId="0" fontId="4" fillId="2" borderId="0" xfId="0" applyFont="1" applyFill="1" applyBorder="1" applyAlignment="1">
      <alignment vertical="center"/>
    </xf>
    <xf numFmtId="167" fontId="4" fillId="2" borderId="1" xfId="0" applyNumberFormat="1" applyFont="1" applyFill="1" applyBorder="1" applyAlignment="1">
      <alignment vertical="center"/>
    </xf>
    <xf numFmtId="0" fontId="4" fillId="2" borderId="0" xfId="0" quotePrefix="1" applyFont="1" applyFill="1" applyBorder="1" applyAlignment="1">
      <alignment vertical="center"/>
    </xf>
    <xf numFmtId="3" fontId="4" fillId="2" borderId="13" xfId="0" applyNumberFormat="1" applyFont="1" applyFill="1" applyBorder="1" applyAlignment="1">
      <alignment vertical="center"/>
    </xf>
    <xf numFmtId="3" fontId="4" fillId="2" borderId="1" xfId="1" applyNumberFormat="1" applyFont="1" applyFill="1" applyBorder="1" applyAlignment="1" applyProtection="1">
      <alignment vertical="center"/>
    </xf>
    <xf numFmtId="0" fontId="6" fillId="0" borderId="0" xfId="0" applyFont="1" applyAlignment="1">
      <alignment vertical="center"/>
    </xf>
    <xf numFmtId="37" fontId="4" fillId="2" borderId="0" xfId="0" applyNumberFormat="1" applyFont="1" applyFill="1" applyAlignment="1" applyProtection="1">
      <alignment vertical="center"/>
    </xf>
    <xf numFmtId="0" fontId="4" fillId="2" borderId="1" xfId="0" applyFont="1" applyFill="1" applyBorder="1" applyAlignment="1" applyProtection="1">
      <alignment horizontal="centerContinuous" vertical="center"/>
    </xf>
    <xf numFmtId="0" fontId="4" fillId="2" borderId="2" xfId="0" applyFont="1" applyFill="1" applyBorder="1" applyAlignment="1" applyProtection="1">
      <alignment horizontal="center" vertical="center"/>
    </xf>
    <xf numFmtId="37" fontId="4" fillId="2" borderId="12" xfId="0" applyNumberFormat="1"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166" fontId="4" fillId="2" borderId="0" xfId="0" applyNumberFormat="1" applyFont="1" applyFill="1" applyAlignment="1" applyProtection="1">
      <alignment vertical="center"/>
    </xf>
    <xf numFmtId="165" fontId="4" fillId="9" borderId="1" xfId="0" applyNumberFormat="1" applyFont="1" applyFill="1" applyBorder="1" applyAlignment="1" applyProtection="1">
      <alignment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1" fontId="4" fillId="2" borderId="6" xfId="0" applyNumberFormat="1" applyFont="1" applyFill="1" applyBorder="1" applyAlignment="1" applyProtection="1">
      <alignment horizontal="center" vertical="center"/>
    </xf>
    <xf numFmtId="170" fontId="4" fillId="4" borderId="6" xfId="1" applyNumberFormat="1"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4" fillId="4" borderId="4" xfId="0" applyFont="1" applyFill="1" applyBorder="1" applyAlignment="1" applyProtection="1">
      <alignment vertical="center"/>
      <protection locked="0"/>
    </xf>
    <xf numFmtId="170" fontId="4" fillId="4" borderId="4" xfId="1" applyNumberFormat="1"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xf>
    <xf numFmtId="3" fontId="4" fillId="9" borderId="4" xfId="0" applyNumberFormat="1" applyFont="1" applyFill="1" applyBorder="1" applyAlignment="1" applyProtection="1">
      <alignment horizontal="center" vertical="center"/>
    </xf>
    <xf numFmtId="0" fontId="4" fillId="2" borderId="0" xfId="0" applyFont="1" applyFill="1" applyAlignment="1" applyProtection="1">
      <alignment horizontal="center" vertical="center"/>
      <protection locked="0"/>
    </xf>
    <xf numFmtId="37" fontId="3" fillId="2" borderId="4" xfId="0" applyNumberFormat="1" applyFont="1" applyFill="1" applyBorder="1" applyAlignment="1" applyProtection="1">
      <alignment horizontal="center" vertical="center"/>
    </xf>
    <xf numFmtId="0" fontId="4" fillId="4" borderId="4" xfId="0" applyFont="1" applyFill="1" applyBorder="1" applyAlignment="1" applyProtection="1">
      <alignment horizontal="center" vertical="center"/>
      <protection locked="0"/>
    </xf>
    <xf numFmtId="1" fontId="4" fillId="2" borderId="0" xfId="0" applyNumberFormat="1" applyFont="1" applyFill="1" applyBorder="1" applyAlignment="1" applyProtection="1">
      <alignment horizontal="right" vertical="center"/>
    </xf>
    <xf numFmtId="0" fontId="3" fillId="2" borderId="0" xfId="378" applyFont="1" applyFill="1" applyAlignment="1" applyProtection="1">
      <alignment horizontal="centerContinuous" vertical="center"/>
    </xf>
    <xf numFmtId="0" fontId="4" fillId="2" borderId="1" xfId="0" applyFont="1" applyFill="1" applyBorder="1" applyAlignment="1" applyProtection="1">
      <alignment horizontal="fill" vertical="center"/>
    </xf>
    <xf numFmtId="0" fontId="4" fillId="2" borderId="14" xfId="0" applyFont="1" applyFill="1" applyBorder="1" applyAlignment="1" applyProtection="1">
      <alignment horizontal="centerContinuous" vertical="center"/>
    </xf>
    <xf numFmtId="0" fontId="4" fillId="2" borderId="12" xfId="0" applyFont="1" applyFill="1" applyBorder="1" applyAlignment="1" applyProtection="1">
      <alignment horizontal="centerContinuous" vertical="center"/>
    </xf>
    <xf numFmtId="0" fontId="4" fillId="2" borderId="10" xfId="0" applyFont="1" applyFill="1" applyBorder="1" applyAlignment="1" applyProtection="1">
      <alignment horizontal="center" vertical="center"/>
    </xf>
    <xf numFmtId="1" fontId="4" fillId="2" borderId="15" xfId="0" applyNumberFormat="1" applyFont="1" applyFill="1" applyBorder="1" applyAlignment="1" applyProtection="1">
      <alignment horizontal="center" vertical="center"/>
    </xf>
    <xf numFmtId="0" fontId="4" fillId="2" borderId="4" xfId="0" applyFont="1" applyFill="1" applyBorder="1" applyAlignment="1" applyProtection="1">
      <alignment horizontal="left" vertical="center"/>
    </xf>
    <xf numFmtId="2" fontId="4" fillId="2" borderId="4" xfId="0" applyNumberFormat="1" applyFont="1" applyFill="1" applyBorder="1" applyAlignment="1" applyProtection="1">
      <alignment vertical="center"/>
    </xf>
    <xf numFmtId="3" fontId="4" fillId="2" borderId="4" xfId="0" applyNumberFormat="1" applyFont="1" applyFill="1" applyBorder="1" applyAlignment="1" applyProtection="1">
      <alignment vertical="center"/>
    </xf>
    <xf numFmtId="2" fontId="4" fillId="8" borderId="4" xfId="0" applyNumberFormat="1" applyFont="1" applyFill="1" applyBorder="1" applyAlignment="1" applyProtection="1">
      <alignment horizontal="center" vertical="center"/>
      <protection locked="0"/>
    </xf>
    <xf numFmtId="3" fontId="4" fillId="8" borderId="4" xfId="0" applyNumberFormat="1" applyFont="1" applyFill="1" applyBorder="1" applyAlignment="1" applyProtection="1">
      <alignment horizontal="center" vertical="center"/>
      <protection locked="0"/>
    </xf>
    <xf numFmtId="37" fontId="4" fillId="8" borderId="4" xfId="0" applyNumberFormat="1" applyFont="1" applyFill="1" applyBorder="1" applyAlignment="1" applyProtection="1">
      <alignment horizontal="center" vertical="center"/>
      <protection locked="0"/>
    </xf>
    <xf numFmtId="169" fontId="4" fillId="8" borderId="4" xfId="0" applyNumberFormat="1" applyFont="1" applyFill="1" applyBorder="1" applyAlignment="1" applyProtection="1">
      <alignment horizontal="center" vertical="center"/>
      <protection locked="0"/>
    </xf>
    <xf numFmtId="0" fontId="3" fillId="2" borderId="4" xfId="0" applyFont="1" applyFill="1" applyBorder="1" applyAlignment="1" applyProtection="1">
      <alignment horizontal="left" vertical="center"/>
    </xf>
    <xf numFmtId="168" fontId="3" fillId="2" borderId="4" xfId="0" applyNumberFormat="1" applyFont="1" applyFill="1" applyBorder="1" applyAlignment="1" applyProtection="1">
      <alignment horizontal="center" vertical="center"/>
    </xf>
    <xf numFmtId="2" fontId="3" fillId="2" borderId="4" xfId="0" applyNumberFormat="1" applyFont="1" applyFill="1" applyBorder="1" applyAlignment="1" applyProtection="1">
      <alignment horizontal="center" vertical="center"/>
    </xf>
    <xf numFmtId="3" fontId="3" fillId="2" borderId="4" xfId="0" applyNumberFormat="1" applyFont="1" applyFill="1" applyBorder="1" applyAlignment="1" applyProtection="1">
      <alignment horizontal="center" vertical="center"/>
    </xf>
    <xf numFmtId="37" fontId="3" fillId="9" borderId="4" xfId="0" applyNumberFormat="1" applyFont="1" applyFill="1" applyBorder="1" applyAlignment="1" applyProtection="1">
      <alignment horizontal="center" vertical="center"/>
    </xf>
    <xf numFmtId="169" fontId="3" fillId="2" borderId="4" xfId="0" applyNumberFormat="1" applyFont="1" applyFill="1" applyBorder="1" applyAlignment="1" applyProtection="1">
      <alignment horizontal="center" vertical="center"/>
    </xf>
    <xf numFmtId="168" fontId="4" fillId="2" borderId="4" xfId="0" applyNumberFormat="1" applyFont="1" applyFill="1" applyBorder="1" applyAlignment="1" applyProtection="1">
      <alignment horizontal="center" vertical="center"/>
    </xf>
    <xf numFmtId="2" fontId="4" fillId="2" borderId="4" xfId="0" applyNumberFormat="1" applyFont="1" applyFill="1" applyBorder="1" applyAlignment="1" applyProtection="1">
      <alignment horizontal="center" vertical="center"/>
    </xf>
    <xf numFmtId="3" fontId="4" fillId="2" borderId="4" xfId="0" applyNumberFormat="1" applyFont="1" applyFill="1" applyBorder="1" applyAlignment="1" applyProtection="1">
      <alignment horizontal="center" vertical="center"/>
    </xf>
    <xf numFmtId="169" fontId="4" fillId="2" borderId="4" xfId="0" applyNumberFormat="1" applyFont="1" applyFill="1" applyBorder="1" applyAlignment="1" applyProtection="1">
      <alignment horizontal="center" vertical="center"/>
    </xf>
    <xf numFmtId="1" fontId="3" fillId="2" borderId="4" xfId="0" applyNumberFormat="1" applyFont="1" applyFill="1" applyBorder="1" applyAlignment="1" applyProtection="1">
      <alignment horizontal="center" vertical="center"/>
    </xf>
    <xf numFmtId="3" fontId="3" fillId="9" borderId="4" xfId="0" applyNumberFormat="1" applyFont="1" applyFill="1" applyBorder="1" applyAlignment="1" applyProtection="1">
      <alignment horizontal="center" vertical="center"/>
    </xf>
    <xf numFmtId="1" fontId="4" fillId="2" borderId="4" xfId="0" applyNumberFormat="1" applyFont="1" applyFill="1" applyBorder="1" applyAlignment="1" applyProtection="1">
      <alignment horizontal="center" vertical="center"/>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2" borderId="0" xfId="0" applyNumberFormat="1" applyFont="1" applyFill="1" applyAlignment="1" applyProtection="1">
      <alignment horizontal="right" vertical="center"/>
    </xf>
    <xf numFmtId="0" fontId="3" fillId="2" borderId="0" xfId="0" applyFont="1" applyFill="1" applyAlignment="1" applyProtection="1">
      <alignment vertical="center"/>
    </xf>
    <xf numFmtId="0" fontId="4" fillId="2" borderId="0" xfId="0" applyFont="1" applyFill="1" applyBorder="1" applyAlignment="1" applyProtection="1">
      <alignment horizontal="fill" vertical="center"/>
    </xf>
    <xf numFmtId="1" fontId="4" fillId="2" borderId="14" xfId="0" applyNumberFormat="1" applyFont="1" applyFill="1" applyBorder="1" applyAlignment="1" applyProtection="1">
      <alignment horizontal="center" vertical="center"/>
    </xf>
    <xf numFmtId="37" fontId="4" fillId="2" borderId="14" xfId="0" applyNumberFormat="1" applyFont="1" applyFill="1" applyBorder="1" applyAlignment="1" applyProtection="1">
      <alignment horizontal="center" vertical="center"/>
    </xf>
    <xf numFmtId="0" fontId="4" fillId="2" borderId="6" xfId="0" applyNumberFormat="1" applyFont="1" applyFill="1" applyBorder="1" applyAlignment="1" applyProtection="1">
      <alignment horizontal="center" vertical="center"/>
    </xf>
    <xf numFmtId="0" fontId="4" fillId="2" borderId="9" xfId="0" applyFont="1" applyFill="1" applyBorder="1" applyAlignment="1" applyProtection="1">
      <alignment horizontal="left" vertical="center"/>
    </xf>
    <xf numFmtId="37" fontId="4" fillId="8" borderId="9" xfId="0" applyNumberFormat="1" applyFont="1" applyFill="1" applyBorder="1" applyAlignment="1" applyProtection="1">
      <alignment vertical="center"/>
      <protection locked="0"/>
    </xf>
    <xf numFmtId="37" fontId="4" fillId="8" borderId="7" xfId="0" applyNumberFormat="1" applyFont="1" applyFill="1" applyBorder="1" applyAlignment="1" applyProtection="1">
      <alignment vertical="center"/>
      <protection locked="0"/>
    </xf>
    <xf numFmtId="3" fontId="4" fillId="2" borderId="9" xfId="0" applyNumberFormat="1" applyFont="1" applyFill="1" applyBorder="1" applyAlignment="1" applyProtection="1">
      <alignment vertical="center"/>
    </xf>
    <xf numFmtId="0" fontId="4" fillId="2" borderId="15" xfId="0" applyFont="1" applyFill="1" applyBorder="1" applyAlignment="1" applyProtection="1">
      <alignment horizontal="left" vertical="center"/>
    </xf>
    <xf numFmtId="3" fontId="4" fillId="8" borderId="9" xfId="0" applyNumberFormat="1" applyFont="1" applyFill="1" applyBorder="1" applyAlignment="1" applyProtection="1">
      <alignment vertical="center"/>
      <protection locked="0"/>
    </xf>
    <xf numFmtId="3" fontId="4" fillId="8" borderId="7" xfId="0" applyNumberFormat="1" applyFont="1" applyFill="1" applyBorder="1" applyAlignment="1" applyProtection="1">
      <alignment vertical="center"/>
      <protection locked="0"/>
    </xf>
    <xf numFmtId="37" fontId="4" fillId="2" borderId="4" xfId="0" applyNumberFormat="1" applyFont="1" applyFill="1" applyBorder="1" applyAlignment="1" applyProtection="1">
      <alignment horizontal="fill" vertical="center"/>
    </xf>
    <xf numFmtId="37" fontId="4" fillId="8" borderId="4" xfId="0" applyNumberFormat="1" applyFont="1" applyFill="1" applyBorder="1" applyAlignment="1" applyProtection="1">
      <alignment vertical="center"/>
      <protection locked="0"/>
    </xf>
    <xf numFmtId="0" fontId="4" fillId="8" borderId="9" xfId="0" applyFont="1" applyFill="1" applyBorder="1" applyAlignment="1" applyProtection="1">
      <alignment horizontal="left" vertical="center"/>
      <protection locked="0"/>
    </xf>
    <xf numFmtId="37" fontId="15" fillId="10" borderId="9" xfId="0" applyNumberFormat="1" applyFont="1" applyFill="1" applyBorder="1" applyAlignment="1" applyProtection="1">
      <alignment horizontal="center" vertical="center"/>
    </xf>
    <xf numFmtId="37" fontId="15" fillId="10" borderId="7" xfId="0" applyNumberFormat="1" applyFont="1" applyFill="1" applyBorder="1" applyAlignment="1" applyProtection="1">
      <alignment horizontal="center" vertical="center"/>
    </xf>
    <xf numFmtId="37" fontId="3" fillId="2" borderId="9" xfId="0" applyNumberFormat="1" applyFont="1" applyFill="1" applyBorder="1" applyAlignment="1" applyProtection="1">
      <alignment horizontal="left" vertical="center"/>
    </xf>
    <xf numFmtId="37" fontId="3" fillId="9" borderId="4" xfId="0" applyNumberFormat="1" applyFont="1" applyFill="1" applyBorder="1" applyAlignment="1" applyProtection="1">
      <alignment vertical="center"/>
    </xf>
    <xf numFmtId="3" fontId="3" fillId="9" borderId="9" xfId="0" applyNumberFormat="1" applyFont="1" applyFill="1" applyBorder="1" applyAlignment="1" applyProtection="1">
      <alignment vertical="center"/>
    </xf>
    <xf numFmtId="3" fontId="3" fillId="9" borderId="4" xfId="0" applyNumberFormat="1" applyFont="1" applyFill="1" applyBorder="1" applyAlignment="1" applyProtection="1">
      <alignment vertical="center"/>
    </xf>
    <xf numFmtId="0" fontId="3" fillId="2" borderId="0" xfId="0" applyFont="1" applyFill="1" applyAlignment="1" applyProtection="1">
      <alignment horizontal="left" vertical="center"/>
    </xf>
    <xf numFmtId="0" fontId="3" fillId="2" borderId="9" xfId="0" applyFont="1" applyFill="1" applyBorder="1" applyAlignment="1" applyProtection="1">
      <alignment horizontal="left" vertical="center"/>
    </xf>
    <xf numFmtId="3" fontId="4" fillId="9" borderId="9" xfId="0" applyNumberFormat="1" applyFont="1" applyFill="1" applyBorder="1" applyAlignment="1" applyProtection="1">
      <alignment vertical="center"/>
    </xf>
    <xf numFmtId="3" fontId="4" fillId="0" borderId="0" xfId="0" applyNumberFormat="1" applyFont="1" applyFill="1" applyBorder="1" applyAlignment="1" applyProtection="1">
      <alignment vertical="center"/>
      <protection locked="0"/>
    </xf>
    <xf numFmtId="0" fontId="4" fillId="9" borderId="9" xfId="0" applyFont="1" applyFill="1" applyBorder="1" applyAlignment="1" applyProtection="1">
      <alignment vertical="center"/>
    </xf>
    <xf numFmtId="0" fontId="4" fillId="8" borderId="9" xfId="0" applyFont="1" applyFill="1" applyBorder="1" applyAlignment="1" applyProtection="1">
      <alignment vertical="center"/>
      <protection locked="0"/>
    </xf>
    <xf numFmtId="0" fontId="4" fillId="2" borderId="9" xfId="0" applyFont="1" applyFill="1" applyBorder="1" applyAlignment="1" applyProtection="1">
      <alignment vertical="center"/>
    </xf>
    <xf numFmtId="37" fontId="4" fillId="9" borderId="4" xfId="0" applyNumberFormat="1" applyFont="1" applyFill="1" applyBorder="1" applyAlignment="1" applyProtection="1">
      <alignment vertical="center"/>
    </xf>
    <xf numFmtId="0" fontId="15" fillId="0" borderId="0" xfId="0" applyFont="1" applyAlignment="1" applyProtection="1">
      <alignment vertical="center"/>
    </xf>
    <xf numFmtId="0" fontId="13" fillId="2" borderId="0" xfId="0" applyFont="1" applyFill="1" applyAlignment="1" applyProtection="1">
      <alignment horizontal="center" vertical="center"/>
    </xf>
    <xf numFmtId="0" fontId="4" fillId="2" borderId="0" xfId="0" applyFont="1" applyFill="1" applyAlignment="1" applyProtection="1">
      <alignment horizontal="fill" vertical="center"/>
    </xf>
    <xf numFmtId="1" fontId="4" fillId="2" borderId="2" xfId="0" applyNumberFormat="1" applyFont="1" applyFill="1" applyBorder="1" applyAlignment="1" applyProtection="1">
      <alignment horizontal="center" vertical="center"/>
    </xf>
    <xf numFmtId="0" fontId="4" fillId="8" borderId="4" xfId="0" applyFont="1" applyFill="1" applyBorder="1" applyAlignment="1" applyProtection="1">
      <alignment horizontal="left" vertical="center"/>
      <protection locked="0"/>
    </xf>
    <xf numFmtId="0" fontId="4" fillId="4" borderId="0" xfId="0" applyFont="1" applyFill="1" applyAlignment="1" applyProtection="1">
      <alignment horizontal="left" vertical="center"/>
      <protection locked="0"/>
    </xf>
    <xf numFmtId="37" fontId="3" fillId="9" borderId="16" xfId="0" applyNumberFormat="1" applyFont="1" applyFill="1" applyBorder="1" applyAlignment="1" applyProtection="1">
      <alignment vertical="center"/>
    </xf>
    <xf numFmtId="0" fontId="15" fillId="2" borderId="0" xfId="0" applyFont="1" applyFill="1" applyAlignment="1" applyProtection="1">
      <alignment vertical="center"/>
    </xf>
    <xf numFmtId="37" fontId="4" fillId="2" borderId="15" xfId="0" applyNumberFormat="1" applyFont="1" applyFill="1" applyBorder="1" applyAlignment="1" applyProtection="1">
      <alignment horizontal="left" vertical="center"/>
    </xf>
    <xf numFmtId="3" fontId="4" fillId="2" borderId="4" xfId="0" applyNumberFormat="1" applyFont="1" applyFill="1" applyBorder="1" applyAlignment="1" applyProtection="1">
      <alignment horizontal="fill" vertical="center"/>
    </xf>
    <xf numFmtId="3" fontId="4" fillId="11" borderId="4" xfId="0" applyNumberFormat="1" applyFont="1" applyFill="1" applyBorder="1" applyAlignment="1" applyProtection="1">
      <alignment vertical="center"/>
    </xf>
    <xf numFmtId="1" fontId="4" fillId="2" borderId="0" xfId="0" applyNumberFormat="1" applyFont="1" applyFill="1" applyAlignment="1" applyProtection="1">
      <alignment horizontal="right" vertical="center"/>
    </xf>
    <xf numFmtId="37" fontId="4" fillId="2" borderId="0" xfId="0" applyNumberFormat="1" applyFont="1" applyFill="1" applyBorder="1" applyAlignment="1" applyProtection="1">
      <alignment horizontal="fill" vertical="center"/>
    </xf>
    <xf numFmtId="3" fontId="4" fillId="10" borderId="4" xfId="0" applyNumberFormat="1" applyFont="1" applyFill="1" applyBorder="1" applyAlignment="1" applyProtection="1">
      <alignment vertical="center"/>
    </xf>
    <xf numFmtId="3" fontId="4" fillId="0" borderId="0" xfId="0" applyNumberFormat="1" applyFont="1" applyAlignment="1" applyProtection="1">
      <alignment horizontal="fill" vertical="center"/>
      <protection locked="0"/>
    </xf>
    <xf numFmtId="0" fontId="4" fillId="4" borderId="9" xfId="0" applyFont="1" applyFill="1" applyBorder="1" applyAlignment="1" applyProtection="1">
      <alignment vertical="center"/>
      <protection locked="0"/>
    </xf>
    <xf numFmtId="3" fontId="4" fillId="2" borderId="4" xfId="0" applyNumberFormat="1" applyFont="1" applyFill="1" applyBorder="1" applyAlignment="1" applyProtection="1">
      <alignment vertical="center"/>
      <protection locked="0"/>
    </xf>
    <xf numFmtId="0" fontId="4" fillId="2" borderId="9" xfId="0" applyFont="1" applyFill="1" applyBorder="1" applyAlignment="1" applyProtection="1">
      <alignment vertical="center"/>
      <protection locked="0"/>
    </xf>
    <xf numFmtId="3" fontId="4" fillId="2" borderId="1" xfId="0" applyNumberFormat="1" applyFont="1" applyFill="1" applyBorder="1" applyAlignment="1" applyProtection="1">
      <alignment horizontal="fill" vertical="center"/>
    </xf>
    <xf numFmtId="0" fontId="4" fillId="2" borderId="14" xfId="0" applyFont="1" applyFill="1" applyBorder="1" applyAlignment="1" applyProtection="1">
      <alignment vertical="center"/>
    </xf>
    <xf numFmtId="166" fontId="4" fillId="2" borderId="1" xfId="0" applyNumberFormat="1" applyFont="1" applyFill="1" applyBorder="1" applyAlignment="1" applyProtection="1">
      <alignment vertical="center"/>
    </xf>
    <xf numFmtId="37" fontId="4" fillId="2" borderId="1" xfId="0" quotePrefix="1" applyNumberFormat="1" applyFont="1" applyFill="1" applyBorder="1" applyAlignment="1" applyProtection="1">
      <alignment horizontal="right" vertical="center"/>
    </xf>
    <xf numFmtId="37" fontId="4" fillId="8" borderId="9" xfId="0" applyNumberFormat="1" applyFont="1" applyFill="1" applyBorder="1" applyAlignment="1" applyProtection="1">
      <alignment horizontal="left" vertical="center"/>
      <protection locked="0"/>
    </xf>
    <xf numFmtId="37" fontId="15" fillId="10" borderId="4" xfId="0" applyNumberFormat="1" applyFont="1" applyFill="1" applyBorder="1" applyAlignment="1" applyProtection="1">
      <alignment horizontal="center" vertical="center"/>
    </xf>
    <xf numFmtId="0" fontId="4" fillId="2" borderId="0" xfId="0" applyFont="1" applyFill="1" applyAlignment="1">
      <alignment horizontal="center" vertical="center"/>
    </xf>
    <xf numFmtId="0" fontId="19" fillId="2" borderId="0" xfId="0" applyFont="1" applyFill="1" applyAlignment="1">
      <alignment horizontal="center" vertical="center"/>
    </xf>
    <xf numFmtId="0" fontId="12" fillId="2" borderId="0" xfId="0" applyFont="1" applyFill="1" applyAlignment="1">
      <alignment horizontal="center" vertical="center"/>
    </xf>
    <xf numFmtId="0" fontId="4" fillId="2" borderId="7" xfId="0" applyFont="1" applyFill="1" applyBorder="1" applyAlignment="1">
      <alignment horizontal="center" vertical="center"/>
    </xf>
    <xf numFmtId="0" fontId="11" fillId="2" borderId="2" xfId="0" applyFont="1" applyFill="1" applyBorder="1" applyAlignment="1">
      <alignment vertical="center"/>
    </xf>
    <xf numFmtId="0" fontId="11" fillId="2" borderId="7" xfId="0" applyFont="1" applyFill="1" applyBorder="1" applyAlignment="1">
      <alignment horizontal="center" vertical="center"/>
    </xf>
    <xf numFmtId="0" fontId="11" fillId="2" borderId="12" xfId="0" applyFont="1" applyFill="1" applyBorder="1" applyAlignment="1">
      <alignment vertical="center"/>
    </xf>
    <xf numFmtId="0" fontId="11" fillId="2" borderId="4" xfId="0" applyFont="1" applyFill="1" applyBorder="1" applyAlignment="1">
      <alignment horizontal="center" vertical="center"/>
    </xf>
    <xf numFmtId="0" fontId="4" fillId="2" borderId="7" xfId="0" applyFont="1" applyFill="1" applyBorder="1" applyAlignment="1">
      <alignment vertical="center"/>
    </xf>
    <xf numFmtId="0" fontId="4" fillId="2" borderId="4" xfId="0" applyFont="1" applyFill="1" applyBorder="1" applyAlignment="1">
      <alignment horizontal="center" vertical="center"/>
    </xf>
    <xf numFmtId="0" fontId="11" fillId="2" borderId="15" xfId="0" applyFont="1" applyFill="1" applyBorder="1" applyAlignment="1">
      <alignment vertical="center"/>
    </xf>
    <xf numFmtId="3" fontId="11" fillId="4" borderId="4" xfId="0" applyNumberFormat="1" applyFont="1" applyFill="1" applyBorder="1" applyAlignment="1" applyProtection="1">
      <alignment horizontal="center" vertical="center"/>
      <protection locked="0"/>
    </xf>
    <xf numFmtId="0" fontId="11" fillId="2" borderId="1" xfId="0" applyFont="1" applyFill="1" applyBorder="1" applyAlignment="1">
      <alignment vertical="center"/>
    </xf>
    <xf numFmtId="3" fontId="11" fillId="9" borderId="4" xfId="0" applyNumberFormat="1" applyFont="1" applyFill="1" applyBorder="1" applyAlignment="1">
      <alignment horizontal="center" vertical="center"/>
    </xf>
    <xf numFmtId="0" fontId="11" fillId="2" borderId="0" xfId="0" applyFont="1" applyFill="1" applyAlignment="1">
      <alignment vertical="center"/>
    </xf>
    <xf numFmtId="3" fontId="11" fillId="2" borderId="0" xfId="0" applyNumberFormat="1" applyFont="1" applyFill="1" applyAlignment="1">
      <alignment horizontal="center" vertical="center"/>
    </xf>
    <xf numFmtId="0" fontId="11" fillId="2" borderId="0" xfId="0" applyFont="1" applyFill="1" applyAlignment="1">
      <alignment horizontal="center" vertical="center"/>
    </xf>
    <xf numFmtId="0" fontId="11" fillId="4" borderId="4" xfId="0" applyFont="1" applyFill="1" applyBorder="1" applyAlignment="1" applyProtection="1">
      <alignment vertical="center"/>
      <protection locked="0"/>
    </xf>
    <xf numFmtId="0" fontId="11" fillId="4" borderId="12" xfId="0" applyFont="1" applyFill="1" applyBorder="1" applyAlignment="1" applyProtection="1">
      <alignment vertical="center"/>
      <protection locked="0"/>
    </xf>
    <xf numFmtId="0" fontId="11" fillId="4" borderId="0" xfId="0" applyFont="1" applyFill="1" applyAlignment="1" applyProtection="1">
      <alignment vertical="center"/>
      <protection locked="0"/>
    </xf>
    <xf numFmtId="0" fontId="11" fillId="4" borderId="7" xfId="0" applyFont="1" applyFill="1" applyBorder="1" applyAlignment="1" applyProtection="1">
      <alignment vertical="center"/>
      <protection locked="0"/>
    </xf>
    <xf numFmtId="0" fontId="11" fillId="4" borderId="6" xfId="0" applyFont="1" applyFill="1" applyBorder="1" applyAlignment="1" applyProtection="1">
      <alignment vertical="center"/>
      <protection locked="0"/>
    </xf>
    <xf numFmtId="0" fontId="11" fillId="4" borderId="11" xfId="0" applyFont="1" applyFill="1" applyBorder="1" applyAlignment="1" applyProtection="1">
      <alignment vertical="center"/>
      <protection locked="0"/>
    </xf>
    <xf numFmtId="3" fontId="17" fillId="10" borderId="4" xfId="0" applyNumberFormat="1" applyFont="1" applyFill="1" applyBorder="1" applyAlignment="1">
      <alignment horizontal="center" vertical="center"/>
    </xf>
    <xf numFmtId="3" fontId="4" fillId="0" borderId="0" xfId="0" applyNumberFormat="1" applyFont="1" applyAlignment="1">
      <alignment vertical="center"/>
    </xf>
    <xf numFmtId="0" fontId="4" fillId="9" borderId="0" xfId="0" applyFont="1" applyFill="1" applyAlignment="1">
      <alignment vertical="center"/>
    </xf>
    <xf numFmtId="0" fontId="4" fillId="0" borderId="0" xfId="0" applyFont="1" applyAlignment="1">
      <alignment horizontal="centerContinuous" vertical="center"/>
    </xf>
    <xf numFmtId="1" fontId="4" fillId="2" borderId="9" xfId="0" applyNumberFormat="1" applyFont="1" applyFill="1" applyBorder="1" applyAlignment="1" applyProtection="1">
      <alignment horizontal="centerContinuous" vertical="center"/>
    </xf>
    <xf numFmtId="164" fontId="4" fillId="2" borderId="4" xfId="0" applyNumberFormat="1" applyFont="1" applyFill="1" applyBorder="1" applyAlignment="1" applyProtection="1">
      <alignment vertical="center"/>
    </xf>
    <xf numFmtId="37" fontId="4" fillId="2" borderId="6" xfId="0" applyNumberFormat="1" applyFont="1" applyFill="1" applyBorder="1" applyAlignment="1" applyProtection="1">
      <alignment horizontal="fill" vertical="center"/>
    </xf>
    <xf numFmtId="1" fontId="5" fillId="2" borderId="0" xfId="0" applyNumberFormat="1" applyFont="1" applyFill="1" applyAlignment="1" applyProtection="1">
      <alignment horizontal="center" vertical="center"/>
    </xf>
    <xf numFmtId="3" fontId="4" fillId="2" borderId="1" xfId="0" applyNumberFormat="1" applyFont="1" applyFill="1" applyBorder="1" applyAlignment="1" applyProtection="1">
      <alignment horizontal="center" vertical="center"/>
    </xf>
    <xf numFmtId="0" fontId="4" fillId="2" borderId="2"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3" fontId="4" fillId="4" borderId="4" xfId="0" applyNumberFormat="1" applyFont="1" applyFill="1" applyBorder="1" applyAlignment="1" applyProtection="1">
      <alignment horizontal="center" vertical="center"/>
      <protection locked="0"/>
    </xf>
    <xf numFmtId="172" fontId="4" fillId="2" borderId="4" xfId="0" applyNumberFormat="1" applyFont="1" applyFill="1" applyBorder="1" applyAlignment="1" applyProtection="1">
      <alignment horizontal="center" vertical="center"/>
    </xf>
    <xf numFmtId="3" fontId="4" fillId="4" borderId="2" xfId="0" applyNumberFormat="1" applyFont="1" applyFill="1" applyBorder="1" applyAlignment="1" applyProtection="1">
      <alignment horizontal="center" vertical="center"/>
      <protection locked="0"/>
    </xf>
    <xf numFmtId="3" fontId="4" fillId="2" borderId="16" xfId="0" applyNumberFormat="1" applyFont="1" applyFill="1" applyBorder="1" applyAlignment="1" applyProtection="1">
      <alignment horizontal="center" vertical="center"/>
    </xf>
    <xf numFmtId="172" fontId="4" fillId="2" borderId="16" xfId="0" applyNumberFormat="1" applyFont="1" applyFill="1" applyBorder="1" applyAlignment="1" applyProtection="1">
      <alignment horizontal="center" vertical="center"/>
    </xf>
    <xf numFmtId="172" fontId="4" fillId="2" borderId="1" xfId="0" applyNumberFormat="1" applyFont="1" applyFill="1" applyBorder="1" applyAlignment="1" applyProtection="1">
      <alignment horizontal="center" vertical="center"/>
    </xf>
    <xf numFmtId="172" fontId="4" fillId="2" borderId="0" xfId="0" applyNumberFormat="1" applyFont="1" applyFill="1" applyBorder="1" applyAlignment="1" applyProtection="1">
      <alignment horizontal="center" vertical="center"/>
    </xf>
    <xf numFmtId="3" fontId="4" fillId="2" borderId="1" xfId="0" applyNumberFormat="1" applyFont="1" applyFill="1" applyBorder="1" applyAlignment="1">
      <alignment horizontal="center" vertical="center"/>
    </xf>
    <xf numFmtId="0" fontId="0" fillId="2" borderId="0" xfId="0" applyFill="1" applyAlignment="1">
      <alignment horizontal="center" vertical="center"/>
    </xf>
    <xf numFmtId="172" fontId="4" fillId="2" borderId="1" xfId="0" applyNumberFormat="1" applyFont="1" applyFill="1" applyBorder="1" applyAlignment="1">
      <alignment horizontal="center" vertical="center"/>
    </xf>
    <xf numFmtId="171" fontId="4" fillId="2" borderId="0" xfId="0" applyNumberFormat="1" applyFont="1" applyFill="1" applyBorder="1" applyAlignment="1" applyProtection="1">
      <alignment vertical="center"/>
    </xf>
    <xf numFmtId="0" fontId="5" fillId="0" borderId="0" xfId="0" applyFont="1" applyAlignment="1">
      <alignment vertical="center"/>
    </xf>
    <xf numFmtId="3" fontId="26" fillId="10" borderId="0" xfId="0" applyNumberFormat="1" applyFont="1" applyFill="1" applyAlignment="1">
      <alignment horizontal="center" vertical="center"/>
    </xf>
    <xf numFmtId="37" fontId="3" fillId="9" borderId="4" xfId="0" applyNumberFormat="1" applyFont="1" applyFill="1" applyBorder="1" applyAlignment="1" applyProtection="1">
      <alignment vertical="center"/>
    </xf>
    <xf numFmtId="37" fontId="4" fillId="9" borderId="4" xfId="0" applyNumberFormat="1" applyFont="1" applyFill="1" applyBorder="1" applyAlignment="1" applyProtection="1">
      <alignment vertical="center"/>
    </xf>
    <xf numFmtId="0" fontId="4" fillId="0" borderId="0" xfId="359" applyFont="1" applyAlignment="1">
      <alignment vertical="center"/>
    </xf>
    <xf numFmtId="0" fontId="4" fillId="0" borderId="0" xfId="99" applyFont="1" applyAlignment="1">
      <alignment vertical="center" wrapText="1"/>
    </xf>
    <xf numFmtId="0" fontId="4" fillId="4" borderId="1" xfId="0" applyFont="1" applyFill="1" applyBorder="1" applyAlignment="1" applyProtection="1">
      <alignment vertical="center"/>
      <protection locked="0"/>
    </xf>
    <xf numFmtId="0" fontId="4" fillId="4" borderId="3" xfId="0" applyFont="1" applyFill="1" applyBorder="1" applyAlignment="1" applyProtection="1">
      <alignment vertical="center"/>
      <protection locked="0"/>
    </xf>
    <xf numFmtId="0" fontId="28" fillId="0" borderId="0" xfId="363"/>
    <xf numFmtId="0" fontId="4" fillId="0" borderId="0" xfId="363" applyFont="1" applyAlignment="1">
      <alignment horizontal="left" vertical="center"/>
    </xf>
    <xf numFmtId="173" fontId="11" fillId="0" borderId="0" xfId="363" applyNumberFormat="1" applyFont="1" applyAlignment="1">
      <alignment horizontal="left" vertical="center"/>
    </xf>
    <xf numFmtId="49" fontId="4" fillId="0" borderId="0" xfId="363" applyNumberFormat="1" applyFont="1" applyAlignment="1">
      <alignment horizontal="left" vertical="center"/>
    </xf>
    <xf numFmtId="0" fontId="11" fillId="0" borderId="0" xfId="363" applyFont="1" applyAlignment="1">
      <alignment horizontal="left" vertical="center"/>
    </xf>
    <xf numFmtId="174" fontId="11" fillId="0" borderId="0" xfId="363" applyNumberFormat="1" applyFont="1" applyAlignment="1">
      <alignment horizontal="left" vertical="center"/>
    </xf>
    <xf numFmtId="0" fontId="27" fillId="0" borderId="0" xfId="139" applyFont="1" applyFill="1"/>
    <xf numFmtId="0" fontId="27" fillId="0" borderId="0" xfId="139" applyFont="1"/>
    <xf numFmtId="0" fontId="29" fillId="0" borderId="0" xfId="0" applyFont="1" applyAlignment="1">
      <alignment horizontal="center"/>
    </xf>
    <xf numFmtId="0" fontId="27" fillId="0" borderId="0" xfId="0" applyFont="1"/>
    <xf numFmtId="0" fontId="30" fillId="0" borderId="0" xfId="0" applyFont="1"/>
    <xf numFmtId="0" fontId="30" fillId="0" borderId="0" xfId="0" applyFont="1" applyAlignment="1"/>
    <xf numFmtId="0" fontId="27" fillId="0" borderId="0" xfId="0" quotePrefix="1" applyFont="1"/>
    <xf numFmtId="0" fontId="27" fillId="0" borderId="0" xfId="0" applyFont="1" applyAlignment="1"/>
    <xf numFmtId="0" fontId="0" fillId="0" borderId="0" xfId="0" applyAlignment="1"/>
    <xf numFmtId="0" fontId="30" fillId="0" borderId="0" xfId="0" applyFont="1" applyAlignment="1">
      <alignment horizontal="center"/>
    </xf>
    <xf numFmtId="0" fontId="4" fillId="0" borderId="0" xfId="68" applyFont="1" applyAlignment="1">
      <alignment vertical="center"/>
    </xf>
    <xf numFmtId="0" fontId="5" fillId="0" borderId="0" xfId="72" applyFont="1" applyAlignment="1">
      <alignment vertical="center"/>
    </xf>
    <xf numFmtId="0" fontId="4" fillId="0" borderId="0" xfId="230" applyFont="1" applyAlignment="1">
      <alignment vertical="center" wrapText="1"/>
    </xf>
    <xf numFmtId="0" fontId="4" fillId="0" borderId="0" xfId="90" applyFont="1" applyAlignment="1">
      <alignment vertical="center" wrapText="1"/>
    </xf>
    <xf numFmtId="0" fontId="4" fillId="2" borderId="0" xfId="0" applyFont="1" applyFill="1"/>
    <xf numFmtId="0" fontId="48" fillId="2" borderId="0" xfId="0" applyFont="1" applyFill="1" applyAlignment="1" applyProtection="1">
      <alignment horizontal="right" vertical="center"/>
      <protection locked="0"/>
    </xf>
    <xf numFmtId="0" fontId="7" fillId="2" borderId="0" xfId="0" applyFont="1" applyFill="1" applyAlignment="1" applyProtection="1">
      <alignment horizontal="left" vertical="center"/>
      <protection locked="0"/>
    </xf>
    <xf numFmtId="14" fontId="4" fillId="8" borderId="4" xfId="0" applyNumberFormat="1" applyFont="1" applyFill="1" applyBorder="1" applyAlignment="1" applyProtection="1">
      <alignment horizontal="center" vertical="center"/>
      <protection locked="0"/>
    </xf>
    <xf numFmtId="3" fontId="11" fillId="9" borderId="6" xfId="0" applyNumberFormat="1" applyFont="1" applyFill="1" applyBorder="1" applyAlignment="1">
      <alignment horizontal="center" vertical="center"/>
    </xf>
    <xf numFmtId="0" fontId="4" fillId="2" borderId="15" xfId="0" applyNumberFormat="1" applyFont="1" applyFill="1" applyBorder="1" applyAlignment="1" applyProtection="1">
      <alignment horizontal="center" vertical="center"/>
    </xf>
    <xf numFmtId="3" fontId="4" fillId="11" borderId="9" xfId="0" applyNumberFormat="1" applyFont="1" applyFill="1" applyBorder="1" applyAlignment="1" applyProtection="1">
      <alignment vertical="center"/>
    </xf>
    <xf numFmtId="37" fontId="13" fillId="2" borderId="4"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3" fontId="4" fillId="2" borderId="0" xfId="0" applyNumberFormat="1" applyFont="1" applyFill="1" applyBorder="1" applyAlignment="1" applyProtection="1">
      <alignment vertical="center"/>
    </xf>
    <xf numFmtId="3" fontId="4" fillId="2" borderId="0" xfId="0" applyNumberFormat="1" applyFont="1" applyFill="1" applyBorder="1" applyAlignment="1" applyProtection="1">
      <alignment horizontal="fill" vertical="center"/>
    </xf>
    <xf numFmtId="49" fontId="4" fillId="9" borderId="4" xfId="40" applyNumberFormat="1" applyFont="1" applyFill="1" applyBorder="1" applyAlignment="1" applyProtection="1">
      <alignment horizontal="center" vertical="center"/>
    </xf>
    <xf numFmtId="3" fontId="4" fillId="2" borderId="9" xfId="0" applyNumberFormat="1" applyFont="1" applyFill="1" applyBorder="1" applyAlignment="1" applyProtection="1">
      <alignment horizontal="center" vertical="center"/>
    </xf>
    <xf numFmtId="37" fontId="15" fillId="4" borderId="4" xfId="0" applyNumberFormat="1" applyFont="1" applyFill="1" applyBorder="1" applyAlignment="1" applyProtection="1">
      <alignment horizontal="center" vertical="center"/>
    </xf>
    <xf numFmtId="49" fontId="4" fillId="8" borderId="4" xfId="0" applyNumberFormat="1" applyFont="1" applyFill="1" applyBorder="1" applyAlignment="1" applyProtection="1">
      <alignment horizontal="center" vertical="center"/>
      <protection locked="0"/>
    </xf>
    <xf numFmtId="0" fontId="4" fillId="2" borderId="0" xfId="40" applyFont="1" applyFill="1" applyAlignment="1" applyProtection="1">
      <alignment horizontal="right" vertical="center"/>
    </xf>
    <xf numFmtId="172" fontId="4" fillId="2" borderId="0" xfId="370" applyNumberFormat="1" applyFont="1" applyFill="1" applyAlignment="1" applyProtection="1">
      <alignment horizontal="center" vertical="center"/>
    </xf>
    <xf numFmtId="0" fontId="2" fillId="0" borderId="0" xfId="36"/>
    <xf numFmtId="0" fontId="4" fillId="2" borderId="0" xfId="36" applyFont="1" applyFill="1" applyAlignment="1" applyProtection="1">
      <alignment vertical="center"/>
    </xf>
    <xf numFmtId="0" fontId="4" fillId="0" borderId="0" xfId="36" applyFont="1" applyAlignment="1" applyProtection="1">
      <alignment vertical="center"/>
      <protection locked="0"/>
    </xf>
    <xf numFmtId="37" fontId="4" fillId="2" borderId="0" xfId="36" applyNumberFormat="1" applyFont="1" applyFill="1" applyAlignment="1" applyProtection="1">
      <alignment horizontal="left" vertical="center"/>
    </xf>
    <xf numFmtId="0" fontId="3" fillId="2" borderId="0" xfId="36" applyFont="1" applyFill="1" applyAlignment="1" applyProtection="1">
      <alignment vertical="center"/>
    </xf>
    <xf numFmtId="3" fontId="4" fillId="8" borderId="4" xfId="36" applyNumberFormat="1" applyFont="1" applyFill="1" applyBorder="1" applyAlignment="1" applyProtection="1">
      <alignment vertical="center"/>
      <protection locked="0"/>
    </xf>
    <xf numFmtId="3" fontId="4" fillId="9" borderId="4" xfId="36" applyNumberFormat="1" applyFont="1" applyFill="1" applyBorder="1" applyAlignment="1" applyProtection="1">
      <alignment vertical="center"/>
    </xf>
    <xf numFmtId="0" fontId="4" fillId="2" borderId="0" xfId="36" applyFont="1" applyFill="1" applyAlignment="1" applyProtection="1">
      <alignment vertical="center"/>
      <protection locked="0"/>
    </xf>
    <xf numFmtId="0" fontId="2" fillId="0" borderId="0" xfId="36" applyAlignment="1">
      <alignment vertical="center"/>
    </xf>
    <xf numFmtId="1" fontId="4" fillId="2" borderId="0" xfId="36" applyNumberFormat="1" applyFont="1" applyFill="1" applyBorder="1" applyAlignment="1" applyProtection="1">
      <alignment horizontal="right" vertical="center"/>
    </xf>
    <xf numFmtId="37" fontId="4" fillId="2" borderId="0" xfId="36" quotePrefix="1" applyNumberFormat="1" applyFont="1" applyFill="1" applyAlignment="1" applyProtection="1">
      <alignment horizontal="right" vertical="center"/>
    </xf>
    <xf numFmtId="37" fontId="4" fillId="2" borderId="2" xfId="36" applyNumberFormat="1" applyFont="1" applyFill="1" applyBorder="1" applyAlignment="1" applyProtection="1">
      <alignment horizontal="center" vertical="center"/>
    </xf>
    <xf numFmtId="37" fontId="4" fillId="2" borderId="9" xfId="36" applyNumberFormat="1" applyFont="1" applyFill="1" applyBorder="1" applyAlignment="1" applyProtection="1">
      <alignment horizontal="left" vertical="center"/>
    </xf>
    <xf numFmtId="3" fontId="4" fillId="2" borderId="4" xfId="36" applyNumberFormat="1" applyFont="1" applyFill="1" applyBorder="1" applyAlignment="1" applyProtection="1">
      <alignment vertical="center"/>
    </xf>
    <xf numFmtId="37" fontId="4" fillId="2" borderId="9" xfId="36" applyNumberFormat="1" applyFont="1" applyFill="1" applyBorder="1" applyAlignment="1" applyProtection="1">
      <alignment vertical="center"/>
    </xf>
    <xf numFmtId="0" fontId="4" fillId="2" borderId="9" xfId="36" applyFont="1" applyFill="1" applyBorder="1" applyAlignment="1" applyProtection="1">
      <alignment vertical="center"/>
    </xf>
    <xf numFmtId="37" fontId="4" fillId="2" borderId="0" xfId="36" applyNumberFormat="1" applyFont="1" applyFill="1" applyAlignment="1" applyProtection="1">
      <alignment vertical="center"/>
    </xf>
    <xf numFmtId="0" fontId="4" fillId="2" borderId="0" xfId="36" applyFont="1" applyFill="1" applyAlignment="1" applyProtection="1">
      <alignment horizontal="right" vertical="center"/>
    </xf>
    <xf numFmtId="37" fontId="4" fillId="2" borderId="0" xfId="36" applyNumberFormat="1" applyFont="1" applyFill="1" applyAlignment="1" applyProtection="1">
      <alignment horizontal="right" vertical="center"/>
    </xf>
    <xf numFmtId="3" fontId="4" fillId="2" borderId="4" xfId="36" applyNumberFormat="1" applyFont="1" applyFill="1" applyBorder="1" applyAlignment="1" applyProtection="1">
      <alignment horizontal="center" vertical="center"/>
    </xf>
    <xf numFmtId="1" fontId="4" fillId="2" borderId="6" xfId="36" applyNumberFormat="1" applyFont="1" applyFill="1" applyBorder="1" applyAlignment="1" applyProtection="1">
      <alignment horizontal="center" vertical="center"/>
    </xf>
    <xf numFmtId="37" fontId="4" fillId="2" borderId="0" xfId="36" applyNumberFormat="1" applyFont="1" applyFill="1" applyAlignment="1" applyProtection="1">
      <alignment horizontal="fill" vertical="center"/>
    </xf>
    <xf numFmtId="37" fontId="4" fillId="2" borderId="15" xfId="36" applyNumberFormat="1" applyFont="1" applyFill="1" applyBorder="1" applyAlignment="1" applyProtection="1">
      <alignment horizontal="left" vertical="center"/>
    </xf>
    <xf numFmtId="37" fontId="3" fillId="2" borderId="9" xfId="36" applyNumberFormat="1" applyFont="1" applyFill="1" applyBorder="1" applyAlignment="1" applyProtection="1">
      <alignment horizontal="left" vertical="center"/>
    </xf>
    <xf numFmtId="3" fontId="4" fillId="2" borderId="0" xfId="36" applyNumberFormat="1" applyFont="1" applyFill="1" applyAlignment="1" applyProtection="1">
      <alignment horizontal="center" vertical="center"/>
    </xf>
    <xf numFmtId="0" fontId="15" fillId="0" borderId="0" xfId="36" applyFont="1" applyAlignment="1" applyProtection="1">
      <alignment vertical="center"/>
    </xf>
    <xf numFmtId="0" fontId="13" fillId="2" borderId="0" xfId="36" applyFont="1" applyFill="1" applyAlignment="1" applyProtection="1">
      <alignment horizontal="center" vertical="center"/>
    </xf>
    <xf numFmtId="37" fontId="4" fillId="8" borderId="9" xfId="36" applyNumberFormat="1" applyFont="1" applyFill="1" applyBorder="1" applyAlignment="1" applyProtection="1">
      <alignment horizontal="left" vertical="center"/>
      <protection locked="0"/>
    </xf>
    <xf numFmtId="3" fontId="3" fillId="9" borderId="4" xfId="36" applyNumberFormat="1" applyFont="1" applyFill="1" applyBorder="1" applyAlignment="1" applyProtection="1">
      <alignment vertical="center"/>
    </xf>
    <xf numFmtId="0" fontId="4" fillId="2" borderId="9" xfId="36" applyFont="1" applyFill="1" applyBorder="1" applyAlignment="1" applyProtection="1">
      <alignment vertical="center"/>
      <protection locked="0"/>
    </xf>
    <xf numFmtId="3" fontId="4" fillId="2" borderId="4" xfId="36" applyNumberFormat="1" applyFont="1" applyFill="1" applyBorder="1" applyAlignment="1" applyProtection="1">
      <alignment horizontal="fill" vertical="center"/>
    </xf>
    <xf numFmtId="37" fontId="4" fillId="4" borderId="0" xfId="36" applyNumberFormat="1" applyFont="1" applyFill="1" applyAlignment="1" applyProtection="1">
      <alignment horizontal="left" vertical="center"/>
      <protection locked="0"/>
    </xf>
    <xf numFmtId="0" fontId="4" fillId="8" borderId="9" xfId="36" applyFont="1" applyFill="1" applyBorder="1" applyAlignment="1" applyProtection="1">
      <alignment horizontal="left" vertical="center"/>
      <protection locked="0"/>
    </xf>
    <xf numFmtId="3" fontId="3" fillId="2" borderId="4" xfId="36" applyNumberFormat="1" applyFont="1" applyFill="1" applyBorder="1" applyAlignment="1" applyProtection="1">
      <alignment vertical="center"/>
    </xf>
    <xf numFmtId="37" fontId="4" fillId="2" borderId="14" xfId="36" applyNumberFormat="1" applyFont="1" applyFill="1" applyBorder="1" applyAlignment="1" applyProtection="1">
      <alignment horizontal="center" vertical="center"/>
    </xf>
    <xf numFmtId="1" fontId="4" fillId="2" borderId="14" xfId="36" applyNumberFormat="1" applyFont="1" applyFill="1" applyBorder="1" applyAlignment="1" applyProtection="1">
      <alignment horizontal="center" vertical="center"/>
    </xf>
    <xf numFmtId="1" fontId="4" fillId="2" borderId="15" xfId="36" applyNumberFormat="1" applyFont="1" applyFill="1" applyBorder="1" applyAlignment="1" applyProtection="1">
      <alignment horizontal="center" vertical="center"/>
    </xf>
    <xf numFmtId="37" fontId="4" fillId="4" borderId="9" xfId="36" applyNumberFormat="1" applyFont="1" applyFill="1" applyBorder="1" applyAlignment="1" applyProtection="1">
      <alignment horizontal="right" vertical="center"/>
      <protection locked="0"/>
    </xf>
    <xf numFmtId="3" fontId="3" fillId="9" borderId="9" xfId="36" applyNumberFormat="1" applyFont="1" applyFill="1" applyBorder="1" applyAlignment="1" applyProtection="1">
      <alignment vertical="center"/>
    </xf>
    <xf numFmtId="3" fontId="4" fillId="2" borderId="9" xfId="36" applyNumberFormat="1" applyFont="1" applyFill="1" applyBorder="1" applyAlignment="1" applyProtection="1">
      <alignment vertical="center"/>
    </xf>
    <xf numFmtId="37" fontId="4" fillId="4" borderId="9" xfId="36" applyNumberFormat="1" applyFont="1" applyFill="1" applyBorder="1" applyAlignment="1" applyProtection="1">
      <alignment vertical="center"/>
      <protection locked="0"/>
    </xf>
    <xf numFmtId="3" fontId="4" fillId="8" borderId="9" xfId="36" applyNumberFormat="1" applyFont="1" applyFill="1" applyBorder="1" applyAlignment="1" applyProtection="1">
      <alignment vertical="center"/>
      <protection locked="0"/>
    </xf>
    <xf numFmtId="3" fontId="3" fillId="2" borderId="9" xfId="36" applyNumberFormat="1" applyFont="1" applyFill="1" applyBorder="1" applyAlignment="1" applyProtection="1">
      <alignment vertical="center"/>
    </xf>
    <xf numFmtId="3" fontId="4" fillId="9" borderId="9" xfId="36" applyNumberFormat="1" applyFont="1" applyFill="1" applyBorder="1" applyAlignment="1" applyProtection="1">
      <alignment vertical="center"/>
    </xf>
    <xf numFmtId="37" fontId="3" fillId="2" borderId="1" xfId="36" applyNumberFormat="1" applyFont="1" applyFill="1" applyBorder="1" applyAlignment="1" applyProtection="1">
      <alignment vertical="center"/>
    </xf>
    <xf numFmtId="37" fontId="3" fillId="2" borderId="0" xfId="36" applyNumberFormat="1" applyFont="1" applyFill="1" applyBorder="1" applyAlignment="1" applyProtection="1">
      <alignment vertical="center"/>
    </xf>
    <xf numFmtId="37" fontId="4" fillId="2" borderId="0" xfId="40" applyNumberFormat="1" applyFont="1" applyFill="1" applyBorder="1" applyAlignment="1" applyProtection="1">
      <alignment horizontal="left" vertical="center"/>
    </xf>
    <xf numFmtId="37" fontId="4" fillId="2" borderId="4" xfId="40" applyNumberFormat="1" applyFont="1" applyFill="1" applyBorder="1" applyAlignment="1" applyProtection="1">
      <alignment horizontal="left" vertical="center"/>
    </xf>
    <xf numFmtId="3" fontId="4" fillId="8" borderId="4" xfId="40" applyNumberFormat="1" applyFont="1" applyFill="1" applyBorder="1" applyAlignment="1" applyProtection="1">
      <alignment vertical="center"/>
      <protection locked="0"/>
    </xf>
    <xf numFmtId="49" fontId="4" fillId="2" borderId="4" xfId="40" applyNumberFormat="1" applyFont="1" applyFill="1" applyBorder="1" applyAlignment="1" applyProtection="1">
      <alignment horizontal="center" vertical="center"/>
    </xf>
    <xf numFmtId="0" fontId="8" fillId="5" borderId="4" xfId="0" applyFont="1" applyFill="1" applyBorder="1" applyAlignment="1" applyProtection="1">
      <alignment vertical="center" shrinkToFit="1"/>
    </xf>
    <xf numFmtId="37" fontId="3" fillId="2" borderId="14" xfId="36" applyNumberFormat="1" applyFont="1" applyFill="1" applyBorder="1" applyAlignment="1" applyProtection="1">
      <alignment horizontal="left" vertical="center"/>
    </xf>
    <xf numFmtId="49" fontId="4" fillId="2" borderId="0" xfId="40" applyNumberFormat="1" applyFont="1" applyFill="1" applyBorder="1" applyAlignment="1" applyProtection="1">
      <alignment horizontal="center" vertical="center"/>
    </xf>
    <xf numFmtId="37" fontId="13" fillId="2" borderId="0" xfId="36" applyNumberFormat="1" applyFont="1" applyFill="1" applyAlignment="1" applyProtection="1">
      <alignment horizontal="center" vertical="center"/>
    </xf>
    <xf numFmtId="37" fontId="4" fillId="2" borderId="4" xfId="36" applyNumberFormat="1" applyFont="1" applyFill="1" applyBorder="1" applyAlignment="1" applyProtection="1">
      <alignment horizontal="center" vertical="center"/>
    </xf>
    <xf numFmtId="37" fontId="13" fillId="2" borderId="0" xfId="36" applyNumberFormat="1" applyFont="1" applyFill="1" applyAlignment="1" applyProtection="1">
      <alignment horizontal="right" vertical="center"/>
    </xf>
    <xf numFmtId="37" fontId="12" fillId="2" borderId="0" xfId="36" applyNumberFormat="1" applyFont="1" applyFill="1" applyAlignment="1" applyProtection="1">
      <alignment horizontal="center" vertical="center"/>
    </xf>
    <xf numFmtId="37" fontId="49" fillId="2" borderId="0" xfId="36" applyNumberFormat="1" applyFont="1" applyFill="1" applyAlignment="1" applyProtection="1">
      <alignment horizontal="center" vertical="center"/>
    </xf>
    <xf numFmtId="37" fontId="4" fillId="2" borderId="10" xfId="36" applyNumberFormat="1" applyFont="1" applyFill="1" applyBorder="1" applyAlignment="1" applyProtection="1">
      <alignment horizontal="center" vertical="center"/>
    </xf>
    <xf numFmtId="37" fontId="4" fillId="2" borderId="6" xfId="36" applyNumberFormat="1" applyFont="1" applyFill="1" applyBorder="1" applyAlignment="1" applyProtection="1">
      <alignment horizontal="center" vertical="center"/>
    </xf>
    <xf numFmtId="0" fontId="35" fillId="0" borderId="0" xfId="0" applyFont="1" applyAlignment="1" applyProtection="1">
      <alignment vertical="center"/>
    </xf>
    <xf numFmtId="0" fontId="36" fillId="0" borderId="0" xfId="0" applyFont="1"/>
    <xf numFmtId="0" fontId="36" fillId="5" borderId="0" xfId="0" applyFont="1" applyFill="1"/>
    <xf numFmtId="0" fontId="36" fillId="2" borderId="0" xfId="0" applyFont="1" applyFill="1"/>
    <xf numFmtId="0" fontId="50" fillId="5" borderId="0" xfId="0" applyFont="1" applyFill="1" applyAlignment="1">
      <alignment horizontal="center" wrapText="1"/>
    </xf>
    <xf numFmtId="0" fontId="50" fillId="2" borderId="0" xfId="0" applyFont="1" applyFill="1"/>
    <xf numFmtId="0" fontId="36" fillId="2" borderId="0" xfId="0" applyFont="1" applyFill="1" applyAlignment="1">
      <alignment horizontal="center"/>
    </xf>
    <xf numFmtId="0" fontId="50" fillId="2" borderId="17" xfId="0" applyFont="1" applyFill="1" applyBorder="1"/>
    <xf numFmtId="0" fontId="36" fillId="2" borderId="18" xfId="0" applyFont="1" applyFill="1" applyBorder="1"/>
    <xf numFmtId="0" fontId="36" fillId="2" borderId="19" xfId="0" applyFont="1" applyFill="1" applyBorder="1"/>
    <xf numFmtId="175" fontId="36" fillId="2" borderId="20" xfId="0" applyNumberFormat="1" applyFont="1" applyFill="1" applyBorder="1"/>
    <xf numFmtId="0" fontId="36" fillId="2" borderId="0" xfId="0" applyFont="1" applyFill="1" applyBorder="1"/>
    <xf numFmtId="175" fontId="36" fillId="2" borderId="1" xfId="0" applyNumberFormat="1" applyFont="1" applyFill="1" applyBorder="1" applyAlignment="1">
      <alignment horizontal="center"/>
    </xf>
    <xf numFmtId="0" fontId="36" fillId="2" borderId="21" xfId="0" applyFont="1" applyFill="1" applyBorder="1"/>
    <xf numFmtId="0" fontId="36" fillId="2" borderId="22" xfId="0" applyFont="1" applyFill="1" applyBorder="1"/>
    <xf numFmtId="0" fontId="36" fillId="2" borderId="23" xfId="0" applyFont="1" applyFill="1" applyBorder="1"/>
    <xf numFmtId="0" fontId="36" fillId="2" borderId="24" xfId="0" applyFont="1" applyFill="1" applyBorder="1"/>
    <xf numFmtId="175" fontId="36" fillId="2" borderId="0" xfId="0" applyNumberFormat="1" applyFont="1" applyFill="1"/>
    <xf numFmtId="0" fontId="36" fillId="2" borderId="17" xfId="0" applyFont="1" applyFill="1" applyBorder="1"/>
    <xf numFmtId="0" fontId="36" fillId="2" borderId="25" xfId="0" applyFont="1" applyFill="1" applyBorder="1"/>
    <xf numFmtId="175" fontId="36" fillId="4" borderId="20" xfId="0" applyNumberFormat="1" applyFont="1" applyFill="1" applyBorder="1" applyAlignment="1" applyProtection="1">
      <alignment horizontal="center"/>
      <protection locked="0"/>
    </xf>
    <xf numFmtId="172" fontId="36" fillId="2" borderId="0" xfId="0" applyNumberFormat="1" applyFont="1" applyFill="1" applyBorder="1" applyAlignment="1">
      <alignment horizontal="center"/>
    </xf>
    <xf numFmtId="0" fontId="51" fillId="0" borderId="0" xfId="0" applyFont="1" applyBorder="1"/>
    <xf numFmtId="0" fontId="36" fillId="0" borderId="0" xfId="0" applyFont="1" applyBorder="1"/>
    <xf numFmtId="0" fontId="50" fillId="0" borderId="0" xfId="0" applyFont="1" applyBorder="1" applyAlignment="1">
      <alignment horizontal="centerContinuous"/>
    </xf>
    <xf numFmtId="0" fontId="36" fillId="0" borderId="0" xfId="0" applyFont="1" applyBorder="1" applyAlignment="1">
      <alignment horizontal="centerContinuous"/>
    </xf>
    <xf numFmtId="0" fontId="36" fillId="5" borderId="0" xfId="0" applyFont="1" applyFill="1" applyBorder="1"/>
    <xf numFmtId="0" fontId="36" fillId="2" borderId="26" xfId="0" applyFont="1" applyFill="1" applyBorder="1"/>
    <xf numFmtId="0" fontId="36" fillId="2" borderId="8" xfId="0" applyFont="1" applyFill="1" applyBorder="1"/>
    <xf numFmtId="0" fontId="36" fillId="2" borderId="27" xfId="0" applyFont="1" applyFill="1" applyBorder="1"/>
    <xf numFmtId="5" fontId="36" fillId="2" borderId="23" xfId="0" applyNumberFormat="1" applyFont="1" applyFill="1" applyBorder="1" applyAlignment="1">
      <alignment horizontal="center"/>
    </xf>
    <xf numFmtId="0" fontId="36" fillId="2" borderId="23" xfId="0" applyFont="1" applyFill="1" applyBorder="1" applyAlignment="1">
      <alignment horizontal="center"/>
    </xf>
    <xf numFmtId="172" fontId="36" fillId="2" borderId="23" xfId="0" applyNumberFormat="1" applyFont="1" applyFill="1" applyBorder="1" applyAlignment="1">
      <alignment horizontal="center"/>
    </xf>
    <xf numFmtId="176" fontId="36" fillId="2" borderId="23" xfId="0" applyNumberFormat="1" applyFont="1" applyFill="1" applyBorder="1" applyAlignment="1">
      <alignment horizontal="center"/>
    </xf>
    <xf numFmtId="0" fontId="36" fillId="2" borderId="0" xfId="0" applyFont="1" applyFill="1" applyAlignment="1">
      <alignment horizontal="center" wrapText="1"/>
    </xf>
    <xf numFmtId="0" fontId="50" fillId="2" borderId="17" xfId="0" applyFont="1" applyFill="1" applyBorder="1" applyAlignment="1"/>
    <xf numFmtId="0" fontId="36" fillId="2" borderId="18" xfId="0" applyFont="1" applyFill="1" applyBorder="1" applyAlignment="1"/>
    <xf numFmtId="0" fontId="36" fillId="2" borderId="19" xfId="0" applyFont="1" applyFill="1" applyBorder="1" applyAlignment="1"/>
    <xf numFmtId="0" fontId="36" fillId="2" borderId="25" xfId="0" applyFont="1" applyFill="1" applyBorder="1" applyAlignment="1"/>
    <xf numFmtId="0" fontId="36" fillId="2" borderId="21" xfId="0" applyFont="1" applyFill="1" applyBorder="1" applyAlignment="1"/>
    <xf numFmtId="0" fontId="36" fillId="2" borderId="26" xfId="0" applyFont="1" applyFill="1" applyBorder="1" applyAlignment="1"/>
    <xf numFmtId="0" fontId="36" fillId="2" borderId="8" xfId="0" applyFont="1" applyFill="1" applyBorder="1" applyAlignment="1"/>
    <xf numFmtId="0" fontId="36" fillId="2" borderId="27" xfId="0" applyFont="1" applyFill="1" applyBorder="1" applyAlignment="1"/>
    <xf numFmtId="171" fontId="36" fillId="2" borderId="0" xfId="0" applyNumberFormat="1" applyFont="1" applyFill="1" applyBorder="1" applyAlignment="1">
      <alignment horizontal="center"/>
    </xf>
    <xf numFmtId="0" fontId="36" fillId="2" borderId="22" xfId="0" applyFont="1" applyFill="1" applyBorder="1" applyAlignment="1"/>
    <xf numFmtId="5" fontId="36" fillId="2" borderId="0" xfId="0" applyNumberFormat="1" applyFont="1" applyFill="1" applyBorder="1" applyAlignment="1">
      <alignment horizontal="center"/>
    </xf>
    <xf numFmtId="0" fontId="36" fillId="5" borderId="0" xfId="0" applyFont="1" applyFill="1" applyAlignment="1"/>
    <xf numFmtId="172" fontId="36" fillId="4" borderId="1" xfId="0" applyNumberFormat="1" applyFont="1" applyFill="1" applyBorder="1" applyAlignment="1" applyProtection="1">
      <alignment horizontal="center"/>
      <protection locked="0"/>
    </xf>
    <xf numFmtId="176" fontId="36" fillId="2" borderId="0" xfId="0" applyNumberFormat="1" applyFont="1" applyFill="1" applyBorder="1"/>
    <xf numFmtId="0" fontId="36" fillId="12" borderId="0" xfId="0" applyFont="1" applyFill="1"/>
    <xf numFmtId="0" fontId="38" fillId="0" borderId="0" xfId="0" applyFont="1" applyAlignment="1">
      <alignment horizontal="center"/>
    </xf>
    <xf numFmtId="0" fontId="4" fillId="0" borderId="0" xfId="0" applyFont="1" applyAlignment="1">
      <alignment wrapText="1"/>
    </xf>
    <xf numFmtId="0" fontId="39" fillId="0" borderId="0" xfId="9" applyFont="1" applyAlignment="1" applyProtection="1"/>
    <xf numFmtId="3" fontId="4" fillId="2" borderId="6" xfId="0" applyNumberFormat="1" applyFont="1" applyFill="1" applyBorder="1" applyAlignment="1" applyProtection="1">
      <alignment horizontal="center" vertical="center"/>
    </xf>
    <xf numFmtId="172" fontId="4" fillId="4" borderId="4" xfId="36" applyNumberFormat="1" applyFont="1" applyFill="1" applyBorder="1" applyAlignment="1" applyProtection="1">
      <alignment horizontal="center" vertical="center"/>
      <protection locked="0"/>
    </xf>
    <xf numFmtId="49" fontId="13" fillId="4" borderId="4" xfId="36" applyNumberFormat="1" applyFont="1" applyFill="1" applyBorder="1" applyAlignment="1" applyProtection="1">
      <alignment horizontal="center" vertical="center"/>
      <protection locked="0"/>
    </xf>
    <xf numFmtId="3" fontId="4" fillId="4" borderId="9" xfId="36" applyNumberFormat="1" applyFont="1" applyFill="1" applyBorder="1" applyAlignment="1" applyProtection="1">
      <alignment horizontal="right" vertical="center"/>
      <protection locked="0"/>
    </xf>
    <xf numFmtId="0" fontId="4" fillId="0" borderId="0" xfId="40" applyFont="1" applyAlignment="1">
      <alignment vertical="center" wrapText="1"/>
    </xf>
    <xf numFmtId="0" fontId="4" fillId="0" borderId="0" xfId="325" applyFont="1" applyAlignment="1">
      <alignment vertical="center" wrapText="1"/>
    </xf>
    <xf numFmtId="0" fontId="4" fillId="0" borderId="0" xfId="342" applyNumberFormat="1" applyFont="1" applyAlignment="1">
      <alignment vertical="center" wrapText="1"/>
    </xf>
    <xf numFmtId="37" fontId="4" fillId="2" borderId="4" xfId="0" applyNumberFormat="1" applyFont="1" applyFill="1" applyBorder="1" applyAlignment="1" applyProtection="1">
      <alignment horizontal="left"/>
    </xf>
    <xf numFmtId="37" fontId="4" fillId="2" borderId="4" xfId="0" applyNumberFormat="1" applyFont="1" applyFill="1" applyBorder="1" applyProtection="1"/>
    <xf numFmtId="0" fontId="20" fillId="0" borderId="0" xfId="0" applyFont="1"/>
    <xf numFmtId="0" fontId="21" fillId="0" borderId="0" xfId="0" applyFont="1" applyAlignment="1">
      <alignment horizontal="center"/>
    </xf>
    <xf numFmtId="0" fontId="3" fillId="0" borderId="0" xfId="0" applyFont="1" applyAlignment="1">
      <alignment wrapText="1"/>
    </xf>
    <xf numFmtId="0" fontId="0"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wrapText="1"/>
    </xf>
    <xf numFmtId="0" fontId="20"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wrapText="1"/>
    </xf>
    <xf numFmtId="0" fontId="24" fillId="0" borderId="0" xfId="0" applyNumberFormat="1" applyFont="1" applyFill="1" applyBorder="1" applyAlignment="1" applyProtection="1">
      <alignment vertical="center"/>
    </xf>
    <xf numFmtId="0" fontId="4" fillId="0" borderId="0" xfId="40" applyFont="1" applyAlignment="1">
      <alignment vertical="center"/>
    </xf>
    <xf numFmtId="0" fontId="52" fillId="0" borderId="0" xfId="0" applyFont="1" applyAlignment="1">
      <alignment wrapText="1"/>
    </xf>
    <xf numFmtId="0" fontId="23" fillId="0" borderId="0" xfId="0" applyFont="1" applyAlignment="1">
      <alignment wrapText="1"/>
    </xf>
    <xf numFmtId="172" fontId="4" fillId="4" borderId="11" xfId="36" applyNumberFormat="1" applyFont="1" applyFill="1" applyBorder="1" applyAlignment="1" applyProtection="1">
      <alignment horizontal="center"/>
      <protection locked="0"/>
    </xf>
    <xf numFmtId="0" fontId="40" fillId="2" borderId="28" xfId="36" applyFont="1" applyFill="1" applyBorder="1" applyProtection="1"/>
    <xf numFmtId="0" fontId="4" fillId="2" borderId="0" xfId="36" applyFont="1" applyFill="1" applyBorder="1" applyProtection="1"/>
    <xf numFmtId="175" fontId="4" fillId="2" borderId="11" xfId="36" applyNumberFormat="1" applyFont="1" applyFill="1" applyBorder="1" applyAlignment="1" applyProtection="1">
      <alignment horizontal="center"/>
    </xf>
    <xf numFmtId="0" fontId="4" fillId="2" borderId="15" xfId="36" applyFont="1" applyFill="1" applyBorder="1" applyProtection="1"/>
    <xf numFmtId="0" fontId="4" fillId="2" borderId="1" xfId="36" applyFont="1" applyFill="1" applyBorder="1" applyProtection="1"/>
    <xf numFmtId="175" fontId="4" fillId="10" borderId="5" xfId="36" applyNumberFormat="1" applyFont="1" applyFill="1" applyBorder="1" applyAlignment="1" applyProtection="1">
      <alignment horizontal="center"/>
    </xf>
    <xf numFmtId="0" fontId="4" fillId="0" borderId="0" xfId="36" applyFont="1" applyFill="1" applyBorder="1" applyProtection="1"/>
    <xf numFmtId="0" fontId="4" fillId="2" borderId="28" xfId="36" applyFont="1" applyFill="1" applyBorder="1" applyProtection="1"/>
    <xf numFmtId="0" fontId="4" fillId="2" borderId="11" xfId="36" applyFont="1" applyFill="1" applyBorder="1" applyProtection="1"/>
    <xf numFmtId="171" fontId="4" fillId="2" borderId="11" xfId="36" applyNumberFormat="1" applyFont="1" applyFill="1" applyBorder="1" applyAlignment="1" applyProtection="1">
      <alignment horizontal="center"/>
    </xf>
    <xf numFmtId="0" fontId="4" fillId="10" borderId="28" xfId="36" applyFont="1" applyFill="1" applyBorder="1" applyProtection="1"/>
    <xf numFmtId="0" fontId="4" fillId="10" borderId="0" xfId="36" applyFont="1" applyFill="1" applyBorder="1" applyProtection="1"/>
    <xf numFmtId="0" fontId="4" fillId="10" borderId="15" xfId="36" applyFont="1" applyFill="1" applyBorder="1" applyProtection="1"/>
    <xf numFmtId="0" fontId="4" fillId="10" borderId="1" xfId="36" applyFont="1" applyFill="1" applyBorder="1" applyProtection="1"/>
    <xf numFmtId="0" fontId="4" fillId="0" borderId="0" xfId="36" applyFont="1" applyProtection="1"/>
    <xf numFmtId="175" fontId="4" fillId="2" borderId="5" xfId="36" applyNumberFormat="1" applyFont="1" applyFill="1" applyBorder="1" applyAlignment="1" applyProtection="1">
      <alignment horizontal="center"/>
    </xf>
    <xf numFmtId="0" fontId="5" fillId="0" borderId="0" xfId="73" applyFont="1" applyAlignment="1">
      <alignment vertical="center"/>
    </xf>
    <xf numFmtId="0" fontId="53" fillId="0" borderId="0" xfId="0" applyFont="1" applyAlignment="1">
      <alignment vertical="center"/>
    </xf>
    <xf numFmtId="0" fontId="54" fillId="0" borderId="0" xfId="0" applyFont="1" applyAlignment="1" applyProtection="1">
      <alignment horizontal="center" vertical="center"/>
      <protection locked="0"/>
    </xf>
    <xf numFmtId="0" fontId="55" fillId="2" borderId="0" xfId="0" applyFont="1" applyFill="1" applyAlignment="1" applyProtection="1">
      <alignment horizontal="center" vertical="center"/>
    </xf>
    <xf numFmtId="37" fontId="4" fillId="2" borderId="29" xfId="0" applyNumberFormat="1" applyFont="1" applyFill="1" applyBorder="1" applyAlignment="1" applyProtection="1">
      <alignment vertical="center"/>
    </xf>
    <xf numFmtId="0" fontId="4" fillId="2" borderId="29" xfId="0" applyFont="1" applyFill="1" applyBorder="1" applyAlignment="1" applyProtection="1">
      <alignment vertical="center"/>
    </xf>
    <xf numFmtId="170" fontId="4" fillId="4" borderId="4" xfId="1" applyNumberFormat="1" applyFont="1" applyFill="1" applyBorder="1" applyAlignment="1" applyProtection="1">
      <alignment vertical="center"/>
      <protection locked="0"/>
    </xf>
    <xf numFmtId="37" fontId="3" fillId="2" borderId="0" xfId="0" applyNumberFormat="1" applyFont="1" applyFill="1" applyBorder="1" applyAlignment="1" applyProtection="1">
      <alignment vertical="center"/>
    </xf>
    <xf numFmtId="0" fontId="4" fillId="8" borderId="9" xfId="25" applyNumberFormat="1" applyFont="1" applyFill="1" applyBorder="1" applyAlignment="1" applyProtection="1">
      <alignment horizontal="left" vertical="center"/>
      <protection locked="0"/>
    </xf>
    <xf numFmtId="0" fontId="4" fillId="8" borderId="9" xfId="40" applyNumberFormat="1" applyFont="1" applyFill="1" applyBorder="1" applyAlignment="1" applyProtection="1">
      <alignment horizontal="left" vertical="center"/>
      <protection locked="0"/>
    </xf>
    <xf numFmtId="37" fontId="4" fillId="2" borderId="2" xfId="25" applyNumberFormat="1" applyFont="1" applyFill="1" applyBorder="1" applyAlignment="1" applyProtection="1">
      <alignment horizontal="center"/>
    </xf>
    <xf numFmtId="37" fontId="4" fillId="2" borderId="6" xfId="25" applyNumberFormat="1" applyFont="1" applyFill="1" applyBorder="1" applyAlignment="1" applyProtection="1">
      <alignment horizontal="center"/>
    </xf>
    <xf numFmtId="0" fontId="50" fillId="2" borderId="25" xfId="0" applyFont="1" applyFill="1" applyBorder="1" applyAlignment="1">
      <alignment horizontal="centerContinuous" vertical="center"/>
    </xf>
    <xf numFmtId="175" fontId="50" fillId="2" borderId="0" xfId="0" applyNumberFormat="1" applyFont="1" applyFill="1" applyBorder="1" applyAlignment="1">
      <alignment horizontal="centerContinuous" vertical="center"/>
    </xf>
    <xf numFmtId="0" fontId="50" fillId="2" borderId="0" xfId="0" applyFont="1" applyFill="1" applyBorder="1" applyAlignment="1">
      <alignment horizontal="centerContinuous" vertical="center"/>
    </xf>
    <xf numFmtId="172" fontId="50" fillId="2" borderId="0" xfId="0" applyNumberFormat="1" applyFont="1" applyFill="1" applyBorder="1" applyAlignment="1" applyProtection="1">
      <alignment horizontal="centerContinuous" vertical="center"/>
      <protection locked="0"/>
    </xf>
    <xf numFmtId="176" fontId="50" fillId="2" borderId="0" xfId="0" applyNumberFormat="1" applyFont="1" applyFill="1" applyBorder="1" applyAlignment="1">
      <alignment horizontal="centerContinuous" vertical="center"/>
    </xf>
    <xf numFmtId="0" fontId="50" fillId="2" borderId="21" xfId="0" applyFont="1" applyFill="1" applyBorder="1" applyAlignment="1">
      <alignment horizontal="centerContinuous" vertical="center"/>
    </xf>
    <xf numFmtId="0" fontId="50" fillId="2" borderId="25" xfId="0" applyFont="1" applyFill="1" applyBorder="1" applyAlignment="1">
      <alignment horizontal="centerContinuous"/>
    </xf>
    <xf numFmtId="175" fontId="50" fillId="2" borderId="0" xfId="0" applyNumberFormat="1" applyFont="1" applyFill="1" applyBorder="1" applyAlignment="1">
      <alignment horizontal="centerContinuous"/>
    </xf>
    <xf numFmtId="0" fontId="50" fillId="2" borderId="0" xfId="0" applyFont="1" applyFill="1" applyBorder="1" applyAlignment="1">
      <alignment horizontal="centerContinuous"/>
    </xf>
    <xf numFmtId="172" fontId="50" fillId="2" borderId="0" xfId="0" applyNumberFormat="1" applyFont="1" applyFill="1" applyBorder="1" applyAlignment="1" applyProtection="1">
      <alignment horizontal="centerContinuous"/>
      <protection locked="0"/>
    </xf>
    <xf numFmtId="176" fontId="50" fillId="2" borderId="0" xfId="0" applyNumberFormat="1" applyFont="1" applyFill="1" applyBorder="1" applyAlignment="1">
      <alignment horizontal="centerContinuous"/>
    </xf>
    <xf numFmtId="0" fontId="50" fillId="2" borderId="21" xfId="0" applyFont="1" applyFill="1" applyBorder="1" applyAlignment="1">
      <alignment horizontal="centerContinuous"/>
    </xf>
    <xf numFmtId="175" fontId="36" fillId="0" borderId="0" xfId="0" applyNumberFormat="1" applyFont="1"/>
    <xf numFmtId="175" fontId="36" fillId="2" borderId="23" xfId="0" applyNumberFormat="1" applyFont="1" applyFill="1" applyBorder="1" applyAlignment="1">
      <alignment horizontal="center"/>
    </xf>
    <xf numFmtId="172" fontId="36" fillId="2" borderId="23" xfId="0" applyNumberFormat="1" applyFont="1" applyFill="1" applyBorder="1" applyAlignment="1" applyProtection="1">
      <alignment horizontal="center"/>
      <protection locked="0"/>
    </xf>
    <xf numFmtId="176" fontId="36" fillId="2" borderId="23" xfId="0" applyNumberFormat="1" applyFont="1" applyFill="1" applyBorder="1"/>
    <xf numFmtId="172" fontId="36" fillId="2" borderId="0" xfId="0" applyNumberFormat="1" applyFont="1" applyFill="1" applyBorder="1" applyAlignment="1" applyProtection="1">
      <alignment horizontal="center"/>
      <protection locked="0"/>
    </xf>
    <xf numFmtId="175" fontId="36" fillId="2" borderId="18" xfId="0" applyNumberFormat="1" applyFont="1" applyFill="1" applyBorder="1" applyAlignment="1">
      <alignment horizontal="center"/>
    </xf>
    <xf numFmtId="0" fontId="36" fillId="2" borderId="18" xfId="0" applyFont="1" applyFill="1" applyBorder="1" applyAlignment="1">
      <alignment horizontal="center"/>
    </xf>
    <xf numFmtId="172" fontId="36" fillId="2" borderId="18" xfId="0" applyNumberFormat="1" applyFont="1" applyFill="1" applyBorder="1" applyAlignment="1" applyProtection="1">
      <alignment horizontal="center"/>
      <protection locked="0"/>
    </xf>
    <xf numFmtId="176" fontId="36" fillId="2" borderId="18" xfId="0" applyNumberFormat="1" applyFont="1" applyFill="1" applyBorder="1"/>
    <xf numFmtId="175" fontId="36" fillId="2" borderId="0" xfId="0" applyNumberFormat="1" applyFont="1" applyFill="1" applyBorder="1" applyAlignment="1" applyProtection="1">
      <alignment horizontal="center"/>
      <protection locked="0"/>
    </xf>
    <xf numFmtId="175" fontId="4" fillId="10" borderId="11" xfId="36" applyNumberFormat="1" applyFont="1" applyFill="1" applyBorder="1" applyAlignment="1" applyProtection="1">
      <alignment horizontal="center"/>
    </xf>
    <xf numFmtId="0" fontId="4" fillId="10" borderId="15" xfId="0" applyFont="1" applyFill="1" applyBorder="1" applyAlignment="1">
      <alignment vertical="center"/>
    </xf>
    <xf numFmtId="0" fontId="4" fillId="10" borderId="1" xfId="0" applyFont="1" applyFill="1" applyBorder="1" applyAlignment="1">
      <alignment vertical="center"/>
    </xf>
    <xf numFmtId="175" fontId="4" fillId="10" borderId="5" xfId="0" applyNumberFormat="1" applyFont="1" applyFill="1" applyBorder="1" applyAlignment="1">
      <alignment horizontal="center" vertical="center"/>
    </xf>
    <xf numFmtId="0" fontId="3" fillId="2" borderId="0" xfId="0" applyFont="1" applyFill="1" applyAlignment="1" applyProtection="1">
      <alignment horizontal="center" vertical="center"/>
    </xf>
    <xf numFmtId="0" fontId="4" fillId="2" borderId="0" xfId="9" applyNumberFormat="1" applyFont="1" applyFill="1" applyBorder="1" applyAlignment="1" applyProtection="1">
      <alignment horizontal="right" vertical="center"/>
    </xf>
    <xf numFmtId="175" fontId="36" fillId="4" borderId="1" xfId="0" applyNumberFormat="1" applyFont="1" applyFill="1" applyBorder="1" applyAlignment="1" applyProtection="1">
      <alignment horizontal="center"/>
      <protection locked="0"/>
    </xf>
    <xf numFmtId="175" fontId="36" fillId="2" borderId="0" xfId="0" applyNumberFormat="1" applyFont="1" applyFill="1" applyBorder="1" applyAlignment="1">
      <alignment horizontal="center"/>
    </xf>
    <xf numFmtId="0" fontId="36" fillId="2" borderId="8" xfId="0" applyFont="1" applyFill="1" applyBorder="1" applyAlignment="1">
      <alignment horizontal="center"/>
    </xf>
    <xf numFmtId="0" fontId="50" fillId="2" borderId="0" xfId="0" applyFont="1" applyFill="1" applyAlignment="1">
      <alignment horizontal="center" wrapText="1"/>
    </xf>
    <xf numFmtId="0" fontId="50" fillId="2" borderId="0" xfId="0" applyFont="1" applyFill="1" applyAlignment="1">
      <alignment horizontal="center"/>
    </xf>
    <xf numFmtId="175" fontId="36" fillId="2" borderId="0" xfId="0" applyNumberFormat="1" applyFont="1" applyFill="1" applyAlignment="1">
      <alignment horizontal="center"/>
    </xf>
    <xf numFmtId="0" fontId="36" fillId="2" borderId="0" xfId="0" applyFont="1" applyFill="1" applyBorder="1" applyAlignment="1"/>
    <xf numFmtId="0" fontId="36" fillId="2" borderId="24" xfId="0" applyFont="1" applyFill="1" applyBorder="1" applyAlignment="1"/>
    <xf numFmtId="0" fontId="36" fillId="2" borderId="0" xfId="0" applyFont="1" applyFill="1" applyBorder="1" applyAlignment="1">
      <alignment horizontal="center"/>
    </xf>
    <xf numFmtId="176" fontId="36" fillId="2" borderId="0" xfId="0" applyNumberFormat="1" applyFont="1" applyFill="1" applyBorder="1" applyAlignment="1">
      <alignment horizontal="center"/>
    </xf>
    <xf numFmtId="0" fontId="4" fillId="2" borderId="0" xfId="0" applyNumberFormat="1" applyFont="1" applyFill="1" applyBorder="1" applyAlignment="1" applyProtection="1">
      <alignment horizontal="right" vertical="center"/>
    </xf>
    <xf numFmtId="49" fontId="4" fillId="0" borderId="0" xfId="363" applyNumberFormat="1" applyFont="1" applyFill="1" applyAlignment="1" applyProtection="1">
      <alignment horizontal="left" vertical="center"/>
      <protection locked="0"/>
    </xf>
    <xf numFmtId="0" fontId="56" fillId="0" borderId="0" xfId="0" applyFont="1"/>
    <xf numFmtId="49" fontId="4" fillId="4" borderId="0" xfId="363" applyNumberFormat="1" applyFont="1" applyFill="1" applyAlignment="1" applyProtection="1">
      <alignment horizontal="left" vertical="center"/>
      <protection locked="0"/>
    </xf>
    <xf numFmtId="0" fontId="4" fillId="4" borderId="0" xfId="363" applyFont="1" applyFill="1" applyAlignment="1" applyProtection="1">
      <alignment horizontal="left" vertical="center"/>
      <protection locked="0"/>
    </xf>
    <xf numFmtId="0" fontId="28" fillId="4" borderId="0" xfId="363" applyFill="1" applyAlignment="1" applyProtection="1">
      <alignment horizontal="left" vertical="center"/>
      <protection locked="0"/>
    </xf>
    <xf numFmtId="0" fontId="57" fillId="0" borderId="0" xfId="363" applyFont="1"/>
    <xf numFmtId="173" fontId="58" fillId="0" borderId="0" xfId="363" applyNumberFormat="1" applyFont="1" applyAlignment="1">
      <alignment horizontal="left" vertical="center"/>
    </xf>
    <xf numFmtId="0" fontId="58" fillId="0" borderId="0" xfId="363" applyNumberFormat="1" applyFont="1" applyAlignment="1">
      <alignment horizontal="left" vertical="center"/>
    </xf>
    <xf numFmtId="1" fontId="58" fillId="0" borderId="0" xfId="363" applyNumberFormat="1" applyFont="1" applyAlignment="1">
      <alignment horizontal="left" vertical="center"/>
    </xf>
    <xf numFmtId="0" fontId="59" fillId="0" borderId="0" xfId="363" applyFont="1" applyAlignment="1">
      <alignment horizontal="left" vertical="center"/>
    </xf>
    <xf numFmtId="37" fontId="4" fillId="2" borderId="0" xfId="25" applyNumberFormat="1" applyFont="1" applyFill="1" applyAlignment="1" applyProtection="1">
      <alignment vertical="center"/>
    </xf>
    <xf numFmtId="0" fontId="4" fillId="2" borderId="0" xfId="25" applyFont="1" applyFill="1" applyAlignment="1" applyProtection="1">
      <alignment vertical="center"/>
    </xf>
    <xf numFmtId="1" fontId="4" fillId="2" borderId="0" xfId="25" applyNumberFormat="1" applyFont="1" applyFill="1" applyBorder="1" applyAlignment="1" applyProtection="1">
      <alignment horizontal="right" vertical="center"/>
    </xf>
    <xf numFmtId="0" fontId="4" fillId="0" borderId="0" xfId="25" applyFont="1" applyAlignment="1" applyProtection="1">
      <alignment vertical="center"/>
      <protection locked="0"/>
    </xf>
    <xf numFmtId="37" fontId="4" fillId="2" borderId="0" xfId="25" applyNumberFormat="1" applyFont="1" applyFill="1" applyAlignment="1" applyProtection="1">
      <alignment horizontal="right" vertical="center"/>
    </xf>
    <xf numFmtId="0" fontId="3" fillId="2" borderId="0" xfId="25" applyFont="1" applyFill="1" applyAlignment="1" applyProtection="1">
      <alignment vertical="center"/>
    </xf>
    <xf numFmtId="37" fontId="4" fillId="2" borderId="0" xfId="25" applyNumberFormat="1" applyFont="1" applyFill="1" applyAlignment="1" applyProtection="1">
      <alignment horizontal="fill" vertical="center"/>
    </xf>
    <xf numFmtId="37" fontId="4" fillId="2" borderId="0" xfId="25" applyNumberFormat="1" applyFont="1" applyFill="1" applyAlignment="1" applyProtection="1">
      <alignment horizontal="left" vertical="center"/>
    </xf>
    <xf numFmtId="1" fontId="4" fillId="2" borderId="14" xfId="25" applyNumberFormat="1" applyFont="1" applyFill="1" applyBorder="1" applyAlignment="1" applyProtection="1">
      <alignment horizontal="center" vertical="center"/>
    </xf>
    <xf numFmtId="37" fontId="4" fillId="2" borderId="14" xfId="25" applyNumberFormat="1" applyFont="1" applyFill="1" applyBorder="1" applyAlignment="1" applyProtection="1">
      <alignment horizontal="center" vertical="center"/>
    </xf>
    <xf numFmtId="37" fontId="4" fillId="2" borderId="2" xfId="25" applyNumberFormat="1" applyFont="1" applyFill="1" applyBorder="1" applyAlignment="1" applyProtection="1">
      <alignment horizontal="center" vertical="center"/>
    </xf>
    <xf numFmtId="37" fontId="3" fillId="2" borderId="0" xfId="25" applyNumberFormat="1" applyFont="1" applyFill="1" applyBorder="1" applyAlignment="1" applyProtection="1">
      <alignment vertical="center"/>
    </xf>
    <xf numFmtId="0" fontId="4" fillId="2" borderId="15" xfId="25" applyNumberFormat="1" applyFont="1" applyFill="1" applyBorder="1" applyAlignment="1" applyProtection="1">
      <alignment horizontal="center" vertical="center"/>
    </xf>
    <xf numFmtId="1" fontId="4" fillId="2" borderId="6" xfId="25" applyNumberFormat="1" applyFont="1" applyFill="1" applyBorder="1" applyAlignment="1" applyProtection="1">
      <alignment horizontal="center" vertical="center"/>
    </xf>
    <xf numFmtId="37" fontId="4" fillId="2" borderId="9" xfId="25" applyNumberFormat="1" applyFont="1" applyFill="1" applyBorder="1" applyAlignment="1" applyProtection="1">
      <alignment horizontal="left" vertical="center"/>
    </xf>
    <xf numFmtId="3" fontId="4" fillId="8" borderId="14" xfId="25" applyNumberFormat="1" applyFont="1" applyFill="1" applyBorder="1" applyAlignment="1" applyProtection="1">
      <alignment horizontal="right" vertical="center"/>
      <protection locked="0"/>
    </xf>
    <xf numFmtId="3" fontId="4" fillId="2" borderId="4" xfId="1" applyNumberFormat="1" applyFont="1" applyFill="1" applyBorder="1" applyAlignment="1" applyProtection="1">
      <alignment horizontal="right" vertical="center"/>
    </xf>
    <xf numFmtId="3" fontId="4" fillId="2" borderId="5" xfId="1" applyNumberFormat="1" applyFont="1" applyFill="1" applyBorder="1" applyAlignment="1" applyProtection="1">
      <alignment horizontal="right" vertical="center"/>
    </xf>
    <xf numFmtId="37" fontId="4" fillId="2" borderId="15" xfId="25" applyNumberFormat="1" applyFont="1" applyFill="1" applyBorder="1" applyAlignment="1" applyProtection="1">
      <alignment horizontal="left" vertical="center"/>
    </xf>
    <xf numFmtId="3" fontId="4" fillId="2" borderId="14" xfId="25" applyNumberFormat="1" applyFont="1" applyFill="1" applyBorder="1" applyAlignment="1" applyProtection="1">
      <alignment horizontal="right" vertical="center"/>
      <protection locked="0"/>
    </xf>
    <xf numFmtId="3" fontId="4" fillId="2" borderId="7" xfId="1" applyNumberFormat="1" applyFont="1" applyFill="1" applyBorder="1" applyAlignment="1" applyProtection="1">
      <alignment horizontal="right" vertical="center"/>
    </xf>
    <xf numFmtId="3" fontId="4" fillId="2" borderId="7" xfId="25" applyNumberFormat="1" applyFont="1" applyFill="1" applyBorder="1" applyAlignment="1" applyProtection="1">
      <alignment horizontal="fill" vertical="center"/>
    </xf>
    <xf numFmtId="3" fontId="4" fillId="8" borderId="4" xfId="25" applyNumberFormat="1" applyFont="1" applyFill="1" applyBorder="1" applyAlignment="1" applyProtection="1">
      <alignment horizontal="right" vertical="center"/>
      <protection locked="0"/>
    </xf>
    <xf numFmtId="3" fontId="4" fillId="8" borderId="7" xfId="25" applyNumberFormat="1" applyFont="1" applyFill="1" applyBorder="1" applyAlignment="1" applyProtection="1">
      <alignment horizontal="right" vertical="center"/>
      <protection locked="0"/>
    </xf>
    <xf numFmtId="3" fontId="4" fillId="2" borderId="7" xfId="25" applyNumberFormat="1" applyFont="1" applyFill="1" applyBorder="1" applyAlignment="1" applyProtection="1">
      <alignment horizontal="right" vertical="center"/>
    </xf>
    <xf numFmtId="0" fontId="4" fillId="2" borderId="9" xfId="25" applyNumberFormat="1" applyFont="1" applyFill="1" applyBorder="1" applyAlignment="1" applyProtection="1">
      <alignment horizontal="left" vertical="center"/>
    </xf>
    <xf numFmtId="3" fontId="4" fillId="4" borderId="7" xfId="25" applyNumberFormat="1" applyFont="1" applyFill="1" applyBorder="1" applyAlignment="1" applyProtection="1">
      <alignment horizontal="right" vertical="center"/>
      <protection locked="0"/>
    </xf>
    <xf numFmtId="3" fontId="4" fillId="8" borderId="9" xfId="25" applyNumberFormat="1" applyFont="1" applyFill="1" applyBorder="1" applyAlignment="1" applyProtection="1">
      <alignment horizontal="right" vertical="center"/>
      <protection locked="0"/>
    </xf>
    <xf numFmtId="0" fontId="4" fillId="8" borderId="14" xfId="25" applyNumberFormat="1" applyFont="1" applyFill="1" applyBorder="1" applyAlignment="1" applyProtection="1">
      <alignment horizontal="left" vertical="center"/>
      <protection locked="0"/>
    </xf>
    <xf numFmtId="0" fontId="4" fillId="2" borderId="9" xfId="25" applyFont="1" applyFill="1" applyBorder="1" applyAlignment="1" applyProtection="1">
      <alignment vertical="center"/>
    </xf>
    <xf numFmtId="3" fontId="4" fillId="8" borderId="5" xfId="25" applyNumberFormat="1" applyFont="1" applyFill="1" applyBorder="1" applyAlignment="1" applyProtection="1">
      <alignment horizontal="right" vertical="center"/>
      <protection locked="0"/>
    </xf>
    <xf numFmtId="3" fontId="15" fillId="11" borderId="9" xfId="25" applyNumberFormat="1" applyFont="1" applyFill="1" applyBorder="1" applyAlignment="1" applyProtection="1">
      <alignment horizontal="center" vertical="center"/>
    </xf>
    <xf numFmtId="3" fontId="15" fillId="11" borderId="4" xfId="25" applyNumberFormat="1" applyFont="1" applyFill="1" applyBorder="1" applyAlignment="1" applyProtection="1">
      <alignment horizontal="center" vertical="center"/>
    </xf>
    <xf numFmtId="3" fontId="15" fillId="11" borderId="7" xfId="25" applyNumberFormat="1" applyFont="1" applyFill="1" applyBorder="1" applyAlignment="1" applyProtection="1">
      <alignment horizontal="center" vertical="center"/>
    </xf>
    <xf numFmtId="37" fontId="3" fillId="2" borderId="9" xfId="25" applyNumberFormat="1" applyFont="1" applyFill="1" applyBorder="1" applyAlignment="1" applyProtection="1">
      <alignment horizontal="left" vertical="center"/>
    </xf>
    <xf numFmtId="3" fontId="3" fillId="9" borderId="9" xfId="25" applyNumberFormat="1" applyFont="1" applyFill="1" applyBorder="1" applyAlignment="1" applyProtection="1">
      <alignment horizontal="right" vertical="center"/>
    </xf>
    <xf numFmtId="3" fontId="3" fillId="9" borderId="4" xfId="25" applyNumberFormat="1" applyFont="1" applyFill="1" applyBorder="1" applyAlignment="1" applyProtection="1">
      <alignment horizontal="right" vertical="center"/>
    </xf>
    <xf numFmtId="3" fontId="3" fillId="9" borderId="5" xfId="25" applyNumberFormat="1" applyFont="1" applyFill="1" applyBorder="1" applyAlignment="1" applyProtection="1">
      <alignment horizontal="right" vertical="center"/>
    </xf>
    <xf numFmtId="3" fontId="3" fillId="9" borderId="7" xfId="25" applyNumberFormat="1" applyFont="1" applyFill="1" applyBorder="1" applyAlignment="1" applyProtection="1">
      <alignment horizontal="right" vertical="center"/>
    </xf>
    <xf numFmtId="3" fontId="4" fillId="2" borderId="9" xfId="25" applyNumberFormat="1" applyFont="1" applyFill="1" applyBorder="1" applyAlignment="1" applyProtection="1">
      <alignment horizontal="right" vertical="center"/>
    </xf>
    <xf numFmtId="3" fontId="4" fillId="2" borderId="4" xfId="25" applyNumberFormat="1" applyFont="1" applyFill="1" applyBorder="1" applyAlignment="1" applyProtection="1">
      <alignment horizontal="right" vertical="center"/>
    </xf>
    <xf numFmtId="0" fontId="4" fillId="8" borderId="9" xfId="25" applyFont="1" applyFill="1" applyBorder="1" applyAlignment="1" applyProtection="1">
      <alignment vertical="center"/>
      <protection locked="0"/>
    </xf>
    <xf numFmtId="3" fontId="4" fillId="8" borderId="7" xfId="25" applyNumberFormat="1" applyFont="1" applyFill="1" applyBorder="1" applyAlignment="1" applyProtection="1">
      <alignment horizontal="right"/>
      <protection locked="0"/>
    </xf>
    <xf numFmtId="0" fontId="4" fillId="8" borderId="9" xfId="25" applyFont="1" applyFill="1" applyBorder="1" applyProtection="1">
      <protection locked="0"/>
    </xf>
    <xf numFmtId="0" fontId="4" fillId="8" borderId="9" xfId="82" applyFont="1" applyFill="1" applyBorder="1" applyProtection="1">
      <protection locked="0"/>
    </xf>
    <xf numFmtId="0" fontId="4" fillId="0" borderId="0" xfId="25" applyFont="1" applyFill="1" applyBorder="1" applyAlignment="1" applyProtection="1">
      <alignment horizontal="center" vertical="center"/>
      <protection locked="0"/>
    </xf>
    <xf numFmtId="0" fontId="2" fillId="0" borderId="0" xfId="25" applyFill="1" applyBorder="1" applyAlignment="1">
      <alignment vertical="center"/>
    </xf>
    <xf numFmtId="0" fontId="4" fillId="0" borderId="0" xfId="25" applyFont="1" applyFill="1" applyBorder="1" applyAlignment="1" applyProtection="1">
      <alignment vertical="center"/>
      <protection locked="0"/>
    </xf>
    <xf numFmtId="3" fontId="4" fillId="0" borderId="0" xfId="25" applyNumberFormat="1" applyFont="1" applyFill="1" applyBorder="1" applyAlignment="1" applyProtection="1">
      <alignment horizontal="center" vertical="center"/>
      <protection locked="0"/>
    </xf>
    <xf numFmtId="0" fontId="4" fillId="0" borderId="0" xfId="25" applyFont="1" applyFill="1" applyBorder="1" applyAlignment="1" applyProtection="1">
      <alignment horizontal="left" vertical="center"/>
      <protection locked="0"/>
    </xf>
    <xf numFmtId="3" fontId="4" fillId="4" borderId="7" xfId="25" applyNumberFormat="1" applyFont="1" applyFill="1" applyBorder="1" applyAlignment="1" applyProtection="1">
      <alignment horizontal="right" vertical="center"/>
      <protection locked="0"/>
    </xf>
    <xf numFmtId="0" fontId="40" fillId="2" borderId="28" xfId="25" applyFont="1" applyFill="1" applyBorder="1" applyAlignment="1" applyProtection="1">
      <alignment vertical="center"/>
    </xf>
    <xf numFmtId="0" fontId="4" fillId="2" borderId="0" xfId="25" applyFont="1" applyFill="1" applyBorder="1" applyAlignment="1" applyProtection="1">
      <alignment vertical="center"/>
    </xf>
    <xf numFmtId="0" fontId="40" fillId="2" borderId="0" xfId="25" applyFont="1" applyFill="1" applyBorder="1" applyAlignment="1" applyProtection="1">
      <alignment vertical="center"/>
    </xf>
    <xf numFmtId="175" fontId="40" fillId="2" borderId="11" xfId="25" applyNumberFormat="1" applyFont="1" applyFill="1" applyBorder="1" applyAlignment="1" applyProtection="1">
      <alignment horizontal="center" vertical="center"/>
    </xf>
    <xf numFmtId="0" fontId="40" fillId="2" borderId="28" xfId="25" applyFont="1" applyFill="1" applyBorder="1" applyAlignment="1" applyProtection="1">
      <alignment horizontal="left" vertical="center"/>
    </xf>
    <xf numFmtId="175" fontId="40" fillId="4" borderId="4" xfId="25" applyNumberFormat="1" applyFont="1" applyFill="1" applyBorder="1" applyAlignment="1" applyProtection="1">
      <alignment horizontal="center" vertical="center"/>
      <protection locked="0"/>
    </xf>
    <xf numFmtId="0" fontId="42" fillId="2" borderId="7" xfId="25" applyFont="1" applyFill="1" applyBorder="1" applyAlignment="1" applyProtection="1">
      <alignment horizontal="center" vertical="center"/>
    </xf>
    <xf numFmtId="0" fontId="42" fillId="10" borderId="28" xfId="25" applyFont="1" applyFill="1" applyBorder="1" applyAlignment="1" applyProtection="1">
      <alignment vertical="center"/>
    </xf>
    <xf numFmtId="0" fontId="4" fillId="10" borderId="0" xfId="25" applyFont="1" applyFill="1" applyBorder="1" applyAlignment="1" applyProtection="1">
      <alignment vertical="center"/>
    </xf>
    <xf numFmtId="0" fontId="40" fillId="10" borderId="0" xfId="25" applyFont="1" applyFill="1" applyBorder="1" applyAlignment="1" applyProtection="1">
      <alignment vertical="center"/>
    </xf>
    <xf numFmtId="175" fontId="42" fillId="10" borderId="7" xfId="25" applyNumberFormat="1" applyFont="1" applyFill="1" applyBorder="1" applyAlignment="1" applyProtection="1">
      <alignment horizontal="center" vertical="center"/>
    </xf>
    <xf numFmtId="37" fontId="40" fillId="2" borderId="15" xfId="25" applyNumberFormat="1" applyFont="1" applyFill="1" applyBorder="1" applyAlignment="1" applyProtection="1">
      <alignment horizontal="left" vertical="center"/>
    </xf>
    <xf numFmtId="0" fontId="43" fillId="2" borderId="1" xfId="25" applyFont="1" applyFill="1" applyBorder="1" applyAlignment="1">
      <alignment horizontal="left" vertical="center"/>
    </xf>
    <xf numFmtId="175" fontId="42" fillId="10" borderId="5" xfId="25" applyNumberFormat="1" applyFont="1" applyFill="1" applyBorder="1" applyAlignment="1" applyProtection="1">
      <alignment horizontal="center" vertical="center"/>
      <protection locked="0"/>
    </xf>
    <xf numFmtId="0" fontId="4" fillId="2" borderId="28" xfId="25" applyFont="1" applyFill="1" applyBorder="1" applyAlignment="1" applyProtection="1">
      <alignment vertical="center"/>
    </xf>
    <xf numFmtId="0" fontId="4" fillId="2" borderId="11" xfId="25" applyFont="1" applyFill="1" applyBorder="1" applyAlignment="1" applyProtection="1">
      <alignment vertical="center"/>
    </xf>
    <xf numFmtId="175" fontId="40" fillId="2" borderId="28" xfId="25" applyNumberFormat="1" applyFont="1" applyFill="1" applyBorder="1" applyAlignment="1" applyProtection="1">
      <alignment horizontal="center" vertical="center"/>
    </xf>
    <xf numFmtId="0" fontId="40" fillId="2" borderId="0" xfId="25" applyFont="1" applyFill="1" applyBorder="1" applyAlignment="1" applyProtection="1">
      <alignment horizontal="left" vertical="center"/>
    </xf>
    <xf numFmtId="0" fontId="40" fillId="2" borderId="11" xfId="25" applyFont="1" applyFill="1" applyBorder="1" applyAlignment="1" applyProtection="1">
      <alignment vertical="center"/>
    </xf>
    <xf numFmtId="3" fontId="4" fillId="9" borderId="9" xfId="25" applyNumberFormat="1" applyFont="1" applyFill="1" applyBorder="1" applyAlignment="1" applyProtection="1">
      <alignment horizontal="right" vertical="center"/>
    </xf>
    <xf numFmtId="3" fontId="4" fillId="9" borderId="4" xfId="25" applyNumberFormat="1" applyFont="1" applyFill="1" applyBorder="1" applyAlignment="1" applyProtection="1">
      <alignment horizontal="right" vertical="center"/>
    </xf>
    <xf numFmtId="0" fontId="4" fillId="2" borderId="0" xfId="25" applyFont="1" applyFill="1" applyAlignment="1" applyProtection="1">
      <alignment horizontal="right" vertical="center"/>
    </xf>
    <xf numFmtId="3" fontId="4" fillId="2" borderId="4" xfId="25" applyNumberFormat="1" applyFont="1" applyFill="1" applyBorder="1" applyAlignment="1" applyProtection="1">
      <alignment horizontal="center" vertical="center"/>
    </xf>
    <xf numFmtId="0" fontId="15" fillId="0" borderId="0" xfId="25" applyFont="1" applyAlignment="1" applyProtection="1">
      <alignment vertical="center"/>
    </xf>
    <xf numFmtId="175" fontId="40" fillId="2" borderId="15" xfId="25" applyNumberFormat="1" applyFont="1" applyFill="1" applyBorder="1" applyAlignment="1" applyProtection="1">
      <alignment horizontal="center" vertical="center"/>
    </xf>
    <xf numFmtId="0" fontId="53" fillId="0" borderId="0" xfId="25" applyFont="1" applyProtection="1">
      <protection locked="0"/>
    </xf>
    <xf numFmtId="3" fontId="4" fillId="8" borderId="4" xfId="25" applyNumberFormat="1" applyFont="1" applyFill="1" applyBorder="1" applyAlignment="1" applyProtection="1">
      <alignment vertical="center"/>
      <protection locked="0"/>
    </xf>
    <xf numFmtId="0" fontId="44" fillId="0" borderId="0" xfId="25" applyFont="1" applyAlignment="1" applyProtection="1">
      <alignment vertical="center"/>
    </xf>
    <xf numFmtId="0" fontId="55" fillId="2" borderId="0" xfId="25" applyFont="1" applyFill="1" applyAlignment="1" applyProtection="1">
      <alignment horizontal="center" vertical="center"/>
    </xf>
    <xf numFmtId="3" fontId="4" fillId="2" borderId="4" xfId="25" applyNumberFormat="1" applyFont="1" applyFill="1" applyBorder="1" applyAlignment="1" applyProtection="1">
      <alignment vertical="center"/>
    </xf>
    <xf numFmtId="175" fontId="40" fillId="2" borderId="28" xfId="25" applyNumberFormat="1" applyFont="1" applyFill="1" applyBorder="1" applyAlignment="1" applyProtection="1">
      <alignment vertical="center"/>
    </xf>
    <xf numFmtId="0" fontId="13" fillId="2" borderId="0" xfId="25" applyFont="1" applyFill="1" applyAlignment="1" applyProtection="1">
      <alignment horizontal="center" vertical="center"/>
    </xf>
    <xf numFmtId="3" fontId="4" fillId="9" borderId="4" xfId="25" applyNumberFormat="1" applyFont="1" applyFill="1" applyBorder="1" applyAlignment="1" applyProtection="1">
      <alignment vertical="center"/>
    </xf>
    <xf numFmtId="2" fontId="4" fillId="2" borderId="0" xfId="25" applyNumberFormat="1" applyFont="1" applyFill="1" applyAlignment="1" applyProtection="1">
      <alignment horizontal="right" vertical="center"/>
      <protection locked="0"/>
    </xf>
    <xf numFmtId="178" fontId="4" fillId="2" borderId="0" xfId="40" applyNumberFormat="1" applyFont="1" applyFill="1" applyAlignment="1">
      <alignment horizontal="center" vertical="center"/>
    </xf>
    <xf numFmtId="175" fontId="42" fillId="10" borderId="15" xfId="25" applyNumberFormat="1" applyFont="1" applyFill="1" applyBorder="1" applyAlignment="1" applyProtection="1">
      <alignment horizontal="center" vertical="center"/>
    </xf>
    <xf numFmtId="0" fontId="42" fillId="10" borderId="1" xfId="25" applyFont="1" applyFill="1" applyBorder="1" applyAlignment="1" applyProtection="1">
      <alignment vertical="center"/>
    </xf>
    <xf numFmtId="0" fontId="40" fillId="10" borderId="5" xfId="25" applyFont="1" applyFill="1" applyBorder="1" applyAlignment="1" applyProtection="1">
      <alignment vertical="center"/>
    </xf>
    <xf numFmtId="0" fontId="4" fillId="10" borderId="5" xfId="25" applyFont="1" applyFill="1" applyBorder="1" applyAlignment="1" applyProtection="1">
      <alignment vertical="center"/>
    </xf>
    <xf numFmtId="3" fontId="3" fillId="10" borderId="16" xfId="25" applyNumberFormat="1" applyFont="1" applyFill="1" applyBorder="1" applyAlignment="1" applyProtection="1">
      <alignment vertical="center"/>
    </xf>
    <xf numFmtId="0" fontId="4" fillId="4" borderId="0" xfId="25" applyFont="1" applyFill="1" applyAlignment="1" applyProtection="1">
      <alignment horizontal="left" vertical="center"/>
      <protection locked="0"/>
    </xf>
    <xf numFmtId="0" fontId="4" fillId="2" borderId="0" xfId="25" applyFont="1" applyFill="1" applyAlignment="1" applyProtection="1">
      <alignment vertical="center"/>
    </xf>
    <xf numFmtId="172" fontId="40" fillId="2" borderId="28" xfId="25" applyNumberFormat="1" applyFont="1" applyFill="1" applyBorder="1" applyAlignment="1" applyProtection="1">
      <alignment horizontal="center" vertical="center"/>
    </xf>
    <xf numFmtId="0" fontId="41" fillId="2" borderId="0" xfId="25" applyFont="1" applyFill="1" applyBorder="1" applyAlignment="1" applyProtection="1">
      <alignment horizontal="center" vertical="center"/>
    </xf>
    <xf numFmtId="0" fontId="2" fillId="2" borderId="11" xfId="25" applyFill="1" applyBorder="1" applyAlignment="1" applyProtection="1">
      <alignment vertical="center"/>
    </xf>
    <xf numFmtId="172" fontId="40" fillId="10" borderId="15" xfId="25" applyNumberFormat="1" applyFont="1" applyFill="1" applyBorder="1" applyAlignment="1" applyProtection="1">
      <alignment horizontal="center" vertical="center"/>
    </xf>
    <xf numFmtId="0" fontId="4" fillId="0" borderId="0" xfId="25" applyFont="1" applyFill="1" applyBorder="1" applyAlignment="1" applyProtection="1">
      <alignment vertical="center"/>
    </xf>
    <xf numFmtId="175" fontId="4" fillId="0" borderId="0" xfId="25" applyNumberFormat="1" applyFont="1" applyFill="1" applyBorder="1" applyAlignment="1" applyProtection="1">
      <alignment vertical="center"/>
      <protection locked="0"/>
    </xf>
    <xf numFmtId="172" fontId="40" fillId="2" borderId="9" xfId="25" applyNumberFormat="1" applyFont="1" applyFill="1" applyBorder="1" applyAlignment="1" applyProtection="1">
      <alignment horizontal="center" vertical="center"/>
    </xf>
    <xf numFmtId="175" fontId="4" fillId="0" borderId="0" xfId="25" applyNumberFormat="1" applyFont="1" applyAlignment="1" applyProtection="1">
      <alignment vertical="center"/>
      <protection locked="0"/>
    </xf>
    <xf numFmtId="0" fontId="40" fillId="0" borderId="0" xfId="25" applyFont="1" applyFill="1" applyBorder="1" applyAlignment="1" applyProtection="1">
      <alignment horizontal="left" vertical="center"/>
    </xf>
    <xf numFmtId="0" fontId="40" fillId="0" borderId="0" xfId="25" applyFont="1" applyFill="1" applyBorder="1" applyAlignment="1" applyProtection="1">
      <alignment vertical="center"/>
    </xf>
    <xf numFmtId="175" fontId="40" fillId="0" borderId="0" xfId="25" applyNumberFormat="1" applyFont="1" applyFill="1" applyBorder="1" applyAlignment="1" applyProtection="1">
      <alignment horizontal="center" vertical="center"/>
      <protection locked="0"/>
    </xf>
    <xf numFmtId="0" fontId="40" fillId="0" borderId="0" xfId="25" applyFont="1" applyFill="1" applyBorder="1" applyAlignment="1" applyProtection="1">
      <alignment vertical="center"/>
      <protection locked="0"/>
    </xf>
    <xf numFmtId="172" fontId="40" fillId="10" borderId="9" xfId="25" applyNumberFormat="1" applyFont="1" applyFill="1" applyBorder="1" applyAlignment="1" applyProtection="1">
      <alignment horizontal="center" vertical="center"/>
    </xf>
    <xf numFmtId="3" fontId="4" fillId="0" borderId="0" xfId="25" applyNumberFormat="1" applyFont="1" applyFill="1" applyBorder="1" applyAlignment="1" applyProtection="1">
      <alignment horizontal="left" vertical="center"/>
      <protection locked="0"/>
    </xf>
    <xf numFmtId="6" fontId="4" fillId="0" borderId="0" xfId="25" applyNumberFormat="1" applyFont="1" applyFill="1" applyBorder="1" applyAlignment="1" applyProtection="1">
      <alignment horizontal="left" vertical="center"/>
      <protection locked="0"/>
    </xf>
    <xf numFmtId="0" fontId="40" fillId="2" borderId="1" xfId="25" applyFont="1" applyFill="1" applyBorder="1" applyAlignment="1" applyProtection="1">
      <alignment horizontal="left" vertical="center"/>
    </xf>
    <xf numFmtId="0" fontId="41" fillId="2" borderId="1" xfId="25" applyFont="1" applyFill="1" applyBorder="1" applyAlignment="1" applyProtection="1">
      <alignment horizontal="center" vertical="center"/>
    </xf>
    <xf numFmtId="0" fontId="2" fillId="2" borderId="5" xfId="25" applyFill="1" applyBorder="1" applyAlignment="1" applyProtection="1">
      <alignment vertical="center"/>
    </xf>
    <xf numFmtId="172" fontId="40" fillId="0" borderId="0" xfId="25" applyNumberFormat="1" applyFont="1" applyFill="1" applyBorder="1" applyAlignment="1" applyProtection="1">
      <alignment horizontal="center" vertical="center"/>
      <protection locked="0"/>
    </xf>
    <xf numFmtId="0" fontId="42" fillId="0" borderId="0" xfId="25" applyFont="1" applyFill="1" applyBorder="1" applyAlignment="1" applyProtection="1">
      <alignment horizontal="center" vertical="center"/>
    </xf>
    <xf numFmtId="0" fontId="42" fillId="0" borderId="0" xfId="25" applyFont="1" applyFill="1" applyBorder="1" applyAlignment="1" applyProtection="1">
      <alignment vertical="center"/>
    </xf>
    <xf numFmtId="175" fontId="42" fillId="0" borderId="0" xfId="25" applyNumberFormat="1" applyFont="1" applyFill="1" applyBorder="1" applyAlignment="1" applyProtection="1">
      <alignment horizontal="center" vertical="center"/>
    </xf>
    <xf numFmtId="3" fontId="55" fillId="0" borderId="0" xfId="25" applyNumberFormat="1" applyFont="1" applyFill="1" applyBorder="1" applyAlignment="1" applyProtection="1">
      <alignment horizontal="center" vertical="center"/>
      <protection locked="0"/>
    </xf>
    <xf numFmtId="0" fontId="55" fillId="0" borderId="0" xfId="25" applyFont="1" applyFill="1" applyBorder="1" applyAlignment="1" applyProtection="1">
      <alignment horizontal="center" vertical="center"/>
      <protection locked="0"/>
    </xf>
    <xf numFmtId="0" fontId="55" fillId="0" borderId="0" xfId="25" applyFont="1" applyAlignment="1" applyProtection="1">
      <alignment horizontal="center" vertical="center"/>
      <protection locked="0"/>
    </xf>
    <xf numFmtId="0" fontId="4" fillId="2" borderId="0" xfId="25" applyFont="1" applyFill="1"/>
    <xf numFmtId="0" fontId="2" fillId="0" borderId="0" xfId="25"/>
    <xf numFmtId="0" fontId="4" fillId="2" borderId="0" xfId="25" applyFont="1" applyFill="1" applyAlignment="1">
      <alignment vertical="center"/>
    </xf>
    <xf numFmtId="37" fontId="4" fillId="2" borderId="0" xfId="25" applyNumberFormat="1" applyFont="1" applyFill="1" applyAlignment="1">
      <alignment vertical="center"/>
    </xf>
    <xf numFmtId="0" fontId="4" fillId="2" borderId="1" xfId="25" applyFont="1" applyFill="1" applyBorder="1" applyAlignment="1">
      <alignment vertical="center"/>
    </xf>
    <xf numFmtId="0" fontId="4" fillId="2" borderId="0" xfId="25" applyFont="1" applyFill="1" applyAlignment="1">
      <alignment horizontal="center" vertical="center"/>
    </xf>
    <xf numFmtId="0" fontId="5" fillId="2" borderId="0" xfId="25" applyFont="1" applyFill="1" applyAlignment="1">
      <alignment horizontal="center" vertical="center"/>
    </xf>
    <xf numFmtId="175" fontId="4" fillId="2" borderId="0" xfId="25" applyNumberFormat="1" applyFont="1" applyFill="1" applyAlignment="1">
      <alignment vertical="center"/>
    </xf>
    <xf numFmtId="175" fontId="4" fillId="2" borderId="8" xfId="25" applyNumberFormat="1" applyFont="1" applyFill="1" applyBorder="1" applyAlignment="1">
      <alignment vertical="center"/>
    </xf>
    <xf numFmtId="6" fontId="4" fillId="2" borderId="0" xfId="25" applyNumberFormat="1" applyFont="1" applyFill="1" applyBorder="1" applyAlignment="1">
      <alignment vertical="center"/>
    </xf>
    <xf numFmtId="175" fontId="4" fillId="2" borderId="0" xfId="25" applyNumberFormat="1" applyFont="1" applyFill="1" applyBorder="1" applyAlignment="1">
      <alignment vertical="center"/>
    </xf>
    <xf numFmtId="0" fontId="54" fillId="10" borderId="0" xfId="25" applyFont="1" applyFill="1" applyAlignment="1">
      <alignment vertical="center"/>
    </xf>
    <xf numFmtId="0" fontId="54" fillId="2" borderId="0" xfId="25" applyFont="1" applyFill="1" applyAlignment="1">
      <alignment horizontal="center" vertical="center"/>
    </xf>
    <xf numFmtId="172" fontId="4" fillId="2" borderId="0" xfId="25" applyNumberFormat="1" applyFont="1" applyFill="1" applyAlignment="1">
      <alignment horizontal="center" vertical="center"/>
    </xf>
    <xf numFmtId="179" fontId="54" fillId="2" borderId="0" xfId="25" applyNumberFormat="1" applyFont="1" applyFill="1" applyAlignment="1">
      <alignment horizontal="center" vertical="center"/>
    </xf>
    <xf numFmtId="0" fontId="54" fillId="10" borderId="0" xfId="25" applyFont="1" applyFill="1" applyAlignment="1">
      <alignment horizontal="center" vertical="center"/>
    </xf>
    <xf numFmtId="0" fontId="60" fillId="10" borderId="0" xfId="25" applyFont="1" applyFill="1" applyAlignment="1">
      <alignment horizontal="center" vertical="center"/>
    </xf>
    <xf numFmtId="0" fontId="4" fillId="2" borderId="0" xfId="25" applyFont="1" applyFill="1" applyAlignment="1">
      <alignment horizontal="right" vertical="center"/>
    </xf>
    <xf numFmtId="0" fontId="4" fillId="2" borderId="0" xfId="25" applyFont="1" applyFill="1" applyAlignment="1">
      <alignment horizontal="left" vertical="center"/>
    </xf>
    <xf numFmtId="0" fontId="4" fillId="2" borderId="0" xfId="16" applyFont="1" applyFill="1"/>
    <xf numFmtId="0" fontId="2" fillId="2" borderId="0" xfId="25" applyFill="1"/>
    <xf numFmtId="0" fontId="3" fillId="2" borderId="0" xfId="16" applyFont="1" applyFill="1"/>
    <xf numFmtId="0" fontId="2" fillId="2" borderId="0" xfId="16" applyFill="1"/>
    <xf numFmtId="0" fontId="10" fillId="0" borderId="0" xfId="9" applyAlignment="1" applyProtection="1"/>
    <xf numFmtId="0" fontId="4" fillId="2" borderId="10" xfId="0" applyFont="1" applyFill="1" applyBorder="1" applyProtection="1"/>
    <xf numFmtId="0" fontId="7" fillId="2" borderId="6" xfId="0" applyFont="1" applyFill="1" applyBorder="1" applyAlignment="1" applyProtection="1">
      <alignment horizontal="center" vertical="center"/>
    </xf>
    <xf numFmtId="14" fontId="4" fillId="2" borderId="6" xfId="0" quotePrefix="1" applyNumberFormat="1" applyFont="1" applyFill="1" applyBorder="1" applyAlignment="1" applyProtection="1">
      <alignment horizontal="center" vertical="center"/>
    </xf>
    <xf numFmtId="3" fontId="3" fillId="9" borderId="16" xfId="0" applyNumberFormat="1" applyFont="1" applyFill="1" applyBorder="1" applyAlignment="1" applyProtection="1">
      <alignment horizontal="center" vertical="center"/>
    </xf>
    <xf numFmtId="1" fontId="4" fillId="8" borderId="4" xfId="0" applyNumberFormat="1" applyFont="1" applyFill="1" applyBorder="1" applyAlignment="1" applyProtection="1">
      <alignment horizontal="center" vertical="center"/>
      <protection locked="0"/>
    </xf>
    <xf numFmtId="0" fontId="40" fillId="0" borderId="0" xfId="36" applyFont="1" applyFill="1" applyBorder="1" applyAlignment="1" applyProtection="1">
      <alignment vertical="center"/>
    </xf>
    <xf numFmtId="0" fontId="4" fillId="0" borderId="0" xfId="36" applyFont="1" applyFill="1" applyBorder="1" applyAlignment="1" applyProtection="1">
      <alignment vertical="center"/>
      <protection locked="0"/>
    </xf>
    <xf numFmtId="0" fontId="40" fillId="0" borderId="0" xfId="36" applyFont="1" applyFill="1" applyBorder="1" applyAlignment="1" applyProtection="1">
      <alignment vertical="center"/>
      <protection locked="0"/>
    </xf>
    <xf numFmtId="172" fontId="40" fillId="0" borderId="0" xfId="36" applyNumberFormat="1" applyFont="1" applyFill="1" applyBorder="1" applyAlignment="1" applyProtection="1">
      <alignment horizontal="center" vertical="center"/>
      <protection locked="0"/>
    </xf>
    <xf numFmtId="0" fontId="42" fillId="0" borderId="0" xfId="36" applyFont="1" applyFill="1" applyBorder="1" applyAlignment="1" applyProtection="1">
      <alignment vertical="center"/>
      <protection locked="0"/>
    </xf>
    <xf numFmtId="175" fontId="42" fillId="0" borderId="0" xfId="36" applyNumberFormat="1" applyFont="1" applyFill="1" applyBorder="1" applyAlignment="1" applyProtection="1">
      <alignment horizontal="center" vertical="center"/>
      <protection locked="0"/>
    </xf>
    <xf numFmtId="178" fontId="4" fillId="2" borderId="0" xfId="370" applyNumberFormat="1" applyFont="1" applyFill="1" applyAlignment="1" applyProtection="1">
      <alignment horizontal="center" vertical="center"/>
    </xf>
    <xf numFmtId="3" fontId="4" fillId="11" borderId="16" xfId="0" applyNumberFormat="1" applyFont="1" applyFill="1" applyBorder="1" applyAlignment="1" applyProtection="1">
      <alignment vertical="center"/>
    </xf>
    <xf numFmtId="3" fontId="4" fillId="10" borderId="16" xfId="36" applyNumberFormat="1" applyFont="1" applyFill="1" applyBorder="1" applyAlignment="1" applyProtection="1">
      <alignment vertical="center"/>
    </xf>
    <xf numFmtId="3" fontId="4" fillId="10" borderId="16" xfId="0" applyNumberFormat="1" applyFont="1" applyFill="1" applyBorder="1" applyAlignment="1" applyProtection="1">
      <alignment vertical="center"/>
    </xf>
    <xf numFmtId="0" fontId="4" fillId="0" borderId="0" xfId="0" applyFont="1" applyBorder="1" applyAlignment="1" applyProtection="1">
      <alignment vertical="center"/>
      <protection locked="0"/>
    </xf>
    <xf numFmtId="0" fontId="4" fillId="2" borderId="0" xfId="0" applyFont="1" applyFill="1" applyBorder="1" applyAlignment="1" applyProtection="1">
      <alignment vertical="center"/>
      <protection locked="0"/>
    </xf>
    <xf numFmtId="37" fontId="4" fillId="2" borderId="0" xfId="0" applyNumberFormat="1" applyFont="1" applyFill="1" applyBorder="1" applyAlignment="1" applyProtection="1">
      <alignment horizontal="fill" vertical="center"/>
      <protection locked="0"/>
    </xf>
    <xf numFmtId="37" fontId="4" fillId="2" borderId="0" xfId="0" applyNumberFormat="1" applyFont="1" applyFill="1" applyBorder="1" applyAlignment="1" applyProtection="1">
      <alignment horizontal="centerContinuous" vertical="center"/>
    </xf>
    <xf numFmtId="37" fontId="4" fillId="9" borderId="1" xfId="0" applyNumberFormat="1" applyFont="1" applyFill="1" applyBorder="1" applyAlignment="1" applyProtection="1">
      <alignment vertical="center"/>
    </xf>
    <xf numFmtId="0" fontId="4" fillId="2" borderId="0" xfId="0" applyFont="1" applyFill="1" applyBorder="1" applyAlignment="1" applyProtection="1">
      <alignment horizontal="center" vertical="center"/>
    </xf>
    <xf numFmtId="37" fontId="4" fillId="2" borderId="0" xfId="0" applyNumberFormat="1" applyFont="1" applyFill="1" applyBorder="1" applyAlignment="1" applyProtection="1">
      <alignment horizontal="center" vertical="center"/>
    </xf>
    <xf numFmtId="0" fontId="4" fillId="2" borderId="15" xfId="0" applyFont="1" applyFill="1" applyBorder="1" applyAlignment="1" applyProtection="1">
      <alignment vertical="center"/>
    </xf>
    <xf numFmtId="0" fontId="4" fillId="2" borderId="0" xfId="0" applyFont="1" applyFill="1" applyProtection="1">
      <protection locked="0"/>
    </xf>
    <xf numFmtId="178" fontId="4" fillId="8" borderId="4" xfId="0" applyNumberFormat="1" applyFont="1" applyFill="1" applyBorder="1" applyAlignment="1" applyProtection="1">
      <alignment vertical="center"/>
      <protection locked="0"/>
    </xf>
    <xf numFmtId="178" fontId="4" fillId="8" borderId="6" xfId="0" applyNumberFormat="1" applyFont="1" applyFill="1" applyBorder="1" applyAlignment="1" applyProtection="1">
      <alignment vertical="center"/>
      <protection locked="0"/>
    </xf>
    <xf numFmtId="0" fontId="4" fillId="2" borderId="28" xfId="36" applyFont="1" applyFill="1" applyBorder="1" applyAlignment="1" applyProtection="1">
      <alignment vertical="center"/>
    </xf>
    <xf numFmtId="0" fontId="4" fillId="2" borderId="0" xfId="36" applyFont="1" applyFill="1" applyBorder="1" applyAlignment="1" applyProtection="1">
      <alignment vertical="center"/>
    </xf>
    <xf numFmtId="0" fontId="4" fillId="2" borderId="11" xfId="36" applyFont="1" applyFill="1" applyBorder="1" applyAlignment="1" applyProtection="1">
      <alignment vertical="center"/>
    </xf>
    <xf numFmtId="0" fontId="40" fillId="2" borderId="28" xfId="36" applyFont="1" applyFill="1" applyBorder="1" applyAlignment="1" applyProtection="1">
      <alignment horizontal="left" vertical="center"/>
    </xf>
    <xf numFmtId="0" fontId="40" fillId="2" borderId="0" xfId="36" applyFont="1" applyFill="1" applyBorder="1" applyAlignment="1" applyProtection="1">
      <alignment vertical="center"/>
    </xf>
    <xf numFmtId="175" fontId="40" fillId="4" borderId="4" xfId="36" applyNumberFormat="1" applyFont="1" applyFill="1" applyBorder="1" applyAlignment="1" applyProtection="1">
      <alignment horizontal="center" vertical="center"/>
      <protection locked="0"/>
    </xf>
    <xf numFmtId="0" fontId="40" fillId="2" borderId="28" xfId="36" applyFont="1" applyFill="1" applyBorder="1" applyAlignment="1" applyProtection="1">
      <alignment vertical="center"/>
    </xf>
    <xf numFmtId="0" fontId="4" fillId="2" borderId="0" xfId="36" applyFont="1" applyFill="1" applyBorder="1" applyAlignment="1" applyProtection="1">
      <alignment vertical="center"/>
      <protection locked="0"/>
    </xf>
    <xf numFmtId="0" fontId="40" fillId="2" borderId="0" xfId="36" applyFont="1" applyFill="1" applyBorder="1" applyAlignment="1" applyProtection="1">
      <alignment vertical="center"/>
      <protection locked="0"/>
    </xf>
    <xf numFmtId="172" fontId="40" fillId="2" borderId="7" xfId="36" applyNumberFormat="1" applyFont="1" applyFill="1" applyBorder="1" applyAlignment="1" applyProtection="1">
      <alignment horizontal="center" vertical="center"/>
      <protection locked="0"/>
    </xf>
    <xf numFmtId="0" fontId="42" fillId="10" borderId="28" xfId="36" applyFont="1" applyFill="1" applyBorder="1" applyAlignment="1" applyProtection="1">
      <alignment vertical="center"/>
      <protection locked="0"/>
    </xf>
    <xf numFmtId="0" fontId="4" fillId="10" borderId="0" xfId="36" applyFont="1" applyFill="1" applyBorder="1" applyAlignment="1" applyProtection="1">
      <alignment vertical="center"/>
      <protection locked="0"/>
    </xf>
    <xf numFmtId="0" fontId="40" fillId="10" borderId="0" xfId="36" applyFont="1" applyFill="1" applyBorder="1" applyAlignment="1" applyProtection="1">
      <alignment vertical="center"/>
      <protection locked="0"/>
    </xf>
    <xf numFmtId="175" fontId="42" fillId="10" borderId="5" xfId="36" applyNumberFormat="1" applyFont="1" applyFill="1" applyBorder="1" applyAlignment="1" applyProtection="1">
      <alignment horizontal="center" vertical="center"/>
      <protection locked="0"/>
    </xf>
    <xf numFmtId="0" fontId="40" fillId="2" borderId="15" xfId="0" applyFont="1" applyFill="1" applyBorder="1" applyAlignment="1" applyProtection="1">
      <alignment vertical="center"/>
      <protection locked="0"/>
    </xf>
    <xf numFmtId="0" fontId="40" fillId="2" borderId="1" xfId="0" applyFont="1" applyFill="1" applyBorder="1" applyAlignment="1" applyProtection="1">
      <alignment vertical="center"/>
      <protection locked="0"/>
    </xf>
    <xf numFmtId="0" fontId="4" fillId="2" borderId="1" xfId="0" applyFont="1" applyFill="1" applyBorder="1" applyAlignment="1" applyProtection="1">
      <alignment vertical="center"/>
      <protection locked="0"/>
    </xf>
    <xf numFmtId="175" fontId="42" fillId="10" borderId="5" xfId="0" applyNumberFormat="1" applyFont="1" applyFill="1" applyBorder="1" applyAlignment="1" applyProtection="1">
      <alignment horizontal="center" vertical="center"/>
      <protection locked="0"/>
    </xf>
    <xf numFmtId="175" fontId="40" fillId="2" borderId="28" xfId="36" applyNumberFormat="1" applyFont="1" applyFill="1" applyBorder="1" applyAlignment="1" applyProtection="1">
      <alignment horizontal="center" vertical="center"/>
    </xf>
    <xf numFmtId="0" fontId="40" fillId="2" borderId="0" xfId="36" applyFont="1" applyFill="1" applyBorder="1" applyAlignment="1" applyProtection="1">
      <alignment horizontal="left" vertical="center"/>
    </xf>
    <xf numFmtId="0" fontId="40" fillId="2" borderId="11" xfId="36" applyFont="1" applyFill="1" applyBorder="1" applyAlignment="1" applyProtection="1">
      <alignment vertical="center"/>
    </xf>
    <xf numFmtId="175" fontId="40" fillId="2" borderId="15" xfId="36" applyNumberFormat="1" applyFont="1" applyFill="1" applyBorder="1" applyAlignment="1" applyProtection="1">
      <alignment horizontal="center" vertical="center"/>
    </xf>
    <xf numFmtId="0" fontId="53" fillId="0" borderId="0" xfId="0" applyFont="1" applyProtection="1">
      <protection locked="0"/>
    </xf>
    <xf numFmtId="175" fontId="40" fillId="2" borderId="28" xfId="36" applyNumberFormat="1" applyFont="1" applyFill="1" applyBorder="1" applyAlignment="1" applyProtection="1">
      <alignment vertical="center"/>
    </xf>
    <xf numFmtId="175" fontId="42" fillId="10" borderId="15" xfId="36" applyNumberFormat="1" applyFont="1" applyFill="1" applyBorder="1" applyAlignment="1" applyProtection="1">
      <alignment horizontal="center" vertical="center"/>
    </xf>
    <xf numFmtId="0" fontId="42" fillId="10" borderId="1" xfId="36" applyFont="1" applyFill="1" applyBorder="1" applyAlignment="1" applyProtection="1">
      <alignment vertical="center"/>
    </xf>
    <xf numFmtId="0" fontId="40" fillId="10" borderId="5" xfId="36" applyFont="1" applyFill="1" applyBorder="1" applyAlignment="1" applyProtection="1">
      <alignment vertical="center"/>
    </xf>
    <xf numFmtId="0" fontId="4" fillId="10" borderId="5" xfId="36" applyFont="1" applyFill="1" applyBorder="1" applyAlignment="1" applyProtection="1">
      <alignment vertical="center"/>
    </xf>
    <xf numFmtId="172" fontId="40" fillId="2" borderId="28" xfId="0" applyNumberFormat="1" applyFont="1" applyFill="1" applyBorder="1" applyAlignment="1" applyProtection="1">
      <alignment horizontal="center" vertical="center"/>
    </xf>
    <xf numFmtId="0" fontId="40" fillId="2" borderId="0" xfId="0" applyFont="1" applyFill="1" applyBorder="1" applyAlignment="1" applyProtection="1">
      <alignment horizontal="left" vertical="center"/>
    </xf>
    <xf numFmtId="0" fontId="41" fillId="2" borderId="0" xfId="0" applyFont="1" applyFill="1" applyBorder="1" applyAlignment="1" applyProtection="1">
      <alignment horizontal="center" vertical="center"/>
    </xf>
    <xf numFmtId="0" fontId="0" fillId="2" borderId="11" xfId="0" applyFill="1" applyBorder="1" applyAlignment="1" applyProtection="1">
      <alignment vertical="center"/>
    </xf>
    <xf numFmtId="172" fontId="40" fillId="10" borderId="15" xfId="0" applyNumberFormat="1" applyFont="1" applyFill="1" applyBorder="1" applyAlignment="1" applyProtection="1">
      <alignment horizontal="center" vertical="center"/>
    </xf>
    <xf numFmtId="172" fontId="40" fillId="2" borderId="9" xfId="0" applyNumberFormat="1" applyFont="1" applyFill="1" applyBorder="1" applyAlignment="1" applyProtection="1">
      <alignment horizontal="center" vertical="center"/>
    </xf>
    <xf numFmtId="172" fontId="40" fillId="10" borderId="9" xfId="0" applyNumberFormat="1" applyFont="1" applyFill="1" applyBorder="1" applyAlignment="1" applyProtection="1">
      <alignment horizontal="center" vertical="center"/>
    </xf>
    <xf numFmtId="0" fontId="40" fillId="2" borderId="1" xfId="0" applyFont="1" applyFill="1" applyBorder="1" applyAlignment="1" applyProtection="1">
      <alignment horizontal="left" vertical="center"/>
    </xf>
    <xf numFmtId="0" fontId="41" fillId="2" borderId="1" xfId="0" applyFont="1" applyFill="1" applyBorder="1" applyAlignment="1" applyProtection="1">
      <alignment horizontal="center" vertical="center"/>
    </xf>
    <xf numFmtId="0" fontId="0" fillId="2" borderId="5" xfId="0" applyFill="1" applyBorder="1" applyAlignment="1" applyProtection="1">
      <alignment vertical="center"/>
    </xf>
    <xf numFmtId="0" fontId="40" fillId="2" borderId="28" xfId="0" applyFont="1" applyFill="1" applyBorder="1" applyAlignment="1" applyProtection="1">
      <alignment vertical="center"/>
    </xf>
    <xf numFmtId="0" fontId="4" fillId="2" borderId="0" xfId="0" applyFont="1" applyFill="1" applyBorder="1" applyAlignment="1" applyProtection="1">
      <alignment vertical="center"/>
    </xf>
    <xf numFmtId="0" fontId="40" fillId="2" borderId="0" xfId="0" applyFont="1" applyFill="1" applyBorder="1" applyAlignment="1" applyProtection="1">
      <alignment vertical="center"/>
    </xf>
    <xf numFmtId="175" fontId="40" fillId="2" borderId="11" xfId="0" applyNumberFormat="1" applyFont="1" applyFill="1" applyBorder="1" applyAlignment="1" applyProtection="1">
      <alignment horizontal="center" vertical="center"/>
    </xf>
    <xf numFmtId="0" fontId="40" fillId="2" borderId="28" xfId="0" applyFont="1" applyFill="1" applyBorder="1" applyAlignment="1" applyProtection="1">
      <alignment horizontal="left" vertical="center"/>
    </xf>
    <xf numFmtId="175" fontId="40" fillId="4" borderId="4" xfId="0" applyNumberFormat="1" applyFont="1" applyFill="1" applyBorder="1" applyAlignment="1" applyProtection="1">
      <alignment horizontal="center" vertical="center"/>
      <protection locked="0"/>
    </xf>
    <xf numFmtId="172" fontId="42" fillId="2" borderId="7" xfId="0" applyNumberFormat="1" applyFont="1" applyFill="1" applyBorder="1" applyAlignment="1" applyProtection="1">
      <alignment horizontal="center" vertical="center"/>
    </xf>
    <xf numFmtId="0" fontId="42" fillId="10" borderId="28" xfId="0" applyFont="1" applyFill="1" applyBorder="1" applyAlignment="1" applyProtection="1">
      <alignment vertical="center"/>
    </xf>
    <xf numFmtId="0" fontId="4" fillId="10" borderId="0" xfId="0" applyFont="1" applyFill="1" applyBorder="1" applyAlignment="1" applyProtection="1">
      <alignment vertical="center"/>
    </xf>
    <xf numFmtId="0" fontId="40" fillId="10" borderId="0" xfId="0" applyFont="1" applyFill="1" applyBorder="1" applyAlignment="1" applyProtection="1">
      <alignment vertical="center"/>
    </xf>
    <xf numFmtId="175" fontId="42" fillId="10" borderId="7" xfId="0" applyNumberFormat="1" applyFont="1" applyFill="1" applyBorder="1" applyAlignment="1" applyProtection="1">
      <alignment horizontal="center" vertical="center"/>
    </xf>
    <xf numFmtId="37" fontId="40" fillId="2" borderId="15" xfId="0" applyNumberFormat="1" applyFont="1" applyFill="1" applyBorder="1" applyAlignment="1" applyProtection="1">
      <alignment horizontal="left" vertical="center"/>
    </xf>
    <xf numFmtId="0" fontId="43" fillId="2" borderId="1" xfId="0" applyFont="1" applyFill="1" applyBorder="1" applyAlignment="1">
      <alignment horizontal="left" vertical="center"/>
    </xf>
    <xf numFmtId="0" fontId="4" fillId="2" borderId="28" xfId="36" applyFont="1" applyFill="1" applyBorder="1" applyAlignment="1" applyProtection="1">
      <alignment vertical="center"/>
      <protection locked="0"/>
    </xf>
    <xf numFmtId="0" fontId="4" fillId="2" borderId="11" xfId="0" applyFont="1" applyFill="1" applyBorder="1" applyAlignment="1" applyProtection="1">
      <alignment vertical="center"/>
      <protection locked="0"/>
    </xf>
    <xf numFmtId="175" fontId="11" fillId="2" borderId="28" xfId="36" applyNumberFormat="1" applyFont="1" applyFill="1" applyBorder="1" applyAlignment="1" applyProtection="1">
      <alignment horizontal="center" vertical="center"/>
      <protection locked="0"/>
    </xf>
    <xf numFmtId="0" fontId="11" fillId="2" borderId="0" xfId="36" applyFont="1" applyFill="1" applyBorder="1" applyAlignment="1" applyProtection="1">
      <alignment horizontal="left" vertical="center"/>
      <protection locked="0"/>
    </xf>
    <xf numFmtId="0" fontId="4" fillId="2" borderId="11" xfId="36" applyFont="1" applyFill="1" applyBorder="1" applyAlignment="1" applyProtection="1">
      <alignment vertical="center"/>
      <protection locked="0"/>
    </xf>
    <xf numFmtId="0" fontId="11" fillId="2" borderId="0" xfId="36" applyFont="1" applyFill="1" applyBorder="1" applyAlignment="1" applyProtection="1">
      <alignment vertical="center"/>
      <protection locked="0"/>
    </xf>
    <xf numFmtId="175" fontId="11" fillId="2" borderId="15" xfId="36" applyNumberFormat="1" applyFont="1" applyFill="1" applyBorder="1" applyAlignment="1" applyProtection="1">
      <alignment horizontal="center" vertical="center"/>
      <protection locked="0"/>
    </xf>
    <xf numFmtId="175" fontId="11" fillId="2" borderId="28" xfId="36" applyNumberFormat="1" applyFont="1" applyFill="1" applyBorder="1" applyAlignment="1" applyProtection="1">
      <alignment vertical="center"/>
      <protection locked="0"/>
    </xf>
    <xf numFmtId="175" fontId="11" fillId="10" borderId="15" xfId="36" applyNumberFormat="1" applyFont="1" applyFill="1" applyBorder="1" applyAlignment="1" applyProtection="1">
      <alignment horizontal="center" vertical="center"/>
      <protection locked="0"/>
    </xf>
    <xf numFmtId="0" fontId="11" fillId="10" borderId="1" xfId="36" applyFont="1" applyFill="1" applyBorder="1" applyAlignment="1" applyProtection="1">
      <alignment vertical="center"/>
      <protection locked="0"/>
    </xf>
    <xf numFmtId="0" fontId="4" fillId="10" borderId="5" xfId="36" applyFont="1" applyFill="1" applyBorder="1" applyAlignment="1" applyProtection="1">
      <alignment vertical="center"/>
      <protection locked="0"/>
    </xf>
    <xf numFmtId="0" fontId="4" fillId="10" borderId="5" xfId="0" applyFont="1" applyFill="1" applyBorder="1" applyAlignment="1" applyProtection="1">
      <alignment vertical="center"/>
      <protection locked="0"/>
    </xf>
    <xf numFmtId="0" fontId="4" fillId="2" borderId="28" xfId="0" applyFont="1" applyFill="1" applyBorder="1" applyAlignment="1" applyProtection="1">
      <alignment vertical="center"/>
    </xf>
    <xf numFmtId="0" fontId="4" fillId="2" borderId="11" xfId="0" applyFont="1" applyFill="1" applyBorder="1" applyProtection="1">
      <protection locked="0"/>
    </xf>
    <xf numFmtId="175" fontId="40" fillId="2" borderId="28" xfId="0" applyNumberFormat="1" applyFont="1" applyFill="1" applyBorder="1" applyAlignment="1" applyProtection="1">
      <alignment horizontal="center" vertical="center"/>
    </xf>
    <xf numFmtId="0" fontId="40" fillId="2" borderId="11" xfId="0" applyFont="1" applyFill="1" applyBorder="1" applyAlignment="1" applyProtection="1">
      <alignment vertical="center"/>
    </xf>
    <xf numFmtId="175" fontId="40" fillId="2" borderId="15" xfId="0" applyNumberFormat="1" applyFont="1" applyFill="1" applyBorder="1" applyAlignment="1" applyProtection="1">
      <alignment horizontal="center" vertical="center"/>
    </xf>
    <xf numFmtId="0" fontId="46" fillId="0" borderId="0" xfId="0" applyFont="1" applyAlignment="1" applyProtection="1">
      <alignment horizontal="right" vertical="center"/>
    </xf>
    <xf numFmtId="175" fontId="11" fillId="2" borderId="28" xfId="0" applyNumberFormat="1" applyFont="1" applyFill="1" applyBorder="1" applyAlignment="1" applyProtection="1">
      <alignment horizontal="center" vertical="center"/>
    </xf>
    <xf numFmtId="0" fontId="4" fillId="2" borderId="11" xfId="0" applyFont="1" applyFill="1" applyBorder="1" applyAlignment="1" applyProtection="1">
      <alignment vertical="center"/>
    </xf>
    <xf numFmtId="175" fontId="11" fillId="2" borderId="28" xfId="0" applyNumberFormat="1" applyFont="1" applyFill="1" applyBorder="1" applyAlignment="1" applyProtection="1">
      <alignment vertical="center"/>
    </xf>
    <xf numFmtId="0" fontId="11" fillId="2" borderId="0" xfId="0" applyFont="1" applyFill="1" applyBorder="1" applyAlignment="1" applyProtection="1">
      <alignment vertical="center"/>
    </xf>
    <xf numFmtId="175" fontId="11" fillId="2" borderId="15" xfId="0" applyNumberFormat="1" applyFont="1" applyFill="1" applyBorder="1" applyAlignment="1" applyProtection="1">
      <alignment horizontal="center" vertical="center"/>
    </xf>
    <xf numFmtId="175" fontId="11" fillId="10" borderId="15" xfId="0" applyNumberFormat="1" applyFont="1" applyFill="1" applyBorder="1" applyAlignment="1" applyProtection="1">
      <alignment horizontal="center" vertical="center"/>
    </xf>
    <xf numFmtId="0" fontId="11" fillId="10" borderId="1" xfId="0" applyFont="1" applyFill="1" applyBorder="1" applyAlignment="1" applyProtection="1">
      <alignment vertical="center"/>
    </xf>
    <xf numFmtId="0" fontId="4" fillId="10" borderId="5" xfId="0" applyFont="1" applyFill="1" applyBorder="1" applyAlignment="1" applyProtection="1">
      <alignment vertical="center"/>
    </xf>
    <xf numFmtId="0" fontId="4" fillId="10" borderId="5" xfId="0" applyFont="1" applyFill="1" applyBorder="1" applyProtection="1">
      <protection locked="0"/>
    </xf>
    <xf numFmtId="0" fontId="53" fillId="0" borderId="0" xfId="0" applyFont="1"/>
    <xf numFmtId="0" fontId="4" fillId="0" borderId="0" xfId="0" applyFont="1" applyBorder="1" applyProtection="1">
      <protection locked="0"/>
    </xf>
    <xf numFmtId="172" fontId="40" fillId="0" borderId="0" xfId="0" applyNumberFormat="1"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1" fillId="0" borderId="0" xfId="0" applyFont="1" applyFill="1" applyBorder="1" applyAlignment="1" applyProtection="1">
      <alignment horizontal="center" vertical="center"/>
    </xf>
    <xf numFmtId="0" fontId="0" fillId="0" borderId="0" xfId="0" applyFill="1" applyBorder="1" applyAlignment="1" applyProtection="1">
      <alignment vertical="center"/>
    </xf>
    <xf numFmtId="175" fontId="40" fillId="2" borderId="28" xfId="0" applyNumberFormat="1" applyFont="1" applyFill="1" applyBorder="1" applyAlignment="1" applyProtection="1">
      <alignment vertical="center"/>
    </xf>
    <xf numFmtId="175" fontId="40" fillId="10" borderId="15" xfId="0" applyNumberFormat="1" applyFont="1" applyFill="1" applyBorder="1" applyAlignment="1" applyProtection="1">
      <alignment horizontal="center" vertical="center"/>
    </xf>
    <xf numFmtId="0" fontId="40" fillId="10" borderId="1" xfId="0" applyFont="1" applyFill="1" applyBorder="1" applyAlignment="1" applyProtection="1">
      <alignment vertical="center"/>
    </xf>
    <xf numFmtId="0" fontId="40" fillId="10" borderId="5" xfId="0" applyFont="1" applyFill="1" applyBorder="1" applyAlignment="1" applyProtection="1">
      <alignment vertical="center"/>
    </xf>
    <xf numFmtId="3" fontId="4" fillId="2" borderId="4" xfId="0" applyNumberFormat="1" applyFont="1" applyFill="1" applyBorder="1" applyAlignment="1" applyProtection="1">
      <alignment horizontal="right"/>
    </xf>
    <xf numFmtId="3" fontId="4" fillId="2" borderId="4" xfId="0" applyNumberFormat="1" applyFont="1" applyFill="1" applyBorder="1" applyAlignment="1" applyProtection="1">
      <alignment horizontal="right" vertical="center"/>
    </xf>
    <xf numFmtId="172" fontId="4" fillId="2" borderId="4" xfId="0" applyNumberFormat="1" applyFont="1" applyFill="1" applyBorder="1" applyAlignment="1" applyProtection="1">
      <alignment horizontal="right" vertical="center"/>
    </xf>
    <xf numFmtId="171" fontId="4" fillId="2" borderId="4" xfId="0" applyNumberFormat="1" applyFont="1" applyFill="1" applyBorder="1" applyAlignment="1" applyProtection="1">
      <alignment horizontal="right" vertical="center"/>
    </xf>
    <xf numFmtId="38" fontId="4" fillId="2" borderId="4" xfId="0" applyNumberFormat="1" applyFont="1" applyFill="1" applyBorder="1" applyAlignment="1" applyProtection="1">
      <alignment horizontal="right"/>
    </xf>
    <xf numFmtId="38" fontId="4" fillId="2" borderId="4" xfId="0" applyNumberFormat="1" applyFont="1" applyFill="1" applyBorder="1" applyAlignment="1" applyProtection="1">
      <alignment horizontal="right" vertical="center"/>
    </xf>
    <xf numFmtId="180" fontId="4" fillId="2" borderId="4" xfId="0" applyNumberFormat="1" applyFont="1" applyFill="1" applyBorder="1" applyAlignment="1" applyProtection="1">
      <alignment horizontal="right" vertical="center"/>
    </xf>
    <xf numFmtId="3" fontId="4" fillId="2" borderId="6" xfId="0" applyNumberFormat="1" applyFont="1" applyFill="1" applyBorder="1" applyAlignment="1" applyProtection="1">
      <alignment horizontal="right" vertical="center"/>
    </xf>
    <xf numFmtId="172" fontId="4" fillId="2" borderId="6" xfId="0" applyNumberFormat="1" applyFont="1" applyFill="1" applyBorder="1" applyAlignment="1" applyProtection="1">
      <alignment horizontal="right" vertical="center"/>
    </xf>
    <xf numFmtId="3" fontId="4" fillId="9" borderId="4" xfId="0" applyNumberFormat="1" applyFont="1" applyFill="1" applyBorder="1" applyAlignment="1" applyProtection="1">
      <alignment horizontal="right"/>
    </xf>
    <xf numFmtId="171" fontId="4" fillId="9" borderId="4" xfId="0" applyNumberFormat="1" applyFont="1" applyFill="1" applyBorder="1" applyAlignment="1" applyProtection="1">
      <alignment horizontal="right"/>
    </xf>
    <xf numFmtId="3" fontId="4" fillId="2" borderId="16" xfId="0" applyNumberFormat="1" applyFont="1" applyFill="1" applyBorder="1" applyAlignment="1" applyProtection="1">
      <alignment horizontal="right" vertical="center"/>
    </xf>
    <xf numFmtId="0" fontId="4" fillId="2" borderId="2" xfId="0" applyFont="1" applyFill="1" applyBorder="1" applyAlignment="1" applyProtection="1">
      <alignment horizontal="right" vertical="center"/>
    </xf>
    <xf numFmtId="3" fontId="4" fillId="2" borderId="2" xfId="0" applyNumberFormat="1" applyFont="1" applyFill="1" applyBorder="1" applyAlignment="1" applyProtection="1">
      <alignment horizontal="right" vertical="center"/>
    </xf>
    <xf numFmtId="177" fontId="4" fillId="2" borderId="4" xfId="0" applyNumberFormat="1" applyFont="1" applyFill="1" applyBorder="1" applyAlignment="1" applyProtection="1">
      <alignment horizontal="right" vertical="center"/>
    </xf>
    <xf numFmtId="0" fontId="4" fillId="2" borderId="4" xfId="0" applyFont="1" applyFill="1" applyBorder="1" applyAlignment="1" applyProtection="1">
      <alignment horizontal="right" vertical="center"/>
    </xf>
    <xf numFmtId="3" fontId="4" fillId="2" borderId="29" xfId="0" applyNumberFormat="1" applyFont="1" applyFill="1" applyBorder="1" applyAlignment="1" applyProtection="1">
      <alignment horizontal="right" vertical="center"/>
    </xf>
    <xf numFmtId="0" fontId="4" fillId="2" borderId="29" xfId="0" applyFont="1" applyFill="1" applyBorder="1" applyAlignment="1" applyProtection="1">
      <alignment horizontal="right" vertical="center"/>
    </xf>
    <xf numFmtId="3" fontId="4" fillId="9" borderId="6" xfId="0" applyNumberFormat="1" applyFont="1" applyFill="1" applyBorder="1" applyAlignment="1" applyProtection="1">
      <alignment horizontal="right" vertical="center"/>
    </xf>
    <xf numFmtId="172" fontId="4" fillId="9" borderId="6" xfId="0" applyNumberFormat="1" applyFont="1" applyFill="1" applyBorder="1" applyAlignment="1" applyProtection="1">
      <alignment horizontal="right" vertical="center"/>
    </xf>
    <xf numFmtId="3" fontId="4" fillId="9" borderId="16" xfId="36" applyNumberFormat="1" applyFont="1" applyFill="1" applyBorder="1" applyAlignment="1" applyProtection="1">
      <alignment horizontal="right" vertical="center"/>
    </xf>
    <xf numFmtId="172" fontId="4" fillId="9" borderId="2" xfId="36" applyNumberFormat="1" applyFont="1" applyFill="1" applyBorder="1" applyAlignment="1" applyProtection="1">
      <alignment horizontal="right" vertical="center"/>
    </xf>
    <xf numFmtId="0" fontId="4" fillId="2" borderId="0" xfId="0" applyFont="1" applyFill="1" applyAlignment="1" applyProtection="1">
      <alignment vertical="center"/>
      <protection locked="0"/>
    </xf>
    <xf numFmtId="10" fontId="4" fillId="8" borderId="4" xfId="0" applyNumberFormat="1" applyFont="1" applyFill="1" applyBorder="1" applyAlignment="1" applyProtection="1">
      <alignment vertical="center"/>
      <protection locked="0"/>
    </xf>
    <xf numFmtId="0" fontId="4" fillId="0" borderId="0" xfId="73" applyFont="1" applyAlignment="1">
      <alignment vertical="center"/>
    </xf>
    <xf numFmtId="0" fontId="4" fillId="0" borderId="0" xfId="372" applyFont="1" applyAlignment="1">
      <alignment vertical="center" wrapText="1"/>
    </xf>
    <xf numFmtId="0" fontId="4" fillId="0" borderId="0" xfId="81" applyFont="1" applyAlignment="1">
      <alignment vertical="center" wrapText="1"/>
    </xf>
    <xf numFmtId="0" fontId="4" fillId="0" borderId="0" xfId="15" applyFont="1" applyAlignment="1">
      <alignment vertical="center" wrapText="1"/>
    </xf>
    <xf numFmtId="0" fontId="4" fillId="0" borderId="0" xfId="16" applyFont="1" applyAlignment="1">
      <alignment vertical="center" wrapText="1"/>
    </xf>
    <xf numFmtId="0" fontId="4" fillId="0" borderId="0" xfId="231" applyFont="1" applyAlignment="1">
      <alignment vertical="center" wrapText="1"/>
    </xf>
    <xf numFmtId="0" fontId="4" fillId="0" borderId="0" xfId="30" applyFont="1" applyAlignment="1">
      <alignment vertical="center" wrapText="1"/>
    </xf>
    <xf numFmtId="0" fontId="4" fillId="0" borderId="0" xfId="62" applyFont="1" applyAlignment="1">
      <alignment vertical="center" wrapText="1"/>
    </xf>
    <xf numFmtId="0" fontId="4" fillId="0" borderId="0" xfId="69" applyFont="1" applyAlignment="1">
      <alignment vertical="center" wrapText="1"/>
    </xf>
    <xf numFmtId="0" fontId="4" fillId="0" borderId="0" xfId="91" applyFont="1" applyAlignment="1">
      <alignment vertical="center" wrapText="1"/>
    </xf>
    <xf numFmtId="0" fontId="53" fillId="2" borderId="11" xfId="0" applyFont="1" applyFill="1" applyBorder="1" applyAlignment="1" applyProtection="1">
      <alignment vertical="center"/>
    </xf>
    <xf numFmtId="0" fontId="54" fillId="0" borderId="0" xfId="0" applyFont="1" applyAlignment="1">
      <alignment horizontal="center"/>
    </xf>
    <xf numFmtId="181" fontId="54" fillId="0" borderId="0" xfId="0" applyNumberFormat="1" applyFont="1" applyAlignment="1" applyProtection="1">
      <alignment horizontal="center" vertical="center"/>
      <protection locked="0"/>
    </xf>
    <xf numFmtId="0" fontId="46" fillId="0" borderId="0" xfId="0" applyFont="1" applyAlignment="1" applyProtection="1">
      <alignment vertical="center"/>
    </xf>
    <xf numFmtId="0" fontId="10" fillId="2" borderId="0" xfId="9" applyFill="1" applyAlignment="1" applyProtection="1"/>
    <xf numFmtId="0" fontId="61" fillId="2" borderId="0" xfId="311" applyFill="1"/>
    <xf numFmtId="0" fontId="4" fillId="0" borderId="0" xfId="103" applyFont="1" applyAlignment="1">
      <alignment vertical="center"/>
    </xf>
    <xf numFmtId="0" fontId="4" fillId="4" borderId="4" xfId="0" applyFont="1" applyFill="1" applyBorder="1" applyProtection="1">
      <protection locked="0"/>
    </xf>
    <xf numFmtId="0" fontId="4" fillId="8" borderId="4" xfId="0" applyFont="1" applyFill="1" applyBorder="1" applyProtection="1">
      <protection locked="0"/>
    </xf>
    <xf numFmtId="17" fontId="4" fillId="8" borderId="4" xfId="0" applyNumberFormat="1" applyFont="1" applyFill="1" applyBorder="1" applyProtection="1">
      <protection locked="0"/>
    </xf>
    <xf numFmtId="164" fontId="4" fillId="8" borderId="4" xfId="0" applyNumberFormat="1" applyFont="1" applyFill="1" applyBorder="1" applyProtection="1">
      <protection locked="0"/>
    </xf>
    <xf numFmtId="0" fontId="4" fillId="4" borderId="6" xfId="0" applyFont="1" applyFill="1" applyBorder="1" applyAlignment="1" applyProtection="1">
      <alignment horizontal="center"/>
      <protection locked="0"/>
    </xf>
    <xf numFmtId="0" fontId="4" fillId="4" borderId="4" xfId="0" applyFont="1" applyFill="1" applyBorder="1" applyAlignment="1" applyProtection="1">
      <alignment horizontal="center"/>
      <protection locked="0"/>
    </xf>
    <xf numFmtId="0" fontId="4" fillId="4" borderId="4" xfId="0" applyFont="1" applyFill="1" applyBorder="1" applyAlignment="1" applyProtection="1">
      <alignment horizontal="center"/>
      <protection locked="0"/>
    </xf>
    <xf numFmtId="0" fontId="4" fillId="8" borderId="4" xfId="0" applyFont="1" applyFill="1" applyBorder="1" applyAlignment="1" applyProtection="1">
      <alignment horizontal="center"/>
      <protection locked="0"/>
    </xf>
    <xf numFmtId="168" fontId="4" fillId="4" borderId="4" xfId="0" applyNumberFormat="1" applyFont="1" applyFill="1" applyBorder="1" applyAlignment="1" applyProtection="1">
      <alignment horizontal="center"/>
      <protection locked="0"/>
    </xf>
    <xf numFmtId="2" fontId="4" fillId="4" borderId="4" xfId="0" applyNumberFormat="1" applyFont="1" applyFill="1" applyBorder="1" applyAlignment="1" applyProtection="1">
      <alignment horizontal="center"/>
      <protection locked="0"/>
    </xf>
    <xf numFmtId="3" fontId="4" fillId="4" borderId="4" xfId="0" applyNumberFormat="1" applyFont="1" applyFill="1" applyBorder="1" applyAlignment="1" applyProtection="1">
      <alignment horizontal="center"/>
      <protection locked="0"/>
    </xf>
    <xf numFmtId="37" fontId="4" fillId="4" borderId="4" xfId="0" applyNumberFormat="1" applyFont="1" applyFill="1" applyBorder="1" applyAlignment="1" applyProtection="1">
      <alignment horizontal="center"/>
      <protection locked="0"/>
    </xf>
    <xf numFmtId="169" fontId="4" fillId="4" borderId="4" xfId="0" applyNumberFormat="1" applyFont="1" applyFill="1" applyBorder="1" applyAlignment="1" applyProtection="1">
      <alignment horizontal="center"/>
      <protection locked="0"/>
    </xf>
    <xf numFmtId="14" fontId="4" fillId="4" borderId="4" xfId="0" applyNumberFormat="1" applyFont="1" applyFill="1" applyBorder="1" applyAlignment="1" applyProtection="1">
      <alignment horizontal="center"/>
      <protection locked="0"/>
    </xf>
    <xf numFmtId="1" fontId="4" fillId="4" borderId="4" xfId="0" applyNumberFormat="1" applyFont="1" applyFill="1" applyBorder="1" applyAlignment="1" applyProtection="1">
      <alignment horizontal="center"/>
      <protection locked="0"/>
    </xf>
    <xf numFmtId="0" fontId="3" fillId="4" borderId="0" xfId="0" applyFont="1" applyFill="1" applyAlignment="1" applyProtection="1">
      <alignment horizontal="left" vertical="center"/>
      <protection locked="0"/>
    </xf>
    <xf numFmtId="0" fontId="3" fillId="4" borderId="4" xfId="0" applyFont="1" applyFill="1" applyBorder="1" applyAlignment="1" applyProtection="1">
      <alignment horizontal="left" vertical="center"/>
      <protection locked="0"/>
    </xf>
    <xf numFmtId="3" fontId="4" fillId="0" borderId="0" xfId="0" applyNumberFormat="1" applyFont="1" applyAlignment="1" applyProtection="1">
      <alignment vertical="center"/>
      <protection locked="0"/>
    </xf>
    <xf numFmtId="0" fontId="3" fillId="8" borderId="9" xfId="0" applyFont="1" applyFill="1" applyBorder="1" applyAlignment="1" applyProtection="1">
      <alignment vertical="center"/>
      <protection locked="0"/>
    </xf>
    <xf numFmtId="0" fontId="19" fillId="8" borderId="4" xfId="0" applyFont="1" applyFill="1" applyBorder="1" applyAlignment="1" applyProtection="1">
      <alignment vertical="center"/>
      <protection locked="0"/>
    </xf>
    <xf numFmtId="0" fontId="41" fillId="2" borderId="28" xfId="0" applyFont="1" applyFill="1" applyBorder="1" applyAlignment="1" applyProtection="1">
      <alignment horizontal="center" vertical="center"/>
    </xf>
    <xf numFmtId="0" fontId="0" fillId="0" borderId="0" xfId="0" applyBorder="1" applyAlignment="1">
      <alignment vertical="center"/>
    </xf>
    <xf numFmtId="0" fontId="0" fillId="0" borderId="11" xfId="0" applyBorder="1" applyAlignment="1">
      <alignment vertical="center"/>
    </xf>
    <xf numFmtId="14" fontId="4" fillId="0" borderId="0" xfId="0" applyNumberFormat="1" applyFont="1" applyProtection="1">
      <protection locked="0"/>
    </xf>
    <xf numFmtId="3" fontId="4" fillId="0" borderId="0" xfId="25" applyNumberFormat="1" applyFont="1" applyAlignment="1" applyProtection="1">
      <alignment vertical="center"/>
      <protection locked="0"/>
    </xf>
    <xf numFmtId="3" fontId="4" fillId="2" borderId="0" xfId="0" applyNumberFormat="1" applyFont="1" applyFill="1" applyAlignment="1" applyProtection="1">
      <alignment horizontal="center" vertical="center"/>
    </xf>
    <xf numFmtId="172" fontId="4" fillId="0" borderId="0" xfId="0" applyNumberFormat="1" applyFont="1" applyAlignment="1" applyProtection="1">
      <alignment vertical="center"/>
      <protection locked="0"/>
    </xf>
    <xf numFmtId="3" fontId="0" fillId="0" borderId="0" xfId="0" applyNumberFormat="1" applyAlignment="1">
      <alignment vertical="center"/>
    </xf>
    <xf numFmtId="37" fontId="0" fillId="0" borderId="0" xfId="0" applyNumberFormat="1" applyAlignment="1">
      <alignment vertical="center"/>
    </xf>
    <xf numFmtId="170" fontId="4" fillId="0" borderId="0" xfId="0" applyNumberFormat="1" applyFont="1" applyAlignment="1">
      <alignment vertical="center"/>
    </xf>
    <xf numFmtId="37" fontId="13" fillId="2" borderId="0" xfId="0" applyNumberFormat="1" applyFont="1" applyFill="1" applyAlignment="1" applyProtection="1">
      <alignment horizontal="center" vertical="center"/>
    </xf>
    <xf numFmtId="0" fontId="14" fillId="0" borderId="0" xfId="0" applyFont="1" applyAlignment="1">
      <alignment horizontal="center" vertical="center"/>
    </xf>
    <xf numFmtId="37" fontId="12" fillId="2" borderId="0" xfId="0" applyNumberFormat="1" applyFont="1" applyFill="1" applyAlignment="1" applyProtection="1">
      <alignment horizontal="left" vertical="center"/>
    </xf>
    <xf numFmtId="0" fontId="0" fillId="0" borderId="0" xfId="0" applyAlignment="1">
      <alignment horizontal="left" vertical="center"/>
    </xf>
    <xf numFmtId="0" fontId="4" fillId="2"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5" fillId="2" borderId="0" xfId="0" applyFont="1" applyFill="1" applyBorder="1" applyAlignment="1">
      <alignment vertical="center"/>
    </xf>
    <xf numFmtId="0" fontId="18" fillId="0" borderId="0" xfId="0" applyFont="1" applyAlignment="1">
      <alignment vertical="center"/>
    </xf>
    <xf numFmtId="37" fontId="12" fillId="2" borderId="0" xfId="0" applyNumberFormat="1" applyFont="1" applyFill="1" applyBorder="1" applyAlignment="1" applyProtection="1">
      <alignment horizontal="center" vertical="center"/>
    </xf>
    <xf numFmtId="0" fontId="0" fillId="0" borderId="0" xfId="0" applyAlignment="1">
      <alignment horizontal="center" vertical="center"/>
    </xf>
    <xf numFmtId="0" fontId="4" fillId="3" borderId="8" xfId="0" applyFont="1" applyFill="1" applyBorder="1" applyAlignment="1">
      <alignment vertical="center" wrapText="1"/>
    </xf>
    <xf numFmtId="0" fontId="0" fillId="0" borderId="8" xfId="0" applyBorder="1" applyAlignment="1">
      <alignment vertical="center" wrapText="1"/>
    </xf>
    <xf numFmtId="0" fontId="3" fillId="5" borderId="0" xfId="0" applyFont="1" applyFill="1" applyBorder="1" applyAlignment="1">
      <alignment horizontal="center" vertical="center"/>
    </xf>
    <xf numFmtId="0" fontId="1" fillId="5" borderId="0" xfId="0" applyFont="1" applyFill="1" applyBorder="1" applyAlignment="1">
      <alignment horizontal="center" vertical="center"/>
    </xf>
    <xf numFmtId="37" fontId="3" fillId="7" borderId="0" xfId="36" applyNumberFormat="1" applyFont="1" applyFill="1" applyAlignment="1" applyProtection="1">
      <alignment horizontal="center" vertical="center"/>
    </xf>
    <xf numFmtId="0" fontId="2" fillId="0" borderId="0" xfId="36" applyAlignment="1">
      <alignment horizontal="center" vertical="center"/>
    </xf>
    <xf numFmtId="0" fontId="4" fillId="0" borderId="0" xfId="363" applyFont="1" applyAlignment="1">
      <alignment horizontal="left" vertical="center" wrapText="1"/>
    </xf>
    <xf numFmtId="0" fontId="28" fillId="0" borderId="0" xfId="363" applyAlignment="1">
      <alignment horizontal="left" vertical="center" wrapText="1"/>
    </xf>
    <xf numFmtId="0" fontId="12" fillId="0" borderId="0" xfId="363" applyFont="1" applyAlignment="1">
      <alignment horizontal="left" vertical="center"/>
    </xf>
    <xf numFmtId="37" fontId="12" fillId="2" borderId="0" xfId="0" applyNumberFormat="1" applyFont="1" applyFill="1" applyAlignment="1" applyProtection="1">
      <alignment horizontal="center" vertical="center"/>
    </xf>
    <xf numFmtId="0" fontId="30" fillId="2" borderId="0" xfId="0" applyFont="1" applyFill="1" applyAlignment="1" applyProtection="1">
      <alignment horizontal="center" vertical="center"/>
    </xf>
    <xf numFmtId="37" fontId="4" fillId="2" borderId="0" xfId="0" applyNumberFormat="1" applyFont="1" applyFill="1" applyAlignment="1" applyProtection="1">
      <alignment horizontal="center" vertical="center"/>
    </xf>
    <xf numFmtId="0" fontId="4" fillId="2" borderId="0" xfId="0" applyFont="1" applyFill="1" applyAlignment="1" applyProtection="1">
      <alignment horizontal="center" vertical="center"/>
    </xf>
    <xf numFmtId="0" fontId="0" fillId="0" borderId="0" xfId="0" applyAlignment="1">
      <alignment vertical="center"/>
    </xf>
    <xf numFmtId="0" fontId="8" fillId="5" borderId="2" xfId="0" applyFont="1" applyFill="1" applyBorder="1" applyAlignment="1" applyProtection="1">
      <alignment horizontal="center" vertical="center" wrapText="1" shrinkToFit="1"/>
    </xf>
    <xf numFmtId="0" fontId="0" fillId="0" borderId="6" xfId="0" applyBorder="1" applyAlignment="1" applyProtection="1">
      <alignment horizontal="center" vertical="center" wrapText="1"/>
    </xf>
    <xf numFmtId="0" fontId="6" fillId="2" borderId="0" xfId="0" applyFont="1" applyFill="1" applyAlignment="1">
      <alignment horizontal="center" vertical="center"/>
    </xf>
    <xf numFmtId="37" fontId="3" fillId="2" borderId="0" xfId="0" applyNumberFormat="1" applyFont="1" applyFill="1" applyAlignment="1">
      <alignment horizontal="center" vertical="center"/>
    </xf>
    <xf numFmtId="0" fontId="3" fillId="2" borderId="0" xfId="0" applyFont="1" applyFill="1" applyAlignment="1">
      <alignment horizontal="center" vertical="center"/>
    </xf>
    <xf numFmtId="37" fontId="3" fillId="2" borderId="0" xfId="0" applyNumberFormat="1" applyFont="1" applyFill="1" applyAlignment="1" applyProtection="1">
      <alignment horizontal="center" vertical="center"/>
    </xf>
    <xf numFmtId="37" fontId="4" fillId="2" borderId="9" xfId="0" applyNumberFormat="1" applyFont="1" applyFill="1" applyBorder="1" applyAlignment="1" applyProtection="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3" fillId="2" borderId="0" xfId="0" applyFont="1" applyFill="1" applyAlignment="1" applyProtection="1">
      <alignment horizontal="center" vertical="center"/>
    </xf>
    <xf numFmtId="0" fontId="4" fillId="2" borderId="15" xfId="0" applyFont="1" applyFill="1" applyBorder="1" applyAlignment="1" applyProtection="1">
      <alignment horizontal="center" vertical="center"/>
    </xf>
    <xf numFmtId="0" fontId="0" fillId="0" borderId="5" xfId="0" applyBorder="1" applyAlignment="1" applyProtection="1">
      <alignment vertical="center"/>
    </xf>
    <xf numFmtId="1" fontId="4" fillId="2" borderId="15" xfId="0" applyNumberFormat="1" applyFont="1" applyFill="1" applyBorder="1" applyAlignment="1" applyProtection="1">
      <alignment horizontal="center" vertical="center"/>
    </xf>
    <xf numFmtId="0" fontId="0" fillId="0" borderId="5" xfId="0" applyBorder="1" applyAlignment="1" applyProtection="1">
      <alignment horizontal="center" vertical="center"/>
    </xf>
    <xf numFmtId="0" fontId="12" fillId="2" borderId="0" xfId="371" applyFont="1" applyFill="1" applyAlignment="1">
      <alignment horizontal="center"/>
    </xf>
    <xf numFmtId="0" fontId="2" fillId="2" borderId="0" xfId="25" applyFill="1" applyAlignment="1">
      <alignment horizontal="center"/>
    </xf>
    <xf numFmtId="0" fontId="3" fillId="2" borderId="0" xfId="25" applyFont="1" applyFill="1" applyAlignment="1">
      <alignment horizontal="center" vertical="center"/>
    </xf>
    <xf numFmtId="0" fontId="12" fillId="2" borderId="0" xfId="25" applyFont="1" applyFill="1" applyAlignment="1">
      <alignment horizontal="center" vertical="center"/>
    </xf>
    <xf numFmtId="0" fontId="4" fillId="2" borderId="0" xfId="25" applyFont="1" applyFill="1" applyAlignment="1">
      <alignment vertical="center" wrapText="1"/>
    </xf>
    <xf numFmtId="0" fontId="41" fillId="2" borderId="14" xfId="36" applyFont="1" applyFill="1" applyBorder="1" applyAlignment="1" applyProtection="1">
      <alignment horizontal="center" vertical="center"/>
    </xf>
    <xf numFmtId="0" fontId="41" fillId="2" borderId="8" xfId="36" applyFont="1" applyFill="1" applyBorder="1" applyAlignment="1" applyProtection="1">
      <alignment horizontal="center" vertical="center"/>
    </xf>
    <xf numFmtId="0" fontId="2" fillId="0" borderId="12" xfId="36" applyBorder="1" applyAlignment="1" applyProtection="1">
      <alignment vertical="center"/>
    </xf>
    <xf numFmtId="0" fontId="0" fillId="0" borderId="8" xfId="0" applyBorder="1" applyAlignment="1">
      <alignment vertical="center"/>
    </xf>
    <xf numFmtId="0" fontId="0" fillId="0" borderId="12" xfId="0" applyBorder="1" applyAlignment="1">
      <alignment vertical="center"/>
    </xf>
    <xf numFmtId="172" fontId="41" fillId="2" borderId="14" xfId="0" applyNumberFormat="1" applyFont="1" applyFill="1" applyBorder="1" applyAlignment="1" applyProtection="1">
      <alignment horizontal="center"/>
    </xf>
    <xf numFmtId="0" fontId="14" fillId="0" borderId="8" xfId="0" applyFont="1" applyBorder="1" applyAlignment="1"/>
    <xf numFmtId="0" fontId="14" fillId="0" borderId="12" xfId="0" applyFont="1" applyBorder="1" applyAlignment="1"/>
    <xf numFmtId="3" fontId="4" fillId="2" borderId="8" xfId="40" applyNumberFormat="1" applyFont="1" applyFill="1" applyBorder="1" applyAlignment="1" applyProtection="1">
      <alignment horizontal="right" vertical="center"/>
    </xf>
    <xf numFmtId="0" fontId="2" fillId="0" borderId="12" xfId="40" applyBorder="1" applyAlignment="1">
      <alignment horizontal="right" vertical="center"/>
    </xf>
    <xf numFmtId="0" fontId="4" fillId="2" borderId="0" xfId="40" applyFont="1" applyFill="1" applyAlignment="1" applyProtection="1">
      <alignment horizontal="right" vertical="center"/>
    </xf>
    <xf numFmtId="0" fontId="4" fillId="0" borderId="11" xfId="40" applyFont="1" applyBorder="1" applyAlignment="1">
      <alignment horizontal="right" vertical="center"/>
    </xf>
    <xf numFmtId="0" fontId="4" fillId="2" borderId="0" xfId="0" applyNumberFormat="1" applyFont="1" applyFill="1" applyBorder="1" applyAlignment="1" applyProtection="1">
      <alignment horizontal="right" vertical="center"/>
    </xf>
    <xf numFmtId="0" fontId="0" fillId="0" borderId="0" xfId="0" applyAlignment="1">
      <alignment horizontal="right" vertical="center"/>
    </xf>
    <xf numFmtId="0" fontId="4" fillId="2" borderId="0" xfId="9" applyNumberFormat="1" applyFont="1" applyFill="1" applyBorder="1" applyAlignment="1" applyProtection="1">
      <alignment horizontal="right" vertical="center"/>
    </xf>
    <xf numFmtId="0" fontId="4" fillId="0" borderId="0" xfId="9" applyFont="1" applyAlignment="1" applyProtection="1">
      <alignment horizontal="right" vertical="center"/>
    </xf>
    <xf numFmtId="172" fontId="41" fillId="2" borderId="14" xfId="25" applyNumberFormat="1" applyFont="1" applyFill="1" applyBorder="1" applyAlignment="1" applyProtection="1">
      <alignment horizontal="center"/>
    </xf>
    <xf numFmtId="0" fontId="14" fillId="0" borderId="8" xfId="25" applyFont="1" applyBorder="1" applyAlignment="1"/>
    <xf numFmtId="0" fontId="14" fillId="0" borderId="12" xfId="25" applyFont="1" applyBorder="1" applyAlignment="1"/>
    <xf numFmtId="0" fontId="41" fillId="0" borderId="0" xfId="25" applyFont="1" applyFill="1" applyBorder="1" applyAlignment="1" applyProtection="1">
      <alignment horizontal="center" vertical="center"/>
    </xf>
    <xf numFmtId="0" fontId="2" fillId="0" borderId="0" xfId="25" applyFill="1" applyBorder="1" applyAlignment="1" applyProtection="1">
      <alignment vertical="center"/>
    </xf>
    <xf numFmtId="0" fontId="4" fillId="0" borderId="0" xfId="25" applyFont="1" applyFill="1" applyBorder="1" applyAlignment="1" applyProtection="1">
      <alignment horizontal="center" vertical="center"/>
      <protection locked="0"/>
    </xf>
    <xf numFmtId="0" fontId="2" fillId="0" borderId="0" xfId="25" applyFill="1" applyBorder="1" applyAlignment="1">
      <alignment vertical="center"/>
    </xf>
    <xf numFmtId="0" fontId="41" fillId="2" borderId="14" xfId="25" applyFont="1" applyFill="1" applyBorder="1" applyAlignment="1" applyProtection="1">
      <alignment horizontal="center" vertical="center"/>
    </xf>
    <xf numFmtId="0" fontId="2" fillId="0" borderId="8" xfId="25" applyBorder="1" applyAlignment="1">
      <alignment vertical="center"/>
    </xf>
    <xf numFmtId="0" fontId="2" fillId="0" borderId="12" xfId="25" applyBorder="1" applyAlignment="1">
      <alignment vertical="center"/>
    </xf>
    <xf numFmtId="0" fontId="41" fillId="2" borderId="14" xfId="0" applyFont="1" applyFill="1" applyBorder="1" applyAlignment="1" applyProtection="1">
      <alignment horizontal="center" vertical="center"/>
    </xf>
    <xf numFmtId="0" fontId="34" fillId="2" borderId="14" xfId="36" applyFont="1" applyFill="1" applyBorder="1" applyAlignment="1" applyProtection="1">
      <alignment horizontal="center" vertical="center"/>
      <protection locked="0"/>
    </xf>
    <xf numFmtId="0" fontId="43" fillId="0" borderId="8" xfId="0" applyFont="1" applyBorder="1" applyAlignment="1">
      <alignment horizontal="center" vertical="center"/>
    </xf>
    <xf numFmtId="0" fontId="0" fillId="0" borderId="12" xfId="0" applyBorder="1" applyAlignment="1"/>
    <xf numFmtId="0" fontId="0" fillId="0" borderId="8" xfId="0" applyBorder="1" applyAlignment="1">
      <alignment horizontal="center" vertical="center"/>
    </xf>
    <xf numFmtId="0" fontId="0" fillId="0" borderId="0" xfId="0" applyBorder="1" applyAlignment="1">
      <alignment horizontal="right" vertical="center"/>
    </xf>
    <xf numFmtId="0" fontId="3" fillId="2" borderId="9" xfId="0" applyFont="1" applyFill="1" applyBorder="1" applyAlignment="1">
      <alignment horizontal="center" vertical="center"/>
    </xf>
    <xf numFmtId="0" fontId="3" fillId="2" borderId="7" xfId="0" applyFont="1" applyFill="1" applyBorder="1" applyAlignment="1">
      <alignment horizontal="center" vertical="center"/>
    </xf>
    <xf numFmtId="37" fontId="4" fillId="2" borderId="8" xfId="0" applyNumberFormat="1" applyFont="1" applyFill="1" applyBorder="1" applyAlignment="1" applyProtection="1">
      <alignment horizontal="center" vertical="center"/>
    </xf>
    <xf numFmtId="37" fontId="4" fillId="2" borderId="0" xfId="61" applyNumberFormat="1" applyFont="1" applyFill="1" applyAlignment="1" applyProtection="1">
      <alignment horizontal="center"/>
    </xf>
    <xf numFmtId="37" fontId="3" fillId="2" borderId="1" xfId="0" applyNumberFormat="1" applyFont="1" applyFill="1" applyBorder="1" applyAlignment="1" applyProtection="1">
      <alignment horizontal="center" vertical="center"/>
      <protection locked="0"/>
    </xf>
    <xf numFmtId="0" fontId="12" fillId="2" borderId="14" xfId="36" applyFont="1" applyFill="1" applyBorder="1" applyAlignment="1" applyProtection="1">
      <alignment horizontal="center"/>
    </xf>
    <xf numFmtId="0" fontId="2" fillId="0" borderId="8" xfId="36" applyBorder="1" applyAlignment="1" applyProtection="1">
      <alignment horizontal="center"/>
    </xf>
    <xf numFmtId="0" fontId="2" fillId="0" borderId="12" xfId="36" applyBorder="1" applyAlignment="1" applyProtection="1">
      <alignment horizontal="center"/>
    </xf>
    <xf numFmtId="0" fontId="12" fillId="2" borderId="8" xfId="36" applyFont="1" applyFill="1" applyBorder="1" applyAlignment="1" applyProtection="1">
      <alignment horizontal="center"/>
    </xf>
    <xf numFmtId="0" fontId="12" fillId="2" borderId="12" xfId="36" applyFont="1" applyFill="1" applyBorder="1" applyAlignment="1" applyProtection="1">
      <alignment horizontal="center"/>
    </xf>
    <xf numFmtId="0" fontId="0" fillId="0" borderId="8" xfId="0" applyBorder="1" applyAlignment="1">
      <alignment horizontal="center"/>
    </xf>
    <xf numFmtId="0" fontId="0" fillId="0" borderId="12" xfId="0" applyBorder="1" applyAlignment="1">
      <alignment horizontal="center"/>
    </xf>
    <xf numFmtId="0" fontId="4" fillId="2" borderId="0" xfId="0" applyFont="1" applyFill="1" applyAlignment="1">
      <alignment horizontal="right" vertical="center"/>
    </xf>
    <xf numFmtId="0" fontId="0" fillId="0" borderId="0" xfId="0" applyAlignment="1" applyProtection="1">
      <alignment vertical="center"/>
    </xf>
    <xf numFmtId="0" fontId="4" fillId="2" borderId="0" xfId="0" applyFont="1" applyFill="1" applyAlignment="1" applyProtection="1">
      <alignment horizontal="right" vertical="center"/>
    </xf>
    <xf numFmtId="0" fontId="4"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left" vertical="justify" wrapText="1"/>
    </xf>
    <xf numFmtId="0" fontId="4" fillId="0" borderId="0" xfId="0" applyFont="1" applyAlignment="1">
      <alignment horizontal="right"/>
    </xf>
    <xf numFmtId="0" fontId="4" fillId="0" borderId="0" xfId="0" applyFont="1" applyAlignment="1">
      <alignment horizontal="left" vertical="justify"/>
    </xf>
    <xf numFmtId="0" fontId="50" fillId="2" borderId="0" xfId="0" applyFont="1" applyFill="1" applyBorder="1" applyAlignment="1">
      <alignment horizontal="center" wrapText="1"/>
    </xf>
    <xf numFmtId="0" fontId="50" fillId="0" borderId="0" xfId="0" applyFont="1" applyAlignment="1">
      <alignment horizontal="center" wrapText="1"/>
    </xf>
    <xf numFmtId="0" fontId="36" fillId="2" borderId="0" xfId="0" applyFont="1" applyFill="1" applyBorder="1" applyAlignment="1">
      <alignment wrapText="1"/>
    </xf>
    <xf numFmtId="0" fontId="36" fillId="0" borderId="0" xfId="0" applyFont="1" applyAlignment="1">
      <alignment wrapText="1"/>
    </xf>
    <xf numFmtId="175" fontId="36" fillId="4" borderId="1" xfId="0" applyNumberFormat="1" applyFont="1" applyFill="1" applyBorder="1" applyAlignment="1" applyProtection="1">
      <alignment horizontal="center"/>
      <protection locked="0"/>
    </xf>
    <xf numFmtId="0" fontId="36" fillId="2" borderId="8" xfId="0" applyFont="1" applyFill="1" applyBorder="1" applyAlignment="1">
      <alignment horizontal="center"/>
    </xf>
    <xf numFmtId="0" fontId="36" fillId="2" borderId="0" xfId="0" applyFont="1" applyFill="1" applyAlignment="1">
      <alignment wrapText="1"/>
    </xf>
    <xf numFmtId="5" fontId="36" fillId="2" borderId="1" xfId="0" applyNumberFormat="1" applyFont="1" applyFill="1" applyBorder="1" applyAlignment="1">
      <alignment horizontal="center"/>
    </xf>
    <xf numFmtId="0" fontId="50" fillId="2" borderId="18" xfId="0" applyFont="1" applyFill="1" applyBorder="1" applyAlignment="1">
      <alignment horizontal="center" vertical="center"/>
    </xf>
    <xf numFmtId="0" fontId="36" fillId="0" borderId="18" xfId="0" applyFont="1" applyBorder="1" applyAlignment="1">
      <alignment horizontal="center" vertical="center"/>
    </xf>
    <xf numFmtId="0" fontId="36" fillId="0" borderId="0" xfId="0" applyFont="1" applyAlignment="1">
      <alignment horizontal="center" wrapText="1"/>
    </xf>
    <xf numFmtId="0" fontId="36" fillId="2" borderId="0" xfId="0" applyFont="1" applyFill="1" applyBorder="1" applyAlignment="1"/>
    <xf numFmtId="0" fontId="36" fillId="0" borderId="0" xfId="0" applyFont="1" applyBorder="1" applyAlignment="1"/>
    <xf numFmtId="0" fontId="36" fillId="2" borderId="23" xfId="0" applyFont="1" applyFill="1" applyBorder="1" applyAlignment="1"/>
    <xf numFmtId="0" fontId="36" fillId="2" borderId="24" xfId="0" applyFont="1" applyFill="1" applyBorder="1" applyAlignment="1"/>
    <xf numFmtId="0" fontId="50" fillId="2" borderId="0" xfId="0" applyFont="1" applyFill="1" applyAlignment="1">
      <alignment horizontal="center"/>
    </xf>
    <xf numFmtId="175" fontId="36" fillId="2" borderId="0" xfId="0" applyNumberFormat="1" applyFont="1" applyFill="1" applyAlignment="1">
      <alignment horizontal="center"/>
    </xf>
    <xf numFmtId="175" fontId="36" fillId="4" borderId="20" xfId="0" applyNumberFormat="1" applyFont="1" applyFill="1" applyBorder="1" applyAlignment="1" applyProtection="1">
      <alignment horizontal="center"/>
      <protection locked="0"/>
    </xf>
    <xf numFmtId="0" fontId="50" fillId="2" borderId="0" xfId="0" applyFont="1" applyFill="1" applyAlignment="1">
      <alignment horizontal="center" wrapText="1"/>
    </xf>
    <xf numFmtId="0" fontId="50" fillId="2" borderId="0" xfId="0" applyFont="1" applyFill="1" applyAlignment="1">
      <alignment horizontal="center" vertical="center"/>
    </xf>
    <xf numFmtId="0" fontId="50" fillId="0" borderId="0" xfId="0" applyFont="1" applyAlignment="1">
      <alignment horizontal="center" vertical="center"/>
    </xf>
    <xf numFmtId="175" fontId="36" fillId="2" borderId="0" xfId="0" applyNumberFormat="1" applyFont="1" applyFill="1" applyAlignment="1"/>
    <xf numFmtId="171" fontId="36" fillId="4" borderId="1" xfId="0" applyNumberFormat="1" applyFont="1" applyFill="1" applyBorder="1" applyAlignment="1" applyProtection="1">
      <alignment horizontal="center"/>
      <protection locked="0"/>
    </xf>
    <xf numFmtId="176" fontId="36" fillId="2" borderId="0" xfId="0" applyNumberFormat="1" applyFont="1" applyFill="1" applyBorder="1" applyAlignment="1">
      <alignment horizontal="center"/>
    </xf>
    <xf numFmtId="176" fontId="36" fillId="0" borderId="21" xfId="0" applyNumberFormat="1" applyFont="1" applyBorder="1" applyAlignment="1">
      <alignment horizontal="center"/>
    </xf>
    <xf numFmtId="0" fontId="36" fillId="2" borderId="0" xfId="0" applyFont="1" applyFill="1" applyBorder="1" applyAlignment="1">
      <alignment horizontal="center"/>
    </xf>
    <xf numFmtId="175" fontId="36" fillId="2" borderId="0" xfId="0" applyNumberFormat="1" applyFont="1" applyFill="1" applyBorder="1" applyAlignment="1">
      <alignment horizontal="center"/>
    </xf>
    <xf numFmtId="0" fontId="36" fillId="2" borderId="25" xfId="0" applyFont="1" applyFill="1" applyBorder="1" applyAlignment="1">
      <alignment vertical="top" wrapText="1"/>
    </xf>
    <xf numFmtId="0" fontId="36" fillId="0" borderId="0" xfId="0" applyFont="1" applyAlignment="1">
      <alignment vertical="top" wrapText="1"/>
    </xf>
    <xf numFmtId="0" fontId="36" fillId="0" borderId="21" xfId="0" applyFont="1" applyBorder="1" applyAlignment="1">
      <alignment vertical="top" wrapText="1"/>
    </xf>
    <xf numFmtId="0" fontId="36" fillId="0" borderId="21" xfId="0" applyFont="1" applyBorder="1" applyAlignment="1">
      <alignment horizontal="center"/>
    </xf>
  </cellXfs>
  <cellStyles count="379">
    <cellStyle name="Comma" xfId="1" builtinId="3"/>
    <cellStyle name="Comma 11 2" xfId="2"/>
    <cellStyle name="Comma 16" xfId="3"/>
    <cellStyle name="Comma 16 2" xfId="4"/>
    <cellStyle name="Comma 16 3" xfId="5"/>
    <cellStyle name="Comma 17" xfId="6"/>
    <cellStyle name="Comma 2 2" xfId="7"/>
    <cellStyle name="Comma 7 2" xfId="8"/>
    <cellStyle name="Hyperlink" xfId="9" builtinId="8"/>
    <cellStyle name="Hyperlink 16" xfId="10"/>
    <cellStyle name="Hyperlink 2 2" xfId="11"/>
    <cellStyle name="Hyperlink 4 2" xfId="12"/>
    <cellStyle name="Hyperlink 7 2" xfId="13"/>
    <cellStyle name="Normal" xfId="0" builtinId="0"/>
    <cellStyle name="Normal 10" xfId="14"/>
    <cellStyle name="Normal 10 2" xfId="15"/>
    <cellStyle name="Normal 10 2 2" xfId="16"/>
    <cellStyle name="Normal 10 2 2 2" xfId="17"/>
    <cellStyle name="Normal 10 2 2 3" xfId="18"/>
    <cellStyle name="Normal 10 3" xfId="19"/>
    <cellStyle name="Normal 10 3 2" xfId="20"/>
    <cellStyle name="Normal 10 3 3" xfId="21"/>
    <cellStyle name="Normal 10 4" xfId="22"/>
    <cellStyle name="Normal 10 4 2" xfId="23"/>
    <cellStyle name="Normal 10 4 3" xfId="24"/>
    <cellStyle name="Normal 10 5" xfId="25"/>
    <cellStyle name="Normal 10 6" xfId="26"/>
    <cellStyle name="Normal 10 6 2" xfId="27"/>
    <cellStyle name="Normal 10 6 3" xfId="28"/>
    <cellStyle name="Normal 10 7" xfId="29"/>
    <cellStyle name="Normal 11" xfId="30"/>
    <cellStyle name="Normal 11 2" xfId="31"/>
    <cellStyle name="Normal 11 3" xfId="32"/>
    <cellStyle name="Normal 11 4" xfId="33"/>
    <cellStyle name="Normal 11 5" xfId="34"/>
    <cellStyle name="Normal 12" xfId="35"/>
    <cellStyle name="Normal 12 10" xfId="36"/>
    <cellStyle name="Normal 12 11" xfId="37"/>
    <cellStyle name="Normal 12 12" xfId="38"/>
    <cellStyle name="Normal 12 2" xfId="39"/>
    <cellStyle name="Normal 12 2 2" xfId="40"/>
    <cellStyle name="Normal 12 3" xfId="41"/>
    <cellStyle name="Normal 12 4" xfId="42"/>
    <cellStyle name="Normal 12 5" xfId="43"/>
    <cellStyle name="Normal 12 6" xfId="44"/>
    <cellStyle name="Normal 12 7" xfId="45"/>
    <cellStyle name="Normal 12 8" xfId="46"/>
    <cellStyle name="Normal 12 9" xfId="47"/>
    <cellStyle name="Normal 13" xfId="48"/>
    <cellStyle name="Normal 13 10" xfId="49"/>
    <cellStyle name="Normal 13 11" xfId="50"/>
    <cellStyle name="Normal 13 12" xfId="51"/>
    <cellStyle name="Normal 13 2" xfId="52"/>
    <cellStyle name="Normal 13 2 2" xfId="53"/>
    <cellStyle name="Normal 13 3" xfId="54"/>
    <cellStyle name="Normal 13 4" xfId="55"/>
    <cellStyle name="Normal 13 5" xfId="56"/>
    <cellStyle name="Normal 13 6" xfId="57"/>
    <cellStyle name="Normal 13 7" xfId="58"/>
    <cellStyle name="Normal 13 8" xfId="59"/>
    <cellStyle name="Normal 13 9" xfId="60"/>
    <cellStyle name="Normal 14" xfId="61"/>
    <cellStyle name="Normal 14 2" xfId="62"/>
    <cellStyle name="Normal 14 3" xfId="63"/>
    <cellStyle name="Normal 14 4" xfId="64"/>
    <cellStyle name="Normal 14 5" xfId="65"/>
    <cellStyle name="Normal 14 6" xfId="66"/>
    <cellStyle name="Normal 14 7" xfId="67"/>
    <cellStyle name="Normal 15" xfId="68"/>
    <cellStyle name="Normal 15 2" xfId="69"/>
    <cellStyle name="Normal 15 3" xfId="70"/>
    <cellStyle name="Normal 15 4" xfId="71"/>
    <cellStyle name="Normal 16" xfId="72"/>
    <cellStyle name="Normal 16 2" xfId="73"/>
    <cellStyle name="Normal 16 3" xfId="74"/>
    <cellStyle name="Normal 16 4" xfId="75"/>
    <cellStyle name="Normal 17" xfId="76"/>
    <cellStyle name="Normal 17 2" xfId="77"/>
    <cellStyle name="Normal 17 3" xfId="78"/>
    <cellStyle name="Normal 17 4" xfId="79"/>
    <cellStyle name="Normal 18" xfId="80"/>
    <cellStyle name="Normal 18 2" xfId="81"/>
    <cellStyle name="Normal 18 2 2" xfId="82"/>
    <cellStyle name="Normal 18 2 3" xfId="83"/>
    <cellStyle name="Normal 18 3" xfId="84"/>
    <cellStyle name="Normal 18 4" xfId="85"/>
    <cellStyle name="Normal 18 5" xfId="86"/>
    <cellStyle name="Normal 18 6" xfId="87"/>
    <cellStyle name="Normal 18 7" xfId="88"/>
    <cellStyle name="Normal 18 8" xfId="89"/>
    <cellStyle name="Normal 19" xfId="90"/>
    <cellStyle name="Normal 19 2" xfId="91"/>
    <cellStyle name="Normal 19 2 2" xfId="92"/>
    <cellStyle name="Normal 19 2 3" xfId="93"/>
    <cellStyle name="Normal 19 3" xfId="94"/>
    <cellStyle name="Normal 19 4" xfId="95"/>
    <cellStyle name="Normal 19 5" xfId="96"/>
    <cellStyle name="Normal 19 6" xfId="97"/>
    <cellStyle name="Normal 19 7" xfId="98"/>
    <cellStyle name="Normal 2" xfId="99"/>
    <cellStyle name="Normal 2 10" xfId="100"/>
    <cellStyle name="Normal 2 10 10" xfId="101"/>
    <cellStyle name="Normal 2 10 2" xfId="102"/>
    <cellStyle name="Normal 2 10 2 2" xfId="103"/>
    <cellStyle name="Normal 2 10 3" xfId="104"/>
    <cellStyle name="Normal 2 10 3 2" xfId="105"/>
    <cellStyle name="Normal 2 10 4" xfId="106"/>
    <cellStyle name="Normal 2 10 4 2" xfId="107"/>
    <cellStyle name="Normal 2 10 5" xfId="108"/>
    <cellStyle name="Normal 2 10 5 2" xfId="109"/>
    <cellStyle name="Normal 2 10 6" xfId="110"/>
    <cellStyle name="Normal 2 10 6 2" xfId="111"/>
    <cellStyle name="Normal 2 10 7" xfId="112"/>
    <cellStyle name="Normal 2 10 7 2" xfId="113"/>
    <cellStyle name="Normal 2 10 8" xfId="114"/>
    <cellStyle name="Normal 2 10 8 2" xfId="115"/>
    <cellStyle name="Normal 2 10 9" xfId="116"/>
    <cellStyle name="Normal 2 11" xfId="117"/>
    <cellStyle name="Normal 2 11 10" xfId="118"/>
    <cellStyle name="Normal 2 11 2" xfId="119"/>
    <cellStyle name="Normal 2 11 2 2" xfId="120"/>
    <cellStyle name="Normal 2 11 3" xfId="121"/>
    <cellStyle name="Normal 2 11 3 2" xfId="122"/>
    <cellStyle name="Normal 2 11 4" xfId="123"/>
    <cellStyle name="Normal 2 11 4 2" xfId="124"/>
    <cellStyle name="Normal 2 11 5" xfId="125"/>
    <cellStyle name="Normal 2 11 5 2" xfId="126"/>
    <cellStyle name="Normal 2 11 6" xfId="127"/>
    <cellStyle name="Normal 2 11 6 2" xfId="128"/>
    <cellStyle name="Normal 2 11 7" xfId="129"/>
    <cellStyle name="Normal 2 11 7 2" xfId="130"/>
    <cellStyle name="Normal 2 11 8" xfId="131"/>
    <cellStyle name="Normal 2 11 8 2" xfId="132"/>
    <cellStyle name="Normal 2 11 9" xfId="133"/>
    <cellStyle name="Normal 2 12" xfId="134"/>
    <cellStyle name="Normal 2 13" xfId="135"/>
    <cellStyle name="Normal 2 14" xfId="136"/>
    <cellStyle name="Normal 2 15" xfId="137"/>
    <cellStyle name="Normal 2 16" xfId="138"/>
    <cellStyle name="Normal 2 2" xfId="139"/>
    <cellStyle name="Normal 2 2 10" xfId="140"/>
    <cellStyle name="Normal 2 2 10 2" xfId="141"/>
    <cellStyle name="Normal 2 2 11" xfId="142"/>
    <cellStyle name="Normal 2 2 11 2" xfId="143"/>
    <cellStyle name="Normal 2 2 12" xfId="144"/>
    <cellStyle name="Normal 2 2 12 2" xfId="145"/>
    <cellStyle name="Normal 2 2 12 2 2" xfId="146"/>
    <cellStyle name="Normal 2 2 13" xfId="147"/>
    <cellStyle name="Normal 2 2 13 2" xfId="148"/>
    <cellStyle name="Normal 2 2 13 2 2" xfId="149"/>
    <cellStyle name="Normal 2 2 14" xfId="150"/>
    <cellStyle name="Normal 2 2 14 2" xfId="151"/>
    <cellStyle name="Normal 2 2 15" xfId="152"/>
    <cellStyle name="Normal 2 2 15 2" xfId="153"/>
    <cellStyle name="Normal 2 2 16" xfId="154"/>
    <cellStyle name="Normal 2 2 16 2" xfId="155"/>
    <cellStyle name="Normal 2 2 16 3" xfId="156"/>
    <cellStyle name="Normal 2 2 17" xfId="157"/>
    <cellStyle name="Normal 2 2 18" xfId="158"/>
    <cellStyle name="Normal 2 2 19" xfId="159"/>
    <cellStyle name="Normal 2 2 2" xfId="160"/>
    <cellStyle name="Normal 2 2 2 2" xfId="161"/>
    <cellStyle name="Normal 2 2 2 2 2" xfId="162"/>
    <cellStyle name="Normal 2 2 2 2 3" xfId="163"/>
    <cellStyle name="Normal 2 2 2 3" xfId="164"/>
    <cellStyle name="Normal 2 2 2 3 2" xfId="165"/>
    <cellStyle name="Normal 2 2 2 4" xfId="166"/>
    <cellStyle name="Normal 2 2 2 4 2" xfId="167"/>
    <cellStyle name="Normal 2 2 2 5" xfId="168"/>
    <cellStyle name="Normal 2 2 2 5 2" xfId="169"/>
    <cellStyle name="Normal 2 2 2 6" xfId="170"/>
    <cellStyle name="Normal 2 2 2 6 2" xfId="171"/>
    <cellStyle name="Normal 2 2 2 7" xfId="172"/>
    <cellStyle name="Normal 2 2 2 8" xfId="173"/>
    <cellStyle name="Normal 2 2 20" xfId="174"/>
    <cellStyle name="Normal 2 2 21" xfId="175"/>
    <cellStyle name="Normal 2 2 3" xfId="176"/>
    <cellStyle name="Normal 2 2 3 2" xfId="177"/>
    <cellStyle name="Normal 2 2 4" xfId="178"/>
    <cellStyle name="Normal 2 2 4 2" xfId="179"/>
    <cellStyle name="Normal 2 2 5" xfId="180"/>
    <cellStyle name="Normal 2 2 5 2" xfId="181"/>
    <cellStyle name="Normal 2 2 6" xfId="182"/>
    <cellStyle name="Normal 2 2 6 2" xfId="183"/>
    <cellStyle name="Normal 2 2 7" xfId="184"/>
    <cellStyle name="Normal 2 2 7 2" xfId="185"/>
    <cellStyle name="Normal 2 2 8" xfId="186"/>
    <cellStyle name="Normal 2 2 8 2" xfId="187"/>
    <cellStyle name="Normal 2 2 9" xfId="188"/>
    <cellStyle name="Normal 2 2 9 2" xfId="189"/>
    <cellStyle name="Normal 2 3" xfId="190"/>
    <cellStyle name="Normal 2 3 10" xfId="191"/>
    <cellStyle name="Normal 2 3 11" xfId="192"/>
    <cellStyle name="Normal 2 3 12" xfId="193"/>
    <cellStyle name="Normal 2 3 13" xfId="194"/>
    <cellStyle name="Normal 2 3 14" xfId="195"/>
    <cellStyle name="Normal 2 3 15" xfId="196"/>
    <cellStyle name="Normal 2 3 2" xfId="197"/>
    <cellStyle name="Normal 2 3 2 2" xfId="198"/>
    <cellStyle name="Normal 2 3 2 2 2" xfId="199"/>
    <cellStyle name="Normal 2 3 2 2 3" xfId="200"/>
    <cellStyle name="Normal 2 3 2 3" xfId="201"/>
    <cellStyle name="Normal 2 3 2 4" xfId="202"/>
    <cellStyle name="Normal 2 3 3" xfId="203"/>
    <cellStyle name="Normal 2 3 3 2" xfId="204"/>
    <cellStyle name="Normal 2 3 4" xfId="205"/>
    <cellStyle name="Normal 2 3 5" xfId="206"/>
    <cellStyle name="Normal 2 3 6" xfId="207"/>
    <cellStyle name="Normal 2 3 7" xfId="208"/>
    <cellStyle name="Normal 2 3 8" xfId="209"/>
    <cellStyle name="Normal 2 3 9" xfId="210"/>
    <cellStyle name="Normal 2 4" xfId="211"/>
    <cellStyle name="Normal 2 4 10" xfId="212"/>
    <cellStyle name="Normal 2 4 11" xfId="213"/>
    <cellStyle name="Normal 2 4 12" xfId="214"/>
    <cellStyle name="Normal 2 4 13" xfId="215"/>
    <cellStyle name="Normal 2 4 2" xfId="216"/>
    <cellStyle name="Normal 2 4 2 2" xfId="217"/>
    <cellStyle name="Normal 2 4 2 2 2" xfId="218"/>
    <cellStyle name="Normal 2 4 2 2 3" xfId="219"/>
    <cellStyle name="Normal 2 4 2 3" xfId="220"/>
    <cellStyle name="Normal 2 4 2 4" xfId="221"/>
    <cellStyle name="Normal 2 4 3" xfId="222"/>
    <cellStyle name="Normal 2 4 3 2" xfId="223"/>
    <cellStyle name="Normal 2 4 4" xfId="224"/>
    <cellStyle name="Normal 2 4 5" xfId="225"/>
    <cellStyle name="Normal 2 4 6" xfId="226"/>
    <cellStyle name="Normal 2 4 7" xfId="227"/>
    <cellStyle name="Normal 2 4 8" xfId="228"/>
    <cellStyle name="Normal 2 4 9" xfId="229"/>
    <cellStyle name="Normal 2 5" xfId="230"/>
    <cellStyle name="Normal 2 5 10" xfId="231"/>
    <cellStyle name="Normal 2 5 11" xfId="232"/>
    <cellStyle name="Normal 2 5 12" xfId="233"/>
    <cellStyle name="Normal 2 5 2" xfId="234"/>
    <cellStyle name="Normal 2 5 2 2" xfId="235"/>
    <cellStyle name="Normal 2 5 3" xfId="236"/>
    <cellStyle name="Normal 2 5 3 2" xfId="237"/>
    <cellStyle name="Normal 2 5 4" xfId="238"/>
    <cellStyle name="Normal 2 5 5" xfId="239"/>
    <cellStyle name="Normal 2 5 6" xfId="240"/>
    <cellStyle name="Normal 2 5 7" xfId="241"/>
    <cellStyle name="Normal 2 5 8" xfId="242"/>
    <cellStyle name="Normal 2 5 9" xfId="243"/>
    <cellStyle name="Normal 2 6" xfId="244"/>
    <cellStyle name="Normal 2 6 10" xfId="245"/>
    <cellStyle name="Normal 2 6 11" xfId="246"/>
    <cellStyle name="Normal 2 6 2" xfId="247"/>
    <cellStyle name="Normal 2 6 2 2" xfId="248"/>
    <cellStyle name="Normal 2 6 3" xfId="249"/>
    <cellStyle name="Normal 2 6 3 2" xfId="250"/>
    <cellStyle name="Normal 2 6 4" xfId="251"/>
    <cellStyle name="Normal 2 6 5" xfId="252"/>
    <cellStyle name="Normal 2 6 6" xfId="253"/>
    <cellStyle name="Normal 2 6 7" xfId="254"/>
    <cellStyle name="Normal 2 6 8" xfId="255"/>
    <cellStyle name="Normal 2 6 9" xfId="256"/>
    <cellStyle name="Normal 2 7" xfId="257"/>
    <cellStyle name="Normal 2 7 10" xfId="258"/>
    <cellStyle name="Normal 2 7 2" xfId="259"/>
    <cellStyle name="Normal 2 7 2 2" xfId="260"/>
    <cellStyle name="Normal 2 7 3" xfId="261"/>
    <cellStyle name="Normal 2 7 3 2" xfId="262"/>
    <cellStyle name="Normal 2 7 4" xfId="263"/>
    <cellStyle name="Normal 2 7 4 2" xfId="264"/>
    <cellStyle name="Normal 2 7 5" xfId="265"/>
    <cellStyle name="Normal 2 7 5 2" xfId="266"/>
    <cellStyle name="Normal 2 7 6" xfId="267"/>
    <cellStyle name="Normal 2 7 6 2" xfId="268"/>
    <cellStyle name="Normal 2 7 7" xfId="269"/>
    <cellStyle name="Normal 2 7 7 2" xfId="270"/>
    <cellStyle name="Normal 2 7 8" xfId="271"/>
    <cellStyle name="Normal 2 7 8 2" xfId="272"/>
    <cellStyle name="Normal 2 7 9" xfId="273"/>
    <cellStyle name="Normal 2 8" xfId="274"/>
    <cellStyle name="Normal 2 8 10" xfId="275"/>
    <cellStyle name="Normal 2 8 2" xfId="276"/>
    <cellStyle name="Normal 2 8 2 2" xfId="277"/>
    <cellStyle name="Normal 2 8 3" xfId="278"/>
    <cellStyle name="Normal 2 8 3 2" xfId="279"/>
    <cellStyle name="Normal 2 8 4" xfId="280"/>
    <cellStyle name="Normal 2 8 4 2" xfId="281"/>
    <cellStyle name="Normal 2 8 5" xfId="282"/>
    <cellStyle name="Normal 2 8 5 2" xfId="283"/>
    <cellStyle name="Normal 2 8 6" xfId="284"/>
    <cellStyle name="Normal 2 8 6 2" xfId="285"/>
    <cellStyle name="Normal 2 8 7" xfId="286"/>
    <cellStyle name="Normal 2 8 7 2" xfId="287"/>
    <cellStyle name="Normal 2 8 8" xfId="288"/>
    <cellStyle name="Normal 2 8 8 2" xfId="289"/>
    <cellStyle name="Normal 2 8 9" xfId="290"/>
    <cellStyle name="Normal 2 9" xfId="291"/>
    <cellStyle name="Normal 2 9 10" xfId="292"/>
    <cellStyle name="Normal 2 9 2" xfId="293"/>
    <cellStyle name="Normal 2 9 2 2" xfId="294"/>
    <cellStyle name="Normal 2 9 3" xfId="295"/>
    <cellStyle name="Normal 2 9 3 2" xfId="296"/>
    <cellStyle name="Normal 2 9 4" xfId="297"/>
    <cellStyle name="Normal 2 9 4 2" xfId="298"/>
    <cellStyle name="Normal 2 9 5" xfId="299"/>
    <cellStyle name="Normal 2 9 5 2" xfId="300"/>
    <cellStyle name="Normal 2 9 6" xfId="301"/>
    <cellStyle name="Normal 2 9 6 2" xfId="302"/>
    <cellStyle name="Normal 2 9 7" xfId="303"/>
    <cellStyle name="Normal 2 9 7 2" xfId="304"/>
    <cellStyle name="Normal 2 9 8" xfId="305"/>
    <cellStyle name="Normal 2 9 8 2" xfId="306"/>
    <cellStyle name="Normal 2 9 9" xfId="307"/>
    <cellStyle name="Normal 20" xfId="308"/>
    <cellStyle name="Normal 20 2" xfId="309"/>
    <cellStyle name="Normal 20 3" xfId="310"/>
    <cellStyle name="Normal 21" xfId="311"/>
    <cellStyle name="Normal 22" xfId="312"/>
    <cellStyle name="Normal 22 2" xfId="313"/>
    <cellStyle name="Normal 22 3" xfId="314"/>
    <cellStyle name="Normal 23" xfId="315"/>
    <cellStyle name="Normal 23 2" xfId="316"/>
    <cellStyle name="Normal 23 3" xfId="317"/>
    <cellStyle name="Normal 24" xfId="318"/>
    <cellStyle name="Normal 24 2" xfId="319"/>
    <cellStyle name="Normal 24 3" xfId="320"/>
    <cellStyle name="Normal 25" xfId="321"/>
    <cellStyle name="Normal 25 2" xfId="322"/>
    <cellStyle name="Normal 25 3" xfId="323"/>
    <cellStyle name="Normal 26" xfId="324"/>
    <cellStyle name="Normal 3" xfId="325"/>
    <cellStyle name="Normal 3 10" xfId="326"/>
    <cellStyle name="Normal 3 2" xfId="327"/>
    <cellStyle name="Normal 3 2 2" xfId="328"/>
    <cellStyle name="Normal 3 2 2 2" xfId="329"/>
    <cellStyle name="Normal 3 2 3" xfId="330"/>
    <cellStyle name="Normal 3 2 4" xfId="331"/>
    <cellStyle name="Normal 3 3" xfId="332"/>
    <cellStyle name="Normal 3 3 2" xfId="333"/>
    <cellStyle name="Normal 3 3 2 2" xfId="334"/>
    <cellStyle name="Normal 3 3 3" xfId="335"/>
    <cellStyle name="Normal 3 4" xfId="336"/>
    <cellStyle name="Normal 3 5" xfId="337"/>
    <cellStyle name="Normal 3 6" xfId="338"/>
    <cellStyle name="Normal 3 7" xfId="339"/>
    <cellStyle name="Normal 3 8" xfId="340"/>
    <cellStyle name="Normal 3 9" xfId="341"/>
    <cellStyle name="Normal 4" xfId="342"/>
    <cellStyle name="Normal 4 2" xfId="343"/>
    <cellStyle name="Normal 4 2 2" xfId="344"/>
    <cellStyle name="Normal 4 2 2 2" xfId="345"/>
    <cellStyle name="Normal 4 2 3" xfId="346"/>
    <cellStyle name="Normal 4 2 4" xfId="347"/>
    <cellStyle name="Normal 4 3" xfId="348"/>
    <cellStyle name="Normal 4 4" xfId="349"/>
    <cellStyle name="Normal 4 5" xfId="350"/>
    <cellStyle name="Normal 4 6" xfId="351"/>
    <cellStyle name="Normal 5" xfId="352"/>
    <cellStyle name="Normal 5 2" xfId="353"/>
    <cellStyle name="Normal 5 3" xfId="354"/>
    <cellStyle name="Normal 5 3 2" xfId="355"/>
    <cellStyle name="Normal 5 3 3" xfId="356"/>
    <cellStyle name="Normal 5 4" xfId="357"/>
    <cellStyle name="Normal 5 5" xfId="358"/>
    <cellStyle name="Normal 6" xfId="359"/>
    <cellStyle name="Normal 6 2" xfId="360"/>
    <cellStyle name="Normal 6 3" xfId="361"/>
    <cellStyle name="Normal 6 4" xfId="362"/>
    <cellStyle name="Normal 7 2" xfId="363"/>
    <cellStyle name="Normal 7 2 2" xfId="364"/>
    <cellStyle name="Normal 7 2 3" xfId="365"/>
    <cellStyle name="Normal 7 3" xfId="366"/>
    <cellStyle name="Normal 7 4" xfId="367"/>
    <cellStyle name="Normal 7 4 2" xfId="368"/>
    <cellStyle name="Normal 7 5" xfId="369"/>
    <cellStyle name="Normal 8" xfId="370"/>
    <cellStyle name="Normal 8 2" xfId="371"/>
    <cellStyle name="Normal 9" xfId="372"/>
    <cellStyle name="Normal 9 2" xfId="373"/>
    <cellStyle name="Normal 9 3" xfId="374"/>
    <cellStyle name="Normal 9 4" xfId="375"/>
    <cellStyle name="Normal 9 5" xfId="376"/>
    <cellStyle name="Normal_debt" xfId="377"/>
    <cellStyle name="Normal_lpform" xfId="378"/>
  </cellStyles>
  <dxfs count="326">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11" Type="http://schemas.openxmlformats.org/officeDocument/2006/relationships/printerSettings" Target="../printerSettings/printerSettings48.bin"/><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6"/>
  <sheetViews>
    <sheetView topLeftCell="A70" zoomScale="80" workbookViewId="0"/>
  </sheetViews>
  <sheetFormatPr defaultRowHeight="15.75" x14ac:dyDescent="0.2"/>
  <cols>
    <col min="1" max="1" width="75.77734375" style="21" customWidth="1"/>
    <col min="2" max="16384" width="8.88671875" style="21"/>
  </cols>
  <sheetData>
    <row r="1" spans="1:1" x14ac:dyDescent="0.2">
      <c r="A1" s="20" t="s">
        <v>645</v>
      </c>
    </row>
    <row r="3" spans="1:1" ht="39.75" customHeight="1" x14ac:dyDescent="0.2">
      <c r="A3" s="22" t="s">
        <v>1061</v>
      </c>
    </row>
    <row r="4" spans="1:1" x14ac:dyDescent="0.2">
      <c r="A4" s="23"/>
    </row>
    <row r="5" spans="1:1" ht="49.5" customHeight="1" x14ac:dyDescent="0.2">
      <c r="A5" s="24" t="s">
        <v>724</v>
      </c>
    </row>
    <row r="6" spans="1:1" x14ac:dyDescent="0.2">
      <c r="A6" s="24"/>
    </row>
    <row r="7" spans="1:1" ht="85.5" customHeight="1" x14ac:dyDescent="0.2">
      <c r="A7" s="24" t="s">
        <v>68</v>
      </c>
    </row>
    <row r="8" spans="1:1" x14ac:dyDescent="0.2">
      <c r="A8" s="24"/>
    </row>
    <row r="9" spans="1:1" ht="32.25" customHeight="1" x14ac:dyDescent="0.2">
      <c r="A9" s="24" t="s">
        <v>1062</v>
      </c>
    </row>
    <row r="11" spans="1:1" ht="51" customHeight="1" x14ac:dyDescent="0.2">
      <c r="A11" s="24" t="s">
        <v>810</v>
      </c>
    </row>
    <row r="13" spans="1:1" x14ac:dyDescent="0.2">
      <c r="A13" s="20" t="s">
        <v>733</v>
      </c>
    </row>
    <row r="14" spans="1:1" x14ac:dyDescent="0.2">
      <c r="A14" s="20"/>
    </row>
    <row r="15" spans="1:1" x14ac:dyDescent="0.2">
      <c r="A15" s="23" t="s">
        <v>734</v>
      </c>
    </row>
    <row r="17" spans="1:1" ht="37.5" customHeight="1" x14ac:dyDescent="0.2">
      <c r="A17" s="25" t="s">
        <v>1089</v>
      </c>
    </row>
    <row r="18" spans="1:1" ht="9" customHeight="1" x14ac:dyDescent="0.2">
      <c r="A18" s="25"/>
    </row>
    <row r="20" spans="1:1" x14ac:dyDescent="0.2">
      <c r="A20" s="20" t="s">
        <v>816</v>
      </c>
    </row>
    <row r="22" spans="1:1" ht="36" customHeight="1" x14ac:dyDescent="0.2">
      <c r="A22" s="24" t="s">
        <v>1063</v>
      </c>
    </row>
    <row r="23" spans="1:1" x14ac:dyDescent="0.2">
      <c r="A23" s="24"/>
    </row>
    <row r="24" spans="1:1" x14ac:dyDescent="0.2">
      <c r="A24" s="26" t="s">
        <v>1064</v>
      </c>
    </row>
    <row r="25" spans="1:1" ht="12" customHeight="1" x14ac:dyDescent="0.2">
      <c r="A25" s="24"/>
    </row>
    <row r="26" spans="1:1" x14ac:dyDescent="0.2">
      <c r="A26" s="27" t="s">
        <v>974</v>
      </c>
    </row>
    <row r="27" spans="1:1" x14ac:dyDescent="0.2">
      <c r="A27" s="28"/>
    </row>
    <row r="28" spans="1:1" ht="84.75" customHeight="1" x14ac:dyDescent="0.2">
      <c r="A28" s="29" t="s">
        <v>719</v>
      </c>
    </row>
    <row r="29" spans="1:1" ht="12.75" customHeight="1" x14ac:dyDescent="0.2">
      <c r="A29" s="30"/>
    </row>
    <row r="30" spans="1:1" x14ac:dyDescent="0.2">
      <c r="A30" s="31" t="s">
        <v>1065</v>
      </c>
    </row>
    <row r="31" spans="1:1" x14ac:dyDescent="0.2">
      <c r="A31" s="30"/>
    </row>
    <row r="32" spans="1:1" x14ac:dyDescent="0.2">
      <c r="A32" s="32" t="s">
        <v>732</v>
      </c>
    </row>
    <row r="33" spans="1:1" x14ac:dyDescent="0.2">
      <c r="A33" s="30"/>
    </row>
    <row r="34" spans="1:1" x14ac:dyDescent="0.2">
      <c r="A34" s="24" t="s">
        <v>910</v>
      </c>
    </row>
    <row r="36" spans="1:1" x14ac:dyDescent="0.2">
      <c r="A36" s="20" t="s">
        <v>911</v>
      </c>
    </row>
    <row r="38" spans="1:1" ht="66.75" customHeight="1" x14ac:dyDescent="0.2">
      <c r="A38" s="24" t="s">
        <v>572</v>
      </c>
    </row>
    <row r="39" spans="1:1" ht="35.25" customHeight="1" x14ac:dyDescent="0.2">
      <c r="A39" s="24" t="s">
        <v>993</v>
      </c>
    </row>
    <row r="40" spans="1:1" ht="53.25" customHeight="1" x14ac:dyDescent="0.2">
      <c r="A40" s="33" t="s">
        <v>1066</v>
      </c>
    </row>
    <row r="42" spans="1:1" ht="84" customHeight="1" x14ac:dyDescent="0.2">
      <c r="A42" s="24" t="s">
        <v>573</v>
      </c>
    </row>
    <row r="43" spans="1:1" ht="53.25" customHeight="1" x14ac:dyDescent="0.2">
      <c r="A43" s="24" t="s">
        <v>1067</v>
      </c>
    </row>
    <row r="44" spans="1:1" ht="102" customHeight="1" x14ac:dyDescent="0.2">
      <c r="A44" s="24" t="s">
        <v>811</v>
      </c>
    </row>
    <row r="45" spans="1:1" ht="102" customHeight="1" x14ac:dyDescent="0.2">
      <c r="A45" s="500" t="s">
        <v>574</v>
      </c>
    </row>
    <row r="46" spans="1:1" ht="15.75" customHeight="1" x14ac:dyDescent="0.2">
      <c r="A46" s="24"/>
    </row>
    <row r="47" spans="1:1" ht="74.099999999999994" customHeight="1" x14ac:dyDescent="0.2">
      <c r="A47" s="879" t="s">
        <v>33</v>
      </c>
    </row>
    <row r="48" spans="1:1" ht="69.95" customHeight="1" x14ac:dyDescent="0.2">
      <c r="A48" s="880" t="s">
        <v>452</v>
      </c>
    </row>
    <row r="49" spans="1:1" ht="69.95" customHeight="1" x14ac:dyDescent="0.2">
      <c r="A49" s="881" t="s">
        <v>34</v>
      </c>
    </row>
    <row r="50" spans="1:1" ht="15.75" customHeight="1" x14ac:dyDescent="0.2">
      <c r="A50" s="24"/>
    </row>
    <row r="51" spans="1:1" ht="69.75" customHeight="1" x14ac:dyDescent="0.2">
      <c r="A51" s="24" t="s">
        <v>453</v>
      </c>
    </row>
    <row r="52" spans="1:1" ht="37.5" customHeight="1" x14ac:dyDescent="0.2">
      <c r="A52" s="24" t="s">
        <v>454</v>
      </c>
    </row>
    <row r="53" spans="1:1" ht="69" customHeight="1" x14ac:dyDescent="0.2">
      <c r="A53" s="24" t="s">
        <v>455</v>
      </c>
    </row>
    <row r="54" spans="1:1" ht="94.5" customHeight="1" x14ac:dyDescent="0.2">
      <c r="A54" s="500" t="s">
        <v>575</v>
      </c>
    </row>
    <row r="55" spans="1:1" ht="101.25" customHeight="1" x14ac:dyDescent="0.2">
      <c r="A55" s="882" t="s">
        <v>69</v>
      </c>
    </row>
    <row r="57" spans="1:1" ht="84.75" customHeight="1" x14ac:dyDescent="0.2">
      <c r="A57" s="24" t="s">
        <v>456</v>
      </c>
    </row>
    <row r="58" spans="1:1" ht="116.25" customHeight="1" x14ac:dyDescent="0.2">
      <c r="A58" s="24" t="s">
        <v>457</v>
      </c>
    </row>
    <row r="59" spans="1:1" ht="38.25" customHeight="1" x14ac:dyDescent="0.2">
      <c r="A59" s="24" t="s">
        <v>458</v>
      </c>
    </row>
    <row r="60" spans="1:1" x14ac:dyDescent="0.2">
      <c r="A60" s="24"/>
    </row>
    <row r="61" spans="1:1" ht="68.25" customHeight="1" x14ac:dyDescent="0.2">
      <c r="A61" s="882" t="s">
        <v>35</v>
      </c>
    </row>
    <row r="62" spans="1:1" x14ac:dyDescent="0.2">
      <c r="A62" s="24"/>
    </row>
    <row r="63" spans="1:1" ht="66.75" customHeight="1" x14ac:dyDescent="0.2">
      <c r="A63" s="24" t="s">
        <v>459</v>
      </c>
    </row>
    <row r="64" spans="1:1" ht="37.5" customHeight="1" x14ac:dyDescent="0.2">
      <c r="A64" s="24" t="s">
        <v>468</v>
      </c>
    </row>
    <row r="65" spans="1:1" ht="91.5" customHeight="1" x14ac:dyDescent="0.2">
      <c r="A65" s="24" t="s">
        <v>469</v>
      </c>
    </row>
    <row r="66" spans="1:1" ht="47.25" customHeight="1" x14ac:dyDescent="0.2">
      <c r="A66" s="343" t="s">
        <v>470</v>
      </c>
    </row>
    <row r="68" spans="1:1" s="24" customFormat="1" ht="66.75" customHeight="1" x14ac:dyDescent="0.2">
      <c r="A68" s="24" t="s">
        <v>460</v>
      </c>
    </row>
    <row r="70" spans="1:1" ht="67.5" customHeight="1" x14ac:dyDescent="0.2">
      <c r="A70" s="24" t="s">
        <v>461</v>
      </c>
    </row>
    <row r="71" spans="1:1" ht="15" customHeight="1" x14ac:dyDescent="0.2">
      <c r="A71" s="24"/>
    </row>
    <row r="72" spans="1:1" ht="161.25" customHeight="1" x14ac:dyDescent="0.2">
      <c r="A72" s="882" t="s">
        <v>36</v>
      </c>
    </row>
    <row r="74" spans="1:1" ht="95.25" customHeight="1" x14ac:dyDescent="0.2">
      <c r="A74" s="24" t="s">
        <v>37</v>
      </c>
    </row>
    <row r="75" spans="1:1" ht="70.5" customHeight="1" x14ac:dyDescent="0.2">
      <c r="A75" s="882" t="s">
        <v>38</v>
      </c>
    </row>
    <row r="76" spans="1:1" ht="103.5" customHeight="1" x14ac:dyDescent="0.2">
      <c r="A76" s="500" t="s">
        <v>39</v>
      </c>
    </row>
    <row r="77" spans="1:1" ht="81" customHeight="1" x14ac:dyDescent="0.2">
      <c r="A77" s="500" t="s">
        <v>40</v>
      </c>
    </row>
    <row r="78" spans="1:1" ht="93" customHeight="1" x14ac:dyDescent="0.2">
      <c r="A78" s="500" t="s">
        <v>41</v>
      </c>
    </row>
    <row r="79" spans="1:1" ht="138.75" customHeight="1" x14ac:dyDescent="0.2">
      <c r="A79" s="24" t="s">
        <v>42</v>
      </c>
    </row>
    <row r="80" spans="1:1" ht="83.25" customHeight="1" x14ac:dyDescent="0.2">
      <c r="A80" s="882" t="s">
        <v>43</v>
      </c>
    </row>
    <row r="81" spans="1:1" ht="123" customHeight="1" x14ac:dyDescent="0.2">
      <c r="A81" s="24" t="s">
        <v>44</v>
      </c>
    </row>
    <row r="82" spans="1:1" ht="135" customHeight="1" x14ac:dyDescent="0.2">
      <c r="A82" s="24" t="s">
        <v>45</v>
      </c>
    </row>
    <row r="83" spans="1:1" ht="65.25" customHeight="1" x14ac:dyDescent="0.2">
      <c r="A83" s="24" t="s">
        <v>46</v>
      </c>
    </row>
    <row r="84" spans="1:1" ht="114" customHeight="1" x14ac:dyDescent="0.2">
      <c r="A84" s="24" t="s">
        <v>47</v>
      </c>
    </row>
    <row r="85" spans="1:1" ht="61.5" customHeight="1" x14ac:dyDescent="0.2">
      <c r="A85" s="24" t="s">
        <v>48</v>
      </c>
    </row>
    <row r="86" spans="1:1" ht="117" customHeight="1" x14ac:dyDescent="0.2">
      <c r="A86" s="24" t="s">
        <v>49</v>
      </c>
    </row>
    <row r="87" spans="1:1" ht="117" customHeight="1" x14ac:dyDescent="0.2">
      <c r="A87" s="501" t="s">
        <v>50</v>
      </c>
    </row>
    <row r="88" spans="1:1" ht="117" customHeight="1" x14ac:dyDescent="0.2">
      <c r="A88" s="502" t="s">
        <v>51</v>
      </c>
    </row>
    <row r="89" spans="1:1" ht="77.25" customHeight="1" x14ac:dyDescent="0.2">
      <c r="A89" s="883" t="s">
        <v>52</v>
      </c>
    </row>
    <row r="90" spans="1:1" ht="94.5" customHeight="1" x14ac:dyDescent="0.2">
      <c r="A90" s="883" t="s">
        <v>67</v>
      </c>
    </row>
    <row r="91" spans="1:1" ht="15" customHeight="1" x14ac:dyDescent="0.2">
      <c r="A91" s="364"/>
    </row>
    <row r="92" spans="1:1" ht="67.5" customHeight="1" x14ac:dyDescent="0.2">
      <c r="A92" s="882" t="s">
        <v>462</v>
      </c>
    </row>
    <row r="93" spans="1:1" ht="29.25" customHeight="1" x14ac:dyDescent="0.2">
      <c r="A93" s="884" t="s">
        <v>463</v>
      </c>
    </row>
    <row r="94" spans="1:1" ht="44.25" customHeight="1" x14ac:dyDescent="0.2">
      <c r="A94" s="500" t="s">
        <v>53</v>
      </c>
    </row>
    <row r="95" spans="1:1" ht="129.75" customHeight="1" x14ac:dyDescent="0.2">
      <c r="A95" s="500" t="s">
        <v>54</v>
      </c>
    </row>
    <row r="96" spans="1:1" ht="155.25" customHeight="1" x14ac:dyDescent="0.2">
      <c r="A96" s="500" t="s">
        <v>55</v>
      </c>
    </row>
    <row r="97" spans="1:1" ht="84.75" customHeight="1" x14ac:dyDescent="0.2">
      <c r="A97" s="885" t="s">
        <v>56</v>
      </c>
    </row>
    <row r="98" spans="1:1" ht="89.25" customHeight="1" x14ac:dyDescent="0.2">
      <c r="A98" s="886" t="s">
        <v>57</v>
      </c>
    </row>
    <row r="99" spans="1:1" ht="15" customHeight="1" x14ac:dyDescent="0.2">
      <c r="A99" s="364"/>
    </row>
    <row r="100" spans="1:1" ht="150" customHeight="1" x14ac:dyDescent="0.2">
      <c r="A100" s="24" t="s">
        <v>58</v>
      </c>
    </row>
    <row r="101" spans="1:1" ht="138" customHeight="1" x14ac:dyDescent="0.2">
      <c r="A101" s="24" t="s">
        <v>59</v>
      </c>
    </row>
    <row r="102" spans="1:1" ht="74.25" customHeight="1" x14ac:dyDescent="0.2">
      <c r="A102" s="24" t="s">
        <v>60</v>
      </c>
    </row>
    <row r="103" spans="1:1" ht="28.5" customHeight="1" x14ac:dyDescent="0.2">
      <c r="A103" s="24" t="s">
        <v>61</v>
      </c>
    </row>
    <row r="104" spans="1:1" ht="15" customHeight="1" x14ac:dyDescent="0.2">
      <c r="A104" s="364"/>
    </row>
    <row r="105" spans="1:1" ht="68.25" customHeight="1" x14ac:dyDescent="0.2">
      <c r="A105" s="882" t="s">
        <v>62</v>
      </c>
    </row>
    <row r="106" spans="1:1" ht="15" customHeight="1" x14ac:dyDescent="0.2">
      <c r="A106" s="887"/>
    </row>
    <row r="107" spans="1:1" ht="67.5" customHeight="1" x14ac:dyDescent="0.2">
      <c r="A107" s="500" t="s">
        <v>63</v>
      </c>
    </row>
    <row r="108" spans="1:1" ht="125.25" customHeight="1" x14ac:dyDescent="0.2">
      <c r="A108" s="500" t="s">
        <v>64</v>
      </c>
    </row>
    <row r="109" spans="1:1" ht="134.25" customHeight="1" x14ac:dyDescent="0.2">
      <c r="A109" s="500" t="s">
        <v>65</v>
      </c>
    </row>
    <row r="110" spans="1:1" ht="59.25" customHeight="1" x14ac:dyDescent="0.2">
      <c r="A110" s="24"/>
    </row>
    <row r="111" spans="1:1" ht="30.75" customHeight="1" x14ac:dyDescent="0.2">
      <c r="A111" s="24"/>
    </row>
    <row r="112" spans="1:1" ht="15" customHeight="1" x14ac:dyDescent="0.2"/>
    <row r="113" spans="1:1" ht="36.75" customHeight="1" x14ac:dyDescent="0.2">
      <c r="A113" s="24"/>
    </row>
    <row r="114" spans="1:1" ht="34.5" customHeight="1" x14ac:dyDescent="0.2">
      <c r="A114" s="365"/>
    </row>
    <row r="115" spans="1:1" ht="99.75" customHeight="1" x14ac:dyDescent="0.2">
      <c r="A115" s="500"/>
    </row>
    <row r="116" spans="1:1" ht="34.5" customHeight="1" x14ac:dyDescent="0.2">
      <c r="A116" s="500"/>
    </row>
    <row r="117" spans="1:1" ht="85.5" customHeight="1" x14ac:dyDescent="0.2">
      <c r="A117" s="500"/>
    </row>
    <row r="118" spans="1:1" ht="91.5" customHeight="1" x14ac:dyDescent="0.2">
      <c r="A118" s="500"/>
    </row>
    <row r="119" spans="1:1" ht="58.5" customHeight="1" x14ac:dyDescent="0.2">
      <c r="A119" s="365"/>
    </row>
    <row r="120" spans="1:1" ht="66" customHeight="1" x14ac:dyDescent="0.2">
      <c r="A120" s="365"/>
    </row>
    <row r="121" spans="1:1" ht="16.5" customHeight="1" x14ac:dyDescent="0.2">
      <c r="A121" s="24"/>
    </row>
    <row r="122" spans="1:1" ht="72.75" customHeight="1" x14ac:dyDescent="0.2">
      <c r="A122" s="24"/>
    </row>
    <row r="124" spans="1:1" ht="69" customHeight="1" x14ac:dyDescent="0.2">
      <c r="A124" s="500"/>
    </row>
    <row r="125" spans="1:1" ht="110.25" customHeight="1" x14ac:dyDescent="0.2">
      <c r="A125" s="500"/>
    </row>
    <row r="126" spans="1:1" ht="132" customHeight="1" x14ac:dyDescent="0.2">
      <c r="A126" s="500"/>
    </row>
  </sheetData>
  <sheetProtection sheet="1"/>
  <phoneticPr fontId="0" type="noConversion"/>
  <pageMargins left="0.5" right="0.5" top="0.5" bottom="0.5" header="0.5" footer="0"/>
  <pageSetup scale="90"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43"/>
  <sheetViews>
    <sheetView zoomScale="75" zoomScaleNormal="75" workbookViewId="0">
      <selection activeCell="G10" sqref="G10"/>
    </sheetView>
  </sheetViews>
  <sheetFormatPr defaultRowHeight="15.75" x14ac:dyDescent="0.2"/>
  <cols>
    <col min="1" max="1" width="8.88671875" style="34"/>
    <col min="2" max="2" width="20.77734375" style="34" customWidth="1"/>
    <col min="3" max="3" width="9.33203125" style="34" customWidth="1"/>
    <col min="4" max="4" width="8.6640625" style="34" customWidth="1"/>
    <col min="5" max="5" width="8.77734375" style="34" customWidth="1"/>
    <col min="6" max="6" width="12.77734375" style="34" customWidth="1"/>
    <col min="7" max="7" width="14.33203125" style="34" customWidth="1"/>
    <col min="8" max="13" width="9.77734375" style="34" customWidth="1"/>
    <col min="14" max="16384" width="8.88671875" style="34"/>
  </cols>
  <sheetData>
    <row r="1" spans="2:13" x14ac:dyDescent="0.2">
      <c r="B1" s="188" t="str">
        <f>inputPrYr!$D$2</f>
        <v>City of Osawatomie</v>
      </c>
      <c r="C1" s="36"/>
      <c r="D1" s="36"/>
      <c r="E1" s="36"/>
      <c r="F1" s="36"/>
      <c r="G1" s="36"/>
      <c r="H1" s="36"/>
      <c r="I1" s="36"/>
      <c r="J1" s="36"/>
      <c r="K1" s="36"/>
      <c r="L1" s="36"/>
      <c r="M1" s="209">
        <f>inputPrYr!$C$5</f>
        <v>2014</v>
      </c>
    </row>
    <row r="2" spans="2:13" x14ac:dyDescent="0.2">
      <c r="B2" s="188"/>
      <c r="C2" s="36"/>
      <c r="D2" s="36"/>
      <c r="E2" s="36"/>
      <c r="F2" s="36"/>
      <c r="G2" s="36"/>
      <c r="H2" s="36"/>
      <c r="I2" s="36"/>
      <c r="J2" s="36"/>
      <c r="K2" s="36"/>
      <c r="L2" s="36"/>
      <c r="M2" s="160"/>
    </row>
    <row r="3" spans="2:13" x14ac:dyDescent="0.2">
      <c r="B3" s="210" t="s">
        <v>919</v>
      </c>
      <c r="C3" s="45"/>
      <c r="D3" s="45"/>
      <c r="E3" s="45"/>
      <c r="F3" s="45"/>
      <c r="G3" s="45"/>
      <c r="H3" s="45"/>
      <c r="I3" s="45"/>
      <c r="J3" s="45"/>
      <c r="K3" s="45"/>
      <c r="L3" s="45"/>
      <c r="M3" s="45"/>
    </row>
    <row r="4" spans="2:13" ht="10.5" customHeight="1" x14ac:dyDescent="0.2">
      <c r="B4" s="36"/>
      <c r="C4" s="211"/>
      <c r="D4" s="211"/>
      <c r="E4" s="211"/>
      <c r="F4" s="211"/>
      <c r="G4" s="211"/>
      <c r="H4" s="211"/>
      <c r="I4" s="211"/>
      <c r="J4" s="211"/>
      <c r="K4" s="211"/>
      <c r="L4" s="211"/>
      <c r="M4" s="211"/>
    </row>
    <row r="5" spans="2:13" ht="18" customHeight="1" x14ac:dyDescent="0.2">
      <c r="B5" s="143"/>
      <c r="C5" s="190" t="s">
        <v>887</v>
      </c>
      <c r="D5" s="190" t="s">
        <v>887</v>
      </c>
      <c r="E5" s="190" t="s">
        <v>901</v>
      </c>
      <c r="F5" s="190"/>
      <c r="G5" s="190" t="s">
        <v>1024</v>
      </c>
      <c r="H5" s="36"/>
      <c r="I5" s="36"/>
      <c r="J5" s="212" t="s">
        <v>888</v>
      </c>
      <c r="K5" s="213"/>
      <c r="L5" s="212" t="s">
        <v>888</v>
      </c>
      <c r="M5" s="213"/>
    </row>
    <row r="6" spans="2:13" x14ac:dyDescent="0.2">
      <c r="B6" s="214" t="s">
        <v>753</v>
      </c>
      <c r="C6" s="214" t="s">
        <v>889</v>
      </c>
      <c r="D6" s="214" t="s">
        <v>1025</v>
      </c>
      <c r="E6" s="214" t="s">
        <v>890</v>
      </c>
      <c r="F6" s="214" t="s">
        <v>843</v>
      </c>
      <c r="G6" s="214" t="s">
        <v>1026</v>
      </c>
      <c r="H6" s="960" t="s">
        <v>891</v>
      </c>
      <c r="I6" s="961"/>
      <c r="J6" s="962">
        <f>M1-1</f>
        <v>2013</v>
      </c>
      <c r="K6" s="963"/>
      <c r="L6" s="962">
        <f>M1</f>
        <v>2014</v>
      </c>
      <c r="M6" s="963"/>
    </row>
    <row r="7" spans="2:13" x14ac:dyDescent="0.2">
      <c r="B7" s="192" t="s">
        <v>752</v>
      </c>
      <c r="C7" s="192" t="s">
        <v>892</v>
      </c>
      <c r="D7" s="192" t="s">
        <v>1027</v>
      </c>
      <c r="E7" s="192" t="s">
        <v>868</v>
      </c>
      <c r="F7" s="192" t="s">
        <v>893</v>
      </c>
      <c r="G7" s="215" t="str">
        <f>CONCATENATE("Jan 1,",M1-1,"")</f>
        <v>Jan 1,2013</v>
      </c>
      <c r="H7" s="147" t="s">
        <v>901</v>
      </c>
      <c r="I7" s="147" t="s">
        <v>903</v>
      </c>
      <c r="J7" s="147" t="s">
        <v>901</v>
      </c>
      <c r="K7" s="147" t="s">
        <v>903</v>
      </c>
      <c r="L7" s="147" t="s">
        <v>901</v>
      </c>
      <c r="M7" s="147" t="s">
        <v>903</v>
      </c>
    </row>
    <row r="8" spans="2:13" x14ac:dyDescent="0.2">
      <c r="B8" s="216" t="s">
        <v>894</v>
      </c>
      <c r="C8" s="54"/>
      <c r="D8" s="54"/>
      <c r="E8" s="217"/>
      <c r="F8" s="218"/>
      <c r="G8" s="218"/>
      <c r="H8" s="54"/>
      <c r="I8" s="54"/>
      <c r="J8" s="218"/>
      <c r="K8" s="218"/>
      <c r="L8" s="218"/>
      <c r="M8" s="218"/>
    </row>
    <row r="9" spans="2:13" x14ac:dyDescent="0.25">
      <c r="B9" s="901" t="s">
        <v>112</v>
      </c>
      <c r="C9" s="903">
        <v>39753</v>
      </c>
      <c r="D9" s="903">
        <v>17777</v>
      </c>
      <c r="E9" s="904">
        <v>4.5</v>
      </c>
      <c r="F9" s="905">
        <v>3550000</v>
      </c>
      <c r="G9" s="906">
        <v>3413000</v>
      </c>
      <c r="H9" s="907">
        <v>40114</v>
      </c>
      <c r="I9" s="907">
        <v>40114</v>
      </c>
      <c r="J9" s="906">
        <v>153585</v>
      </c>
      <c r="K9" s="906">
        <v>39000</v>
      </c>
      <c r="L9" s="906">
        <v>151830</v>
      </c>
      <c r="M9" s="906">
        <v>42000</v>
      </c>
    </row>
    <row r="10" spans="2:13" x14ac:dyDescent="0.25">
      <c r="B10" s="901" t="s">
        <v>111</v>
      </c>
      <c r="C10" s="903">
        <v>39753</v>
      </c>
      <c r="D10" s="903">
        <v>46997</v>
      </c>
      <c r="E10" s="904" t="s">
        <v>114</v>
      </c>
      <c r="F10" s="905">
        <v>2435000</v>
      </c>
      <c r="G10" s="906">
        <v>2195000</v>
      </c>
      <c r="H10" s="907" t="s">
        <v>113</v>
      </c>
      <c r="I10" s="907">
        <v>39692</v>
      </c>
      <c r="J10" s="906">
        <f>49701.25*2</f>
        <v>99402.5</v>
      </c>
      <c r="K10" s="906">
        <v>75000</v>
      </c>
      <c r="L10" s="906">
        <v>95465</v>
      </c>
      <c r="M10" s="906">
        <v>80000</v>
      </c>
    </row>
    <row r="11" spans="2:13" x14ac:dyDescent="0.25">
      <c r="B11" s="902" t="s">
        <v>227</v>
      </c>
      <c r="C11" s="369">
        <v>41037</v>
      </c>
      <c r="D11" s="369">
        <v>46631</v>
      </c>
      <c r="E11" s="219" t="s">
        <v>228</v>
      </c>
      <c r="F11" s="220">
        <v>2810000</v>
      </c>
      <c r="G11" s="221">
        <v>2640000</v>
      </c>
      <c r="H11" s="907" t="s">
        <v>113</v>
      </c>
      <c r="I11" s="907">
        <v>39692</v>
      </c>
      <c r="J11" s="221">
        <f>27900*2</f>
        <v>55800</v>
      </c>
      <c r="K11" s="221">
        <v>330000</v>
      </c>
      <c r="L11" s="221">
        <f>24600*2</f>
        <v>49200</v>
      </c>
      <c r="M11" s="221">
        <v>335000</v>
      </c>
    </row>
    <row r="12" spans="2:13" x14ac:dyDescent="0.25">
      <c r="B12" s="902"/>
      <c r="C12" s="369"/>
      <c r="D12" s="369"/>
      <c r="E12" s="219"/>
      <c r="F12" s="220"/>
      <c r="G12" s="221"/>
      <c r="H12" s="907"/>
      <c r="I12" s="907"/>
      <c r="J12" s="221"/>
      <c r="K12" s="221"/>
      <c r="L12" s="221"/>
      <c r="M12" s="221"/>
    </row>
    <row r="13" spans="2:13" x14ac:dyDescent="0.2">
      <c r="B13" s="58"/>
      <c r="C13" s="369"/>
      <c r="D13" s="369"/>
      <c r="E13" s="219"/>
      <c r="F13" s="220"/>
      <c r="G13" s="221"/>
      <c r="H13" s="222"/>
      <c r="I13" s="222"/>
      <c r="J13" s="221"/>
      <c r="K13" s="221"/>
      <c r="L13" s="221"/>
      <c r="M13" s="221"/>
    </row>
    <row r="14" spans="2:13" x14ac:dyDescent="0.25">
      <c r="B14" s="914"/>
      <c r="C14" s="903"/>
      <c r="D14" s="903"/>
      <c r="E14" s="904"/>
      <c r="F14" s="905"/>
      <c r="G14" s="906"/>
      <c r="H14" s="907"/>
      <c r="I14" s="907"/>
      <c r="J14" s="906"/>
      <c r="K14" s="906"/>
      <c r="L14" s="906"/>
      <c r="M14" s="906"/>
    </row>
    <row r="15" spans="2:13" x14ac:dyDescent="0.2">
      <c r="B15" s="58"/>
      <c r="C15" s="369"/>
      <c r="D15" s="369"/>
      <c r="E15" s="219"/>
      <c r="F15" s="220"/>
      <c r="G15" s="221"/>
      <c r="H15" s="222"/>
      <c r="I15" s="222"/>
      <c r="J15" s="221"/>
      <c r="K15" s="221"/>
      <c r="L15" s="221"/>
      <c r="M15" s="221"/>
    </row>
    <row r="16" spans="2:13" x14ac:dyDescent="0.2">
      <c r="B16" s="58"/>
      <c r="C16" s="369"/>
      <c r="D16" s="369"/>
      <c r="E16" s="219"/>
      <c r="F16" s="220"/>
      <c r="G16" s="221"/>
      <c r="H16" s="222"/>
      <c r="I16" s="222"/>
      <c r="J16" s="221"/>
      <c r="K16" s="221"/>
      <c r="L16" s="221"/>
      <c r="M16" s="221"/>
    </row>
    <row r="17" spans="2:14" x14ac:dyDescent="0.2">
      <c r="B17" s="58"/>
      <c r="C17" s="369"/>
      <c r="D17" s="369"/>
      <c r="E17" s="219"/>
      <c r="F17" s="220"/>
      <c r="G17" s="221"/>
      <c r="H17" s="222"/>
      <c r="I17" s="222"/>
      <c r="J17" s="221"/>
      <c r="K17" s="221"/>
      <c r="L17" s="221"/>
      <c r="M17" s="221"/>
    </row>
    <row r="18" spans="2:14" x14ac:dyDescent="0.2">
      <c r="B18" s="223" t="s">
        <v>895</v>
      </c>
      <c r="C18" s="224"/>
      <c r="D18" s="224"/>
      <c r="E18" s="225"/>
      <c r="F18" s="226"/>
      <c r="G18" s="227">
        <f>SUM(G9:G17)</f>
        <v>8248000</v>
      </c>
      <c r="H18" s="228"/>
      <c r="I18" s="228"/>
      <c r="J18" s="227">
        <f>SUM(J9:J17)</f>
        <v>308787.5</v>
      </c>
      <c r="K18" s="227">
        <f>SUM(K9:K17)</f>
        <v>444000</v>
      </c>
      <c r="L18" s="227">
        <f>SUM(L9:L17)</f>
        <v>296495</v>
      </c>
      <c r="M18" s="227">
        <f>SUM(M9:M17)</f>
        <v>457000</v>
      </c>
      <c r="N18" s="236"/>
    </row>
    <row r="19" spans="2:14" x14ac:dyDescent="0.2">
      <c r="B19" s="216" t="s">
        <v>896</v>
      </c>
      <c r="C19" s="229"/>
      <c r="D19" s="229"/>
      <c r="E19" s="230"/>
      <c r="F19" s="231"/>
      <c r="G19" s="231"/>
      <c r="H19" s="232"/>
      <c r="I19" s="232"/>
      <c r="J19" s="231"/>
      <c r="K19" s="231"/>
      <c r="L19" s="231"/>
      <c r="M19" s="231"/>
    </row>
    <row r="20" spans="2:14" x14ac:dyDescent="0.25">
      <c r="B20" s="902"/>
      <c r="C20" s="369"/>
      <c r="D20" s="369"/>
      <c r="E20" s="219"/>
      <c r="F20" s="220"/>
      <c r="G20" s="221"/>
      <c r="H20" s="222"/>
      <c r="I20" s="222"/>
      <c r="J20" s="221"/>
      <c r="K20" s="221"/>
      <c r="L20" s="221"/>
      <c r="M20" s="221"/>
    </row>
    <row r="21" spans="2:14" x14ac:dyDescent="0.2">
      <c r="B21" s="58"/>
      <c r="C21" s="369"/>
      <c r="D21" s="369"/>
      <c r="E21" s="219"/>
      <c r="F21" s="220"/>
      <c r="G21" s="221"/>
      <c r="H21" s="222"/>
      <c r="I21" s="222"/>
      <c r="J21" s="221"/>
      <c r="K21" s="221"/>
      <c r="L21" s="221"/>
      <c r="M21" s="221"/>
    </row>
    <row r="22" spans="2:14" x14ac:dyDescent="0.2">
      <c r="B22" s="58"/>
      <c r="C22" s="369"/>
      <c r="D22" s="369"/>
      <c r="E22" s="219"/>
      <c r="F22" s="220"/>
      <c r="G22" s="221"/>
      <c r="H22" s="222"/>
      <c r="I22" s="222"/>
      <c r="J22" s="221"/>
      <c r="K22" s="221"/>
      <c r="L22" s="221"/>
      <c r="M22" s="221"/>
    </row>
    <row r="23" spans="2:14" x14ac:dyDescent="0.2">
      <c r="B23" s="58"/>
      <c r="C23" s="369"/>
      <c r="D23" s="369"/>
      <c r="E23" s="219"/>
      <c r="F23" s="220"/>
      <c r="G23" s="221"/>
      <c r="H23" s="222"/>
      <c r="I23" s="222"/>
      <c r="J23" s="221"/>
      <c r="K23" s="221"/>
      <c r="L23" s="221"/>
      <c r="M23" s="221"/>
    </row>
    <row r="24" spans="2:14" x14ac:dyDescent="0.2">
      <c r="B24" s="58"/>
      <c r="C24" s="369"/>
      <c r="D24" s="369"/>
      <c r="E24" s="219"/>
      <c r="F24" s="220"/>
      <c r="G24" s="221"/>
      <c r="H24" s="222"/>
      <c r="I24" s="222"/>
      <c r="J24" s="221"/>
      <c r="K24" s="221"/>
      <c r="L24" s="221"/>
      <c r="M24" s="221"/>
    </row>
    <row r="25" spans="2:14" x14ac:dyDescent="0.2">
      <c r="B25" s="58"/>
      <c r="C25" s="369"/>
      <c r="D25" s="369"/>
      <c r="E25" s="219"/>
      <c r="F25" s="220"/>
      <c r="G25" s="221"/>
      <c r="H25" s="222"/>
      <c r="I25" s="222"/>
      <c r="J25" s="221"/>
      <c r="K25" s="221"/>
      <c r="L25" s="221"/>
      <c r="M25" s="221"/>
    </row>
    <row r="26" spans="2:14" x14ac:dyDescent="0.2">
      <c r="B26" s="58"/>
      <c r="C26" s="369"/>
      <c r="D26" s="369"/>
      <c r="E26" s="219"/>
      <c r="F26" s="220"/>
      <c r="G26" s="221"/>
      <c r="H26" s="222"/>
      <c r="I26" s="222"/>
      <c r="J26" s="221"/>
      <c r="K26" s="221"/>
      <c r="L26" s="221"/>
      <c r="M26" s="221"/>
    </row>
    <row r="27" spans="2:14" x14ac:dyDescent="0.2">
      <c r="B27" s="223" t="s">
        <v>897</v>
      </c>
      <c r="C27" s="224"/>
      <c r="D27" s="224"/>
      <c r="E27" s="233"/>
      <c r="F27" s="226"/>
      <c r="G27" s="234">
        <f>SUM(G20:G26)</f>
        <v>0</v>
      </c>
      <c r="H27" s="228"/>
      <c r="I27" s="228"/>
      <c r="J27" s="234">
        <f>SUM(J20:J26)</f>
        <v>0</v>
      </c>
      <c r="K27" s="234">
        <f>SUM(K20:K26)</f>
        <v>0</v>
      </c>
      <c r="L27" s="227">
        <f>SUM(L20:L26)</f>
        <v>0</v>
      </c>
      <c r="M27" s="234">
        <f>SUM(M20:M26)</f>
        <v>0</v>
      </c>
    </row>
    <row r="28" spans="2:14" x14ac:dyDescent="0.2">
      <c r="B28" s="216" t="s">
        <v>898</v>
      </c>
      <c r="C28" s="229"/>
      <c r="D28" s="229"/>
      <c r="E28" s="230"/>
      <c r="F28" s="231"/>
      <c r="G28" s="235"/>
      <c r="H28" s="232"/>
      <c r="I28" s="232"/>
      <c r="J28" s="231"/>
      <c r="K28" s="231"/>
      <c r="L28" s="231"/>
      <c r="M28" s="231"/>
    </row>
    <row r="29" spans="2:14" x14ac:dyDescent="0.25">
      <c r="B29" s="901"/>
      <c r="C29" s="903"/>
      <c r="D29" s="903"/>
      <c r="E29" s="904"/>
      <c r="F29" s="905"/>
      <c r="G29" s="906"/>
      <c r="H29" s="907"/>
      <c r="I29" s="907"/>
      <c r="J29" s="906"/>
      <c r="K29" s="906"/>
      <c r="L29" s="906"/>
      <c r="M29" s="906"/>
    </row>
    <row r="30" spans="2:14" x14ac:dyDescent="0.25">
      <c r="B30" s="901"/>
      <c r="C30" s="903"/>
      <c r="D30" s="903"/>
      <c r="E30" s="904"/>
      <c r="F30" s="905"/>
      <c r="G30" s="906"/>
      <c r="H30" s="907"/>
      <c r="I30" s="907"/>
      <c r="J30" s="906"/>
      <c r="K30" s="906"/>
      <c r="L30" s="906"/>
      <c r="M30" s="906"/>
    </row>
    <row r="31" spans="2:14" x14ac:dyDescent="0.25">
      <c r="B31" s="901"/>
      <c r="C31" s="903"/>
      <c r="D31" s="903"/>
      <c r="E31" s="904"/>
      <c r="F31" s="905"/>
      <c r="G31" s="906"/>
      <c r="H31" s="907"/>
      <c r="I31" s="907"/>
      <c r="J31" s="906"/>
      <c r="K31" s="906"/>
      <c r="L31" s="906"/>
      <c r="M31" s="906"/>
    </row>
    <row r="32" spans="2:14" x14ac:dyDescent="0.2">
      <c r="B32" s="58"/>
      <c r="C32" s="369"/>
      <c r="D32" s="369"/>
      <c r="E32" s="219"/>
      <c r="F32" s="220"/>
      <c r="G32" s="221"/>
      <c r="H32" s="222"/>
      <c r="I32" s="222"/>
      <c r="J32" s="221"/>
      <c r="K32" s="221"/>
      <c r="L32" s="221"/>
      <c r="M32" s="221"/>
    </row>
    <row r="33" spans="2:29" x14ac:dyDescent="0.2">
      <c r="B33" s="914"/>
      <c r="C33" s="369"/>
      <c r="D33" s="369"/>
      <c r="E33" s="219"/>
      <c r="F33" s="220"/>
      <c r="G33" s="221"/>
      <c r="H33" s="222"/>
      <c r="I33" s="222"/>
      <c r="J33" s="221"/>
      <c r="K33" s="221"/>
      <c r="L33" s="221"/>
      <c r="M33" s="221"/>
    </row>
    <row r="34" spans="2:29" x14ac:dyDescent="0.2">
      <c r="B34" s="58"/>
      <c r="C34" s="369"/>
      <c r="D34" s="369"/>
      <c r="E34" s="219"/>
      <c r="F34" s="220"/>
      <c r="G34" s="221"/>
      <c r="H34" s="222"/>
      <c r="I34" s="222"/>
      <c r="J34" s="221"/>
      <c r="K34" s="221"/>
      <c r="L34" s="221"/>
      <c r="M34" s="221"/>
    </row>
    <row r="35" spans="2:29" x14ac:dyDescent="0.2">
      <c r="B35" s="58"/>
      <c r="C35" s="369"/>
      <c r="D35" s="369"/>
      <c r="E35" s="219"/>
      <c r="F35" s="220"/>
      <c r="G35" s="221"/>
      <c r="H35" s="222"/>
      <c r="I35" s="222"/>
      <c r="J35" s="221"/>
      <c r="K35" s="221"/>
      <c r="L35" s="221"/>
      <c r="M35" s="221"/>
    </row>
    <row r="36" spans="2:29" x14ac:dyDescent="0.2">
      <c r="B36" s="58"/>
      <c r="C36" s="369"/>
      <c r="D36" s="369"/>
      <c r="E36" s="219"/>
      <c r="F36" s="220"/>
      <c r="G36" s="221"/>
      <c r="H36" s="222"/>
      <c r="I36" s="222"/>
      <c r="J36" s="221"/>
      <c r="K36" s="221"/>
      <c r="L36" s="221"/>
      <c r="M36" s="221"/>
      <c r="N36" s="21"/>
      <c r="O36" s="21"/>
      <c r="P36" s="21"/>
      <c r="Q36" s="21"/>
      <c r="R36" s="21"/>
      <c r="S36" s="21"/>
      <c r="T36" s="21"/>
      <c r="U36" s="21"/>
      <c r="V36" s="21"/>
      <c r="W36" s="21"/>
      <c r="X36" s="21"/>
      <c r="Y36" s="21"/>
      <c r="Z36" s="21"/>
      <c r="AA36" s="21"/>
      <c r="AB36" s="21"/>
      <c r="AC36" s="21"/>
    </row>
    <row r="37" spans="2:29" x14ac:dyDescent="0.2">
      <c r="B37" s="223" t="s">
        <v>1028</v>
      </c>
      <c r="C37" s="204"/>
      <c r="D37" s="204"/>
      <c r="E37" s="233"/>
      <c r="F37" s="226"/>
      <c r="G37" s="234">
        <f>SUM(G29:G36)</f>
        <v>0</v>
      </c>
      <c r="H37" s="226"/>
      <c r="I37" s="226"/>
      <c r="J37" s="234">
        <f>SUM(J29:J36)</f>
        <v>0</v>
      </c>
      <c r="K37" s="234">
        <f>SUM(K29:K36)</f>
        <v>0</v>
      </c>
      <c r="L37" s="234">
        <f>SUM(L29:L36)</f>
        <v>0</v>
      </c>
      <c r="M37" s="234">
        <f>SUM(M29:M36)</f>
        <v>0</v>
      </c>
    </row>
    <row r="38" spans="2:29" x14ac:dyDescent="0.2">
      <c r="B38" s="223" t="s">
        <v>899</v>
      </c>
      <c r="C38" s="204"/>
      <c r="D38" s="204"/>
      <c r="E38" s="204"/>
      <c r="F38" s="226"/>
      <c r="G38" s="234">
        <f>SUM(G18+G27+G37)</f>
        <v>8248000</v>
      </c>
      <c r="H38" s="226"/>
      <c r="I38" s="226"/>
      <c r="J38" s="234">
        <f>SUM(J18+J27+J37)</f>
        <v>308787.5</v>
      </c>
      <c r="K38" s="234">
        <f>SUM(K18+K27+K37)</f>
        <v>444000</v>
      </c>
      <c r="L38" s="234">
        <f>SUM(L18+L27+L37)</f>
        <v>296495</v>
      </c>
      <c r="M38" s="234">
        <f>SUM(M18+M27+M37)</f>
        <v>457000</v>
      </c>
    </row>
    <row r="39" spans="2:29" x14ac:dyDescent="0.2">
      <c r="B39" s="21"/>
      <c r="C39" s="21"/>
      <c r="D39" s="21"/>
      <c r="E39" s="21"/>
      <c r="F39" s="21"/>
      <c r="G39" s="21"/>
      <c r="H39" s="21"/>
      <c r="I39" s="21"/>
      <c r="J39" s="21"/>
      <c r="K39" s="21"/>
      <c r="L39" s="21"/>
      <c r="M39" s="21"/>
    </row>
    <row r="40" spans="2:29" x14ac:dyDescent="0.2">
      <c r="F40" s="236"/>
      <c r="G40" s="236"/>
      <c r="J40" s="236"/>
      <c r="K40" s="236"/>
      <c r="L40" s="236"/>
      <c r="M40" s="236"/>
    </row>
    <row r="41" spans="2:29" x14ac:dyDescent="0.2">
      <c r="F41" s="21"/>
      <c r="H41" s="237"/>
      <c r="N41" s="21"/>
    </row>
    <row r="42" spans="2:29" x14ac:dyDescent="0.2">
      <c r="B42" s="21"/>
      <c r="C42" s="21"/>
      <c r="D42" s="21"/>
      <c r="E42" s="21"/>
      <c r="F42" s="21"/>
      <c r="G42" s="21"/>
      <c r="H42" s="21"/>
      <c r="I42" s="21"/>
      <c r="J42" s="21"/>
      <c r="K42" s="21"/>
      <c r="L42" s="21"/>
      <c r="M42" s="21"/>
    </row>
    <row r="43" spans="2:29" x14ac:dyDescent="0.2">
      <c r="B43" s="21"/>
      <c r="C43" s="21"/>
      <c r="D43" s="21"/>
      <c r="E43" s="21"/>
      <c r="F43" s="21"/>
      <c r="G43" s="21"/>
      <c r="H43" s="21"/>
      <c r="I43" s="21"/>
      <c r="J43" s="21"/>
      <c r="K43" s="21"/>
      <c r="L43" s="21"/>
      <c r="M43" s="21"/>
    </row>
  </sheetData>
  <mergeCells count="3">
    <mergeCell ref="H6:I6"/>
    <mergeCell ref="J6:K6"/>
    <mergeCell ref="L6:M6"/>
  </mergeCells>
  <phoneticPr fontId="0" type="noConversion"/>
  <printOptions horizontalCentered="1"/>
  <pageMargins left="0.5" right="0.5" top="0.5" bottom="0.5" header="0.3" footer="0.3"/>
  <pageSetup scale="80" orientation="landscape" blackAndWhite="1" horizontalDpi="120" verticalDpi="144"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zoomScale="75" zoomScaleNormal="75" workbookViewId="0">
      <selection activeCell="D10" sqref="D10"/>
    </sheetView>
  </sheetViews>
  <sheetFormatPr defaultRowHeight="15.75" x14ac:dyDescent="0.25"/>
  <cols>
    <col min="1" max="1" width="8.88671875" style="2"/>
    <col min="2" max="2" width="23.5546875" style="2" customWidth="1"/>
    <col min="3" max="5" width="9.77734375" style="2" customWidth="1"/>
    <col min="6" max="6" width="18.33203125" style="2" customWidth="1"/>
    <col min="7" max="9" width="15.77734375" style="2" customWidth="1"/>
    <col min="10" max="16384" width="8.88671875" style="2"/>
  </cols>
  <sheetData>
    <row r="1" spans="1:13" x14ac:dyDescent="0.25">
      <c r="A1" s="763"/>
      <c r="B1" s="9" t="str">
        <f>inputPrYr!$D$2</f>
        <v>City of Osawatomie</v>
      </c>
      <c r="C1" s="4"/>
      <c r="D1" s="4"/>
      <c r="E1" s="4"/>
      <c r="F1" s="4"/>
      <c r="G1" s="4"/>
      <c r="H1" s="4"/>
      <c r="I1" s="14">
        <f>inputPrYr!C5</f>
        <v>2014</v>
      </c>
      <c r="J1" s="763"/>
    </row>
    <row r="2" spans="1:13" x14ac:dyDescent="0.25">
      <c r="A2" s="763"/>
      <c r="B2" s="9"/>
      <c r="C2" s="4"/>
      <c r="D2" s="4"/>
      <c r="E2" s="4"/>
      <c r="F2" s="4"/>
      <c r="G2" s="4"/>
      <c r="H2" s="4"/>
      <c r="I2" s="6"/>
      <c r="J2" s="763"/>
    </row>
    <row r="3" spans="1:13" x14ac:dyDescent="0.25">
      <c r="A3" s="763"/>
      <c r="B3" s="4"/>
      <c r="C3" s="4"/>
      <c r="D3" s="4"/>
      <c r="E3" s="4"/>
      <c r="F3" s="4"/>
      <c r="G3" s="4"/>
      <c r="H3" s="4"/>
      <c r="I3" s="5"/>
      <c r="J3" s="763"/>
    </row>
    <row r="4" spans="1:13" x14ac:dyDescent="0.25">
      <c r="A4" s="763"/>
      <c r="B4" s="10" t="s">
        <v>913</v>
      </c>
      <c r="C4" s="7"/>
      <c r="D4" s="7"/>
      <c r="E4" s="7"/>
      <c r="F4" s="7"/>
      <c r="G4" s="7"/>
      <c r="H4" s="7"/>
      <c r="I4" s="7"/>
      <c r="J4" s="763"/>
    </row>
    <row r="5" spans="1:13" x14ac:dyDescent="0.25">
      <c r="A5" s="763"/>
      <c r="B5" s="3"/>
      <c r="C5" s="11"/>
      <c r="D5" s="11"/>
      <c r="E5" s="11"/>
      <c r="F5" s="11"/>
      <c r="G5" s="11"/>
      <c r="H5" s="11"/>
      <c r="I5" s="11"/>
      <c r="J5" s="763"/>
    </row>
    <row r="6" spans="1:13" x14ac:dyDescent="0.25">
      <c r="A6" s="763"/>
      <c r="B6" s="8"/>
      <c r="C6" s="190"/>
      <c r="D6" s="190"/>
      <c r="E6" s="190"/>
      <c r="F6" s="190" t="s">
        <v>822</v>
      </c>
      <c r="G6" s="190"/>
      <c r="H6" s="190"/>
      <c r="I6" s="190"/>
      <c r="J6" s="763"/>
    </row>
    <row r="7" spans="1:13" x14ac:dyDescent="0.25">
      <c r="A7" s="763"/>
      <c r="B7" s="740"/>
      <c r="C7" s="214"/>
      <c r="D7" s="214" t="s">
        <v>900</v>
      </c>
      <c r="E7" s="214" t="s">
        <v>901</v>
      </c>
      <c r="F7" s="214" t="s">
        <v>843</v>
      </c>
      <c r="G7" s="214" t="s">
        <v>903</v>
      </c>
      <c r="H7" s="214" t="s">
        <v>904</v>
      </c>
      <c r="I7" s="214" t="s">
        <v>904</v>
      </c>
      <c r="J7" s="763"/>
    </row>
    <row r="8" spans="1:13" x14ac:dyDescent="0.25">
      <c r="A8" s="763"/>
      <c r="B8" s="214" t="s">
        <v>755</v>
      </c>
      <c r="C8" s="214" t="s">
        <v>905</v>
      </c>
      <c r="D8" s="214" t="s">
        <v>906</v>
      </c>
      <c r="E8" s="214" t="s">
        <v>890</v>
      </c>
      <c r="F8" s="214" t="s">
        <v>907</v>
      </c>
      <c r="G8" s="214" t="s">
        <v>952</v>
      </c>
      <c r="H8" s="214" t="s">
        <v>908</v>
      </c>
      <c r="I8" s="214" t="s">
        <v>908</v>
      </c>
      <c r="J8" s="763"/>
    </row>
    <row r="9" spans="1:13" x14ac:dyDescent="0.25">
      <c r="A9" s="763"/>
      <c r="B9" s="192" t="s">
        <v>754</v>
      </c>
      <c r="C9" s="192" t="s">
        <v>887</v>
      </c>
      <c r="D9" s="741" t="s">
        <v>909</v>
      </c>
      <c r="E9" s="192" t="s">
        <v>868</v>
      </c>
      <c r="F9" s="741" t="s">
        <v>977</v>
      </c>
      <c r="G9" s="742" t="str">
        <f>CONCATENATE("Jan 1,",I1-1,"")</f>
        <v>Jan 1,2013</v>
      </c>
      <c r="H9" s="192">
        <f>I1-1</f>
        <v>2013</v>
      </c>
      <c r="I9" s="192">
        <f>I1</f>
        <v>2014</v>
      </c>
      <c r="J9" s="763"/>
    </row>
    <row r="10" spans="1:13" x14ac:dyDescent="0.25">
      <c r="A10" s="763"/>
      <c r="B10" s="901" t="s">
        <v>236</v>
      </c>
      <c r="C10" s="369">
        <v>40991</v>
      </c>
      <c r="D10" s="744">
        <v>114</v>
      </c>
      <c r="E10" s="219">
        <v>3.25</v>
      </c>
      <c r="F10" s="220">
        <v>147514</v>
      </c>
      <c r="G10" s="220">
        <v>132781</v>
      </c>
      <c r="H10" s="905">
        <v>17290</v>
      </c>
      <c r="I10" s="905">
        <v>17290</v>
      </c>
      <c r="J10" s="763"/>
      <c r="M10" s="918"/>
    </row>
    <row r="11" spans="1:13" x14ac:dyDescent="0.25">
      <c r="A11" s="763"/>
      <c r="B11" s="902"/>
      <c r="C11" s="908"/>
      <c r="D11" s="909"/>
      <c r="E11" s="904"/>
      <c r="F11" s="905"/>
      <c r="G11" s="905"/>
      <c r="H11" s="905"/>
      <c r="I11" s="905"/>
      <c r="J11" s="763"/>
      <c r="M11" s="918"/>
    </row>
    <row r="12" spans="1:13" x14ac:dyDescent="0.25">
      <c r="A12" s="763"/>
      <c r="B12" s="901"/>
      <c r="C12" s="369"/>
      <c r="D12" s="744"/>
      <c r="E12" s="219"/>
      <c r="F12" s="220"/>
      <c r="G12" s="220"/>
      <c r="H12" s="905"/>
      <c r="I12" s="905"/>
      <c r="J12" s="763"/>
      <c r="M12" s="918"/>
    </row>
    <row r="13" spans="1:13" x14ac:dyDescent="0.25">
      <c r="A13" s="763"/>
      <c r="B13" s="58"/>
      <c r="C13" s="369"/>
      <c r="D13" s="744"/>
      <c r="E13" s="219"/>
      <c r="F13" s="220"/>
      <c r="G13" s="220"/>
      <c r="H13" s="220"/>
      <c r="I13" s="220"/>
      <c r="J13" s="763"/>
    </row>
    <row r="14" spans="1:13" x14ac:dyDescent="0.25">
      <c r="A14" s="763"/>
      <c r="B14" s="58"/>
      <c r="C14" s="369"/>
      <c r="D14" s="744"/>
      <c r="E14" s="219"/>
      <c r="F14" s="220"/>
      <c r="G14" s="220"/>
      <c r="H14" s="220"/>
      <c r="I14" s="220"/>
      <c r="J14" s="763"/>
    </row>
    <row r="15" spans="1:13" x14ac:dyDescent="0.25">
      <c r="A15" s="763"/>
      <c r="B15" s="58"/>
      <c r="C15" s="369"/>
      <c r="D15" s="744"/>
      <c r="E15" s="219"/>
      <c r="F15" s="220"/>
      <c r="G15" s="220"/>
      <c r="H15" s="220"/>
      <c r="I15" s="220"/>
      <c r="J15" s="763"/>
    </row>
    <row r="16" spans="1:13" x14ac:dyDescent="0.25">
      <c r="A16" s="763"/>
      <c r="B16" s="58"/>
      <c r="C16" s="369"/>
      <c r="D16" s="744"/>
      <c r="E16" s="219"/>
      <c r="F16" s="220"/>
      <c r="G16" s="220"/>
      <c r="H16" s="220"/>
      <c r="I16" s="220"/>
      <c r="J16" s="763"/>
    </row>
    <row r="17" spans="1:10" x14ac:dyDescent="0.25">
      <c r="A17" s="763"/>
      <c r="B17" s="58"/>
      <c r="C17" s="369"/>
      <c r="D17" s="744"/>
      <c r="E17" s="219"/>
      <c r="F17" s="220"/>
      <c r="G17" s="220"/>
      <c r="H17" s="220"/>
      <c r="I17" s="220"/>
      <c r="J17" s="763"/>
    </row>
    <row r="18" spans="1:10" x14ac:dyDescent="0.25">
      <c r="A18" s="763"/>
      <c r="B18" s="58"/>
      <c r="C18" s="369"/>
      <c r="D18" s="744"/>
      <c r="E18" s="219"/>
      <c r="F18" s="220"/>
      <c r="G18" s="220"/>
      <c r="H18" s="220"/>
      <c r="I18" s="220"/>
      <c r="J18" s="763"/>
    </row>
    <row r="19" spans="1:10" x14ac:dyDescent="0.25">
      <c r="A19" s="763"/>
      <c r="B19" s="58"/>
      <c r="C19" s="369"/>
      <c r="D19" s="744"/>
      <c r="E19" s="219"/>
      <c r="F19" s="220"/>
      <c r="G19" s="220"/>
      <c r="H19" s="220"/>
      <c r="I19" s="220"/>
      <c r="J19" s="763"/>
    </row>
    <row r="20" spans="1:10" x14ac:dyDescent="0.25">
      <c r="A20" s="763"/>
      <c r="B20" s="58"/>
      <c r="C20" s="369"/>
      <c r="D20" s="744"/>
      <c r="E20" s="219"/>
      <c r="F20" s="220"/>
      <c r="G20" s="220"/>
      <c r="H20" s="220"/>
      <c r="I20" s="220"/>
      <c r="J20" s="763"/>
    </row>
    <row r="21" spans="1:10" x14ac:dyDescent="0.25">
      <c r="A21" s="763"/>
      <c r="B21" s="58"/>
      <c r="C21" s="369"/>
      <c r="D21" s="744"/>
      <c r="E21" s="219"/>
      <c r="F21" s="220"/>
      <c r="G21" s="220"/>
      <c r="H21" s="220"/>
      <c r="I21" s="220"/>
      <c r="J21" s="763"/>
    </row>
    <row r="22" spans="1:10" x14ac:dyDescent="0.25">
      <c r="A22" s="763"/>
      <c r="B22" s="58"/>
      <c r="C22" s="369"/>
      <c r="D22" s="744"/>
      <c r="E22" s="219"/>
      <c r="F22" s="220" t="s">
        <v>222</v>
      </c>
      <c r="G22" s="220"/>
      <c r="H22" s="220"/>
      <c r="I22" s="220"/>
      <c r="J22" s="763"/>
    </row>
    <row r="23" spans="1:10" x14ac:dyDescent="0.25">
      <c r="A23" s="763"/>
      <c r="B23" s="58"/>
      <c r="C23" s="369"/>
      <c r="D23" s="744"/>
      <c r="E23" s="219"/>
      <c r="F23" s="220"/>
      <c r="G23" s="220"/>
      <c r="H23" s="220"/>
      <c r="I23" s="220"/>
      <c r="J23" s="763"/>
    </row>
    <row r="24" spans="1:10" ht="16.5" thickBot="1" x14ac:dyDescent="0.3">
      <c r="A24" s="763"/>
      <c r="B24" s="12"/>
      <c r="C24" s="13"/>
      <c r="D24" s="13"/>
      <c r="E24" s="13"/>
      <c r="F24" s="575" t="s">
        <v>838</v>
      </c>
      <c r="G24" s="743">
        <f>SUM(G10:G23)</f>
        <v>132781</v>
      </c>
      <c r="H24" s="743">
        <f>SUM(H10:H23)</f>
        <v>17290</v>
      </c>
      <c r="I24" s="743">
        <f>SUM(I10:I23)</f>
        <v>17290</v>
      </c>
      <c r="J24" s="763"/>
    </row>
    <row r="25" spans="1:10" ht="16.5" thickTop="1" x14ac:dyDescent="0.25">
      <c r="A25" s="763"/>
      <c r="B25" s="4"/>
      <c r="C25" s="4"/>
      <c r="D25" s="4"/>
      <c r="E25" s="4"/>
      <c r="F25" s="4"/>
      <c r="G25" s="4"/>
      <c r="H25" s="9"/>
      <c r="I25" s="9"/>
      <c r="J25" s="763"/>
    </row>
    <row r="26" spans="1:10" x14ac:dyDescent="0.25">
      <c r="A26" s="763"/>
      <c r="B26" s="18" t="s">
        <v>738</v>
      </c>
      <c r="C26" s="19"/>
      <c r="D26" s="19"/>
      <c r="E26" s="19"/>
      <c r="F26" s="19"/>
      <c r="G26" s="19"/>
      <c r="H26" s="9"/>
      <c r="I26" s="9"/>
      <c r="J26" s="763"/>
    </row>
  </sheetData>
  <phoneticPr fontId="0" type="noConversion"/>
  <printOptions horizontalCentered="1"/>
  <pageMargins left="0.5" right="0.5" top="0.5" bottom="0.5" header="0.3" footer="0.3"/>
  <pageSetup scale="90" orientation="landscape" blackAndWhite="1" horizontalDpi="120" verticalDpi="144"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I108"/>
  <sheetViews>
    <sheetView zoomScaleNormal="100" workbookViewId="0">
      <selection activeCell="E15" sqref="E15"/>
    </sheetView>
  </sheetViews>
  <sheetFormatPr defaultRowHeight="15" x14ac:dyDescent="0.2"/>
  <cols>
    <col min="1" max="1" width="2.5546875" style="717" customWidth="1"/>
    <col min="2" max="4" width="8.88671875" style="717"/>
    <col min="5" max="5" width="9.6640625" style="717" customWidth="1"/>
    <col min="6" max="6" width="8.88671875" style="717"/>
    <col min="7" max="7" width="9.6640625" style="717" customWidth="1"/>
    <col min="8" max="16384" width="8.88671875" style="717"/>
  </cols>
  <sheetData>
    <row r="1" spans="2:9" ht="15.75" x14ac:dyDescent="0.25">
      <c r="B1" s="716"/>
      <c r="C1" s="716"/>
      <c r="D1" s="716"/>
      <c r="E1" s="716"/>
      <c r="F1" s="716"/>
      <c r="G1" s="716"/>
      <c r="H1" s="716"/>
      <c r="I1" s="716"/>
    </row>
    <row r="2" spans="2:9" ht="15.75" x14ac:dyDescent="0.2">
      <c r="B2" s="966" t="s">
        <v>667</v>
      </c>
      <c r="C2" s="966"/>
      <c r="D2" s="966"/>
      <c r="E2" s="966"/>
      <c r="F2" s="966"/>
      <c r="G2" s="966"/>
      <c r="H2" s="966"/>
      <c r="I2" s="966"/>
    </row>
    <row r="3" spans="2:9" ht="15.75" x14ac:dyDescent="0.2">
      <c r="B3" s="966" t="s">
        <v>668</v>
      </c>
      <c r="C3" s="966"/>
      <c r="D3" s="966"/>
      <c r="E3" s="966"/>
      <c r="F3" s="966"/>
      <c r="G3" s="966"/>
      <c r="H3" s="966"/>
      <c r="I3" s="966"/>
    </row>
    <row r="4" spans="2:9" ht="15.75" x14ac:dyDescent="0.2">
      <c r="B4" s="718"/>
      <c r="C4" s="718"/>
      <c r="D4" s="718"/>
      <c r="E4" s="718"/>
      <c r="F4" s="718"/>
      <c r="G4" s="718"/>
      <c r="H4" s="718"/>
      <c r="I4" s="718"/>
    </row>
    <row r="5" spans="2:9" ht="15.75" x14ac:dyDescent="0.2">
      <c r="B5" s="967" t="str">
        <f>CONCATENATE("Budgeted Year: ",inputPrYr!C5,"")</f>
        <v>Budgeted Year: 2014</v>
      </c>
      <c r="C5" s="967"/>
      <c r="D5" s="967"/>
      <c r="E5" s="967"/>
      <c r="F5" s="967"/>
      <c r="G5" s="967"/>
      <c r="H5" s="967"/>
      <c r="I5" s="967"/>
    </row>
    <row r="6" spans="2:9" ht="15.75" x14ac:dyDescent="0.2">
      <c r="B6" s="719"/>
      <c r="C6" s="718"/>
      <c r="D6" s="718"/>
      <c r="E6" s="718"/>
      <c r="F6" s="718"/>
      <c r="G6" s="718"/>
      <c r="H6" s="718"/>
      <c r="I6" s="718"/>
    </row>
    <row r="7" spans="2:9" ht="15.75" x14ac:dyDescent="0.2">
      <c r="B7" s="719" t="str">
        <f>CONCATENATE("Library found in: ",inputPrYr!D2,"")</f>
        <v>Library found in: City of Osawatomie</v>
      </c>
      <c r="C7" s="718"/>
      <c r="D7" s="718"/>
      <c r="E7" s="718"/>
      <c r="F7" s="718"/>
      <c r="G7" s="718"/>
      <c r="H7" s="718"/>
      <c r="I7" s="718"/>
    </row>
    <row r="8" spans="2:9" ht="15.75" x14ac:dyDescent="0.2">
      <c r="B8" s="719" t="str">
        <f>inputPrYr!D3</f>
        <v>Miami County</v>
      </c>
      <c r="C8" s="718"/>
      <c r="D8" s="718"/>
      <c r="E8" s="718"/>
      <c r="F8" s="718"/>
      <c r="G8" s="718"/>
      <c r="H8" s="718"/>
      <c r="I8" s="718"/>
    </row>
    <row r="9" spans="2:9" ht="15.75" x14ac:dyDescent="0.2">
      <c r="B9" s="718"/>
      <c r="C9" s="718"/>
      <c r="D9" s="718"/>
      <c r="E9" s="718"/>
      <c r="F9" s="718"/>
      <c r="G9" s="718"/>
      <c r="H9" s="718"/>
      <c r="I9" s="718"/>
    </row>
    <row r="10" spans="2:9" ht="39" customHeight="1" x14ac:dyDescent="0.2">
      <c r="B10" s="968" t="s">
        <v>669</v>
      </c>
      <c r="C10" s="968"/>
      <c r="D10" s="968"/>
      <c r="E10" s="968"/>
      <c r="F10" s="968"/>
      <c r="G10" s="968"/>
      <c r="H10" s="968"/>
      <c r="I10" s="968"/>
    </row>
    <row r="11" spans="2:9" ht="15.75" x14ac:dyDescent="0.2">
      <c r="B11" s="718"/>
      <c r="C11" s="718"/>
      <c r="D11" s="718"/>
      <c r="E11" s="718"/>
      <c r="F11" s="718"/>
      <c r="G11" s="718"/>
      <c r="H11" s="718"/>
      <c r="I11" s="718"/>
    </row>
    <row r="12" spans="2:9" ht="15.75" x14ac:dyDescent="0.2">
      <c r="B12" s="720" t="s">
        <v>670</v>
      </c>
      <c r="C12" s="718"/>
      <c r="D12" s="718"/>
      <c r="E12" s="718"/>
      <c r="F12" s="718"/>
      <c r="G12" s="718"/>
      <c r="H12" s="718"/>
      <c r="I12" s="718"/>
    </row>
    <row r="13" spans="2:9" ht="15.75" x14ac:dyDescent="0.2">
      <c r="B13" s="718"/>
      <c r="C13" s="718"/>
      <c r="D13" s="718"/>
      <c r="E13" s="721" t="s">
        <v>671</v>
      </c>
      <c r="F13" s="718"/>
      <c r="G13" s="721" t="s">
        <v>672</v>
      </c>
      <c r="H13" s="718"/>
      <c r="I13" s="718"/>
    </row>
    <row r="14" spans="2:9" ht="15.75" x14ac:dyDescent="0.2">
      <c r="B14" s="718"/>
      <c r="C14" s="718"/>
      <c r="D14" s="718"/>
      <c r="E14" s="722">
        <f>inputPrYr!C5-1</f>
        <v>2013</v>
      </c>
      <c r="F14" s="718"/>
      <c r="G14" s="722">
        <f>inputPrYr!C5</f>
        <v>2014</v>
      </c>
      <c r="H14" s="718"/>
      <c r="I14" s="718"/>
    </row>
    <row r="15" spans="2:9" ht="15.75" x14ac:dyDescent="0.2">
      <c r="B15" s="719" t="str">
        <f>'Library-Rec'!B8</f>
        <v>Ad Valorem Tax</v>
      </c>
      <c r="C15" s="718"/>
      <c r="D15" s="718"/>
      <c r="E15" s="723">
        <f>'Library-Rec'!D8</f>
        <v>0</v>
      </c>
      <c r="F15" s="718"/>
      <c r="G15" s="723">
        <f>'Library-Rec'!E38</f>
        <v>0</v>
      </c>
      <c r="H15" s="718"/>
      <c r="I15" s="718"/>
    </row>
    <row r="16" spans="2:9" ht="15.75" x14ac:dyDescent="0.2">
      <c r="B16" s="719" t="str">
        <f>'Library-Rec'!B9</f>
        <v>Delinquent Tax</v>
      </c>
      <c r="C16" s="718"/>
      <c r="D16" s="718"/>
      <c r="E16" s="723">
        <f>'Library-Rec'!D9</f>
        <v>0</v>
      </c>
      <c r="F16" s="718"/>
      <c r="G16" s="723">
        <f>'Library-Rec'!E9</f>
        <v>0</v>
      </c>
      <c r="H16" s="718"/>
      <c r="I16" s="718"/>
    </row>
    <row r="17" spans="2:9" ht="15.75" x14ac:dyDescent="0.2">
      <c r="B17" s="719" t="str">
        <f>'Library-Rec'!B10</f>
        <v>Motor Vehicle Tax</v>
      </c>
      <c r="C17" s="718"/>
      <c r="D17" s="718"/>
      <c r="E17" s="723">
        <f>'Library-Rec'!D10</f>
        <v>0</v>
      </c>
      <c r="F17" s="718"/>
      <c r="G17" s="723" t="str">
        <f>'Library-Rec'!E10</f>
        <v xml:space="preserve">  </v>
      </c>
      <c r="H17" s="718"/>
      <c r="I17" s="718"/>
    </row>
    <row r="18" spans="2:9" ht="15.75" x14ac:dyDescent="0.2">
      <c r="B18" s="719" t="str">
        <f>'Library-Rec'!B11</f>
        <v>Recreational Vehicle Tax</v>
      </c>
      <c r="C18" s="718"/>
      <c r="D18" s="718"/>
      <c r="E18" s="723">
        <f>'Library-Rec'!D11</f>
        <v>0</v>
      </c>
      <c r="F18" s="718"/>
      <c r="G18" s="723" t="str">
        <f>'Library-Rec'!E11</f>
        <v xml:space="preserve"> </v>
      </c>
      <c r="H18" s="718"/>
      <c r="I18" s="718"/>
    </row>
    <row r="19" spans="2:9" ht="15.75" x14ac:dyDescent="0.2">
      <c r="B19" s="719" t="str">
        <f>'Library-Rec'!B12</f>
        <v>16/20M Vehicle Tax</v>
      </c>
      <c r="C19" s="718"/>
      <c r="D19" s="718"/>
      <c r="E19" s="723">
        <f>'Library-Rec'!D12</f>
        <v>0</v>
      </c>
      <c r="F19" s="718"/>
      <c r="G19" s="723" t="str">
        <f>'Library-Rec'!E12</f>
        <v xml:space="preserve"> </v>
      </c>
      <c r="H19" s="718"/>
      <c r="I19" s="718"/>
    </row>
    <row r="20" spans="2:9" ht="15.75" x14ac:dyDescent="0.2">
      <c r="B20" s="718" t="s">
        <v>1010</v>
      </c>
      <c r="C20" s="718"/>
      <c r="D20" s="718"/>
      <c r="E20" s="723">
        <v>0</v>
      </c>
      <c r="F20" s="718"/>
      <c r="G20" s="723">
        <v>0</v>
      </c>
      <c r="H20" s="718"/>
      <c r="I20" s="718"/>
    </row>
    <row r="21" spans="2:9" ht="15.75" x14ac:dyDescent="0.2">
      <c r="B21" s="718"/>
      <c r="C21" s="718"/>
      <c r="D21" s="718"/>
      <c r="E21" s="723">
        <v>0</v>
      </c>
      <c r="F21" s="718"/>
      <c r="G21" s="723">
        <v>0</v>
      </c>
      <c r="H21" s="718"/>
      <c r="I21" s="718"/>
    </row>
    <row r="22" spans="2:9" ht="15.75" x14ac:dyDescent="0.2">
      <c r="B22" s="718" t="s">
        <v>673</v>
      </c>
      <c r="C22" s="718"/>
      <c r="D22" s="718"/>
      <c r="E22" s="724">
        <f>SUM(E15:E21)</f>
        <v>0</v>
      </c>
      <c r="F22" s="718"/>
      <c r="G22" s="724">
        <f>SUM(G15:G21)</f>
        <v>0</v>
      </c>
      <c r="H22" s="718"/>
      <c r="I22" s="718"/>
    </row>
    <row r="23" spans="2:9" ht="15.75" x14ac:dyDescent="0.2">
      <c r="B23" s="718" t="s">
        <v>674</v>
      </c>
      <c r="C23" s="718"/>
      <c r="D23" s="718"/>
      <c r="E23" s="725">
        <f>G22-E22</f>
        <v>0</v>
      </c>
      <c r="F23" s="718"/>
      <c r="G23" s="726"/>
      <c r="H23" s="718"/>
      <c r="I23" s="718"/>
    </row>
    <row r="24" spans="2:9" ht="15.75" x14ac:dyDescent="0.2">
      <c r="B24" s="718" t="s">
        <v>675</v>
      </c>
      <c r="C24" s="718"/>
      <c r="D24" s="727" t="str">
        <f>IF((G22-E22)&gt;0,"Qualify","Not Qualify")</f>
        <v>Not Qualify</v>
      </c>
      <c r="E24" s="718"/>
      <c r="F24" s="718"/>
      <c r="G24" s="718"/>
      <c r="H24" s="718"/>
      <c r="I24" s="718"/>
    </row>
    <row r="25" spans="2:9" ht="15.75" x14ac:dyDescent="0.2">
      <c r="B25" s="718"/>
      <c r="C25" s="718"/>
      <c r="D25" s="718"/>
      <c r="E25" s="718"/>
      <c r="F25" s="718"/>
      <c r="G25" s="718"/>
      <c r="H25" s="718"/>
      <c r="I25" s="718"/>
    </row>
    <row r="26" spans="2:9" ht="15.75" x14ac:dyDescent="0.2">
      <c r="B26" s="720" t="s">
        <v>676</v>
      </c>
      <c r="C26" s="718"/>
      <c r="D26" s="718"/>
      <c r="E26" s="718"/>
      <c r="F26" s="718"/>
      <c r="G26" s="718"/>
      <c r="H26" s="718"/>
      <c r="I26" s="718"/>
    </row>
    <row r="27" spans="2:9" ht="15.75" x14ac:dyDescent="0.2">
      <c r="B27" s="718" t="s">
        <v>677</v>
      </c>
      <c r="C27" s="718"/>
      <c r="D27" s="718"/>
      <c r="E27" s="723">
        <f>summ!D59</f>
        <v>22720472</v>
      </c>
      <c r="F27" s="718"/>
      <c r="G27" s="723">
        <f>summ!F59</f>
        <v>22522195</v>
      </c>
      <c r="H27" s="718"/>
      <c r="I27" s="718"/>
    </row>
    <row r="28" spans="2:9" ht="15.75" x14ac:dyDescent="0.2">
      <c r="B28" s="718" t="s">
        <v>678</v>
      </c>
      <c r="C28" s="718"/>
      <c r="D28" s="718"/>
      <c r="E28" s="728" t="str">
        <f>IF(G27-E27&gt;=0,"No","Yes")</f>
        <v>Yes</v>
      </c>
      <c r="F28" s="718"/>
      <c r="G28" s="718"/>
      <c r="H28" s="718"/>
      <c r="I28" s="718"/>
    </row>
    <row r="29" spans="2:9" ht="15.75" x14ac:dyDescent="0.2">
      <c r="B29" s="718" t="s">
        <v>679</v>
      </c>
      <c r="C29" s="718"/>
      <c r="D29" s="718"/>
      <c r="E29" s="721" t="str">
        <f>summ!E17</f>
        <v xml:space="preserve">  </v>
      </c>
      <c r="F29" s="718"/>
      <c r="G29" s="729" t="str">
        <f>summ!H17</f>
        <v/>
      </c>
      <c r="H29" s="718"/>
      <c r="I29" s="718"/>
    </row>
    <row r="30" spans="2:9" ht="15.75" x14ac:dyDescent="0.2">
      <c r="B30" s="718" t="s">
        <v>680</v>
      </c>
      <c r="C30" s="718"/>
      <c r="D30" s="718"/>
      <c r="E30" s="730" t="e">
        <f>G29-E29</f>
        <v>#VALUE!</v>
      </c>
      <c r="F30" s="718"/>
      <c r="G30" s="718"/>
      <c r="H30" s="718"/>
      <c r="I30" s="718"/>
    </row>
    <row r="31" spans="2:9" ht="15.75" x14ac:dyDescent="0.2">
      <c r="B31" s="718" t="s">
        <v>675</v>
      </c>
      <c r="C31" s="718"/>
      <c r="D31" s="731" t="e">
        <f>IF(E30&gt;=0,"Qualify","Not Qualify")</f>
        <v>#VALUE!</v>
      </c>
      <c r="E31" s="718"/>
      <c r="F31" s="718"/>
      <c r="G31" s="718"/>
      <c r="H31" s="718"/>
      <c r="I31" s="718"/>
    </row>
    <row r="32" spans="2:9" ht="15.75" x14ac:dyDescent="0.2">
      <c r="B32" s="718"/>
      <c r="C32" s="718"/>
      <c r="D32" s="718"/>
      <c r="E32" s="718"/>
      <c r="F32" s="718"/>
      <c r="G32" s="718"/>
      <c r="H32" s="718"/>
      <c r="I32" s="718"/>
    </row>
    <row r="33" spans="2:9" ht="15.75" x14ac:dyDescent="0.2">
      <c r="B33" s="718" t="s">
        <v>681</v>
      </c>
      <c r="C33" s="718"/>
      <c r="D33" s="718"/>
      <c r="E33" s="718"/>
      <c r="F33" s="732" t="e">
        <f>IF(D24="Not Qualify",IF(D31="Not Qualify",IF(D31="Not Qualify","Not Qualify","Qualify"),"Qualify"),"Qualify")</f>
        <v>#VALUE!</v>
      </c>
      <c r="G33" s="718"/>
      <c r="H33" s="718"/>
      <c r="I33" s="718"/>
    </row>
    <row r="34" spans="2:9" ht="15.75" x14ac:dyDescent="0.2">
      <c r="B34" s="718"/>
      <c r="C34" s="718"/>
      <c r="D34" s="718"/>
      <c r="E34" s="718"/>
      <c r="F34" s="718"/>
      <c r="G34" s="718"/>
      <c r="H34" s="718"/>
      <c r="I34" s="718"/>
    </row>
    <row r="35" spans="2:9" ht="15.75" x14ac:dyDescent="0.2">
      <c r="B35" s="718"/>
      <c r="C35" s="718"/>
      <c r="D35" s="718"/>
      <c r="E35" s="718"/>
      <c r="F35" s="718"/>
      <c r="G35" s="718"/>
      <c r="H35" s="718"/>
      <c r="I35" s="718"/>
    </row>
    <row r="36" spans="2:9" ht="37.5" customHeight="1" x14ac:dyDescent="0.2">
      <c r="B36" s="968" t="s">
        <v>682</v>
      </c>
      <c r="C36" s="968"/>
      <c r="D36" s="968"/>
      <c r="E36" s="968"/>
      <c r="F36" s="968"/>
      <c r="G36" s="968"/>
      <c r="H36" s="968"/>
      <c r="I36" s="968"/>
    </row>
    <row r="37" spans="2:9" ht="15.75" x14ac:dyDescent="0.2">
      <c r="B37" s="718"/>
      <c r="C37" s="718"/>
      <c r="D37" s="718"/>
      <c r="E37" s="718"/>
      <c r="F37" s="718"/>
      <c r="G37" s="718"/>
      <c r="H37" s="718"/>
      <c r="I37" s="718"/>
    </row>
    <row r="38" spans="2:9" ht="15.75" x14ac:dyDescent="0.2">
      <c r="B38" s="718"/>
      <c r="C38" s="718"/>
      <c r="D38" s="718"/>
      <c r="E38" s="718"/>
      <c r="F38" s="718"/>
      <c r="G38" s="718"/>
      <c r="H38" s="718"/>
      <c r="I38" s="718"/>
    </row>
    <row r="39" spans="2:9" ht="15.75" x14ac:dyDescent="0.2">
      <c r="B39" s="718"/>
      <c r="C39" s="718"/>
      <c r="D39" s="718"/>
      <c r="E39" s="718"/>
      <c r="F39" s="718"/>
      <c r="G39" s="718"/>
      <c r="H39" s="718"/>
      <c r="I39" s="718"/>
    </row>
    <row r="40" spans="2:9" ht="15.75" x14ac:dyDescent="0.2">
      <c r="B40" s="718"/>
      <c r="C40" s="718"/>
      <c r="D40" s="718"/>
      <c r="E40" s="733" t="s">
        <v>861</v>
      </c>
      <c r="F40" s="734">
        <v>7</v>
      </c>
      <c r="G40" s="718"/>
      <c r="H40" s="718"/>
      <c r="I40" s="718"/>
    </row>
    <row r="41" spans="2:9" ht="15.75" x14ac:dyDescent="0.2">
      <c r="B41" s="718"/>
      <c r="C41" s="718"/>
      <c r="D41" s="718"/>
      <c r="E41" s="718"/>
      <c r="F41" s="718"/>
      <c r="G41" s="718"/>
      <c r="H41" s="718"/>
      <c r="I41" s="718"/>
    </row>
    <row r="42" spans="2:9" ht="15.75" x14ac:dyDescent="0.2">
      <c r="B42" s="718"/>
      <c r="C42" s="718"/>
      <c r="D42" s="718"/>
      <c r="E42" s="718"/>
      <c r="F42" s="718"/>
      <c r="G42" s="718"/>
      <c r="H42" s="718"/>
      <c r="I42" s="718"/>
    </row>
    <row r="43" spans="2:9" ht="15.75" x14ac:dyDescent="0.25">
      <c r="B43" s="964" t="s">
        <v>683</v>
      </c>
      <c r="C43" s="965"/>
      <c r="D43" s="965"/>
      <c r="E43" s="965"/>
      <c r="F43" s="965"/>
      <c r="G43" s="965"/>
      <c r="H43" s="965"/>
      <c r="I43" s="965"/>
    </row>
    <row r="44" spans="2:9" ht="15.75" x14ac:dyDescent="0.2">
      <c r="B44" s="718"/>
      <c r="C44" s="718"/>
      <c r="D44" s="718"/>
      <c r="E44" s="718"/>
      <c r="F44" s="718"/>
      <c r="G44" s="718"/>
      <c r="H44" s="718"/>
      <c r="I44" s="718"/>
    </row>
    <row r="45" spans="2:9" ht="15.75" x14ac:dyDescent="0.25">
      <c r="B45" s="735" t="s">
        <v>684</v>
      </c>
      <c r="C45" s="718"/>
      <c r="D45" s="718"/>
      <c r="E45" s="718"/>
      <c r="F45" s="718"/>
      <c r="G45" s="718"/>
      <c r="H45" s="718"/>
      <c r="I45" s="718"/>
    </row>
    <row r="46" spans="2:9" ht="15.75" x14ac:dyDescent="0.25">
      <c r="B46" s="735" t="str">
        <f>CONCATENATE("sources in your ",G14," library fund is not equal to or greater than the amount from the same")</f>
        <v>sources in your 2014 library fund is not equal to or greater than the amount from the same</v>
      </c>
      <c r="C46" s="718"/>
      <c r="D46" s="718"/>
      <c r="E46" s="718"/>
      <c r="F46" s="718"/>
      <c r="G46" s="718"/>
      <c r="H46" s="718"/>
      <c r="I46" s="718"/>
    </row>
    <row r="47" spans="2:9" ht="15.75" x14ac:dyDescent="0.25">
      <c r="B47" s="735" t="str">
        <f>CONCATENATE("sources in ",E14,".")</f>
        <v>sources in 2013.</v>
      </c>
      <c r="C47" s="716"/>
      <c r="D47" s="716"/>
      <c r="E47" s="716"/>
      <c r="F47" s="716"/>
      <c r="G47" s="716"/>
      <c r="H47" s="716"/>
      <c r="I47" s="716"/>
    </row>
    <row r="48" spans="2:9" ht="15.75" x14ac:dyDescent="0.25">
      <c r="B48" s="716"/>
      <c r="C48" s="716"/>
      <c r="D48" s="716"/>
      <c r="E48" s="716"/>
      <c r="F48" s="716"/>
      <c r="G48" s="716"/>
      <c r="H48" s="716"/>
      <c r="I48" s="716"/>
    </row>
    <row r="49" spans="2:9" ht="15.75" x14ac:dyDescent="0.25">
      <c r="B49" s="735" t="s">
        <v>685</v>
      </c>
      <c r="C49" s="735"/>
      <c r="D49" s="736"/>
      <c r="E49" s="736"/>
      <c r="F49" s="736"/>
      <c r="G49" s="736"/>
      <c r="H49" s="736"/>
      <c r="I49" s="736"/>
    </row>
    <row r="50" spans="2:9" ht="15.75" x14ac:dyDescent="0.25">
      <c r="B50" s="735" t="s">
        <v>686</v>
      </c>
      <c r="C50" s="735"/>
      <c r="D50" s="736"/>
      <c r="E50" s="736"/>
      <c r="F50" s="736"/>
      <c r="G50" s="736"/>
      <c r="H50" s="736"/>
      <c r="I50" s="736"/>
    </row>
    <row r="51" spans="2:9" ht="15.75" x14ac:dyDescent="0.25">
      <c r="B51" s="735" t="s">
        <v>687</v>
      </c>
      <c r="C51" s="735"/>
      <c r="D51" s="736"/>
      <c r="E51" s="736"/>
      <c r="F51" s="736"/>
      <c r="G51" s="736"/>
      <c r="H51" s="736"/>
      <c r="I51" s="736"/>
    </row>
    <row r="52" spans="2:9" x14ac:dyDescent="0.2">
      <c r="B52" s="736"/>
      <c r="C52" s="736"/>
      <c r="D52" s="736"/>
      <c r="E52" s="736"/>
      <c r="F52" s="736"/>
      <c r="G52" s="736"/>
      <c r="H52" s="736"/>
      <c r="I52" s="736"/>
    </row>
    <row r="53" spans="2:9" ht="15.75" x14ac:dyDescent="0.25">
      <c r="B53" s="737" t="s">
        <v>688</v>
      </c>
      <c r="C53" s="736"/>
      <c r="D53" s="736"/>
      <c r="E53" s="736"/>
      <c r="F53" s="736"/>
      <c r="G53" s="736"/>
      <c r="H53" s="736"/>
      <c r="I53" s="736"/>
    </row>
    <row r="54" spans="2:9" x14ac:dyDescent="0.2">
      <c r="B54" s="736"/>
      <c r="C54" s="736"/>
      <c r="D54" s="736"/>
      <c r="E54" s="736"/>
      <c r="F54" s="736"/>
      <c r="G54" s="736"/>
      <c r="H54" s="736"/>
      <c r="I54" s="736"/>
    </row>
    <row r="55" spans="2:9" ht="15.75" x14ac:dyDescent="0.25">
      <c r="B55" s="735" t="s">
        <v>689</v>
      </c>
      <c r="C55" s="736"/>
      <c r="D55" s="736"/>
      <c r="E55" s="736"/>
      <c r="F55" s="736"/>
      <c r="G55" s="736"/>
      <c r="H55" s="736"/>
      <c r="I55" s="736"/>
    </row>
    <row r="56" spans="2:9" ht="15.75" x14ac:dyDescent="0.25">
      <c r="B56" s="735" t="s">
        <v>690</v>
      </c>
      <c r="C56" s="736"/>
      <c r="D56" s="736"/>
      <c r="E56" s="736"/>
      <c r="F56" s="736"/>
      <c r="G56" s="736"/>
      <c r="H56" s="736"/>
      <c r="I56" s="736"/>
    </row>
    <row r="57" spans="2:9" x14ac:dyDescent="0.2">
      <c r="B57" s="736"/>
      <c r="C57" s="736"/>
      <c r="D57" s="736"/>
      <c r="E57" s="736"/>
      <c r="F57" s="736"/>
      <c r="G57" s="736"/>
      <c r="H57" s="736"/>
      <c r="I57" s="736"/>
    </row>
    <row r="58" spans="2:9" ht="15.75" x14ac:dyDescent="0.25">
      <c r="B58" s="737" t="s">
        <v>691</v>
      </c>
      <c r="C58" s="735"/>
      <c r="D58" s="735"/>
      <c r="E58" s="735"/>
      <c r="F58" s="735"/>
      <c r="G58" s="736"/>
      <c r="H58" s="736"/>
      <c r="I58" s="736"/>
    </row>
    <row r="59" spans="2:9" ht="15.75" x14ac:dyDescent="0.25">
      <c r="B59" s="735"/>
      <c r="C59" s="735"/>
      <c r="D59" s="735"/>
      <c r="E59" s="735"/>
      <c r="F59" s="735"/>
      <c r="G59" s="736"/>
      <c r="H59" s="736"/>
      <c r="I59" s="736"/>
    </row>
    <row r="60" spans="2:9" ht="15.75" x14ac:dyDescent="0.25">
      <c r="B60" s="735" t="s">
        <v>692</v>
      </c>
      <c r="C60" s="735"/>
      <c r="D60" s="735"/>
      <c r="E60" s="735"/>
      <c r="F60" s="735"/>
      <c r="G60" s="736"/>
      <c r="H60" s="736"/>
      <c r="I60" s="736"/>
    </row>
    <row r="61" spans="2:9" ht="15.75" x14ac:dyDescent="0.25">
      <c r="B61" s="735" t="s">
        <v>693</v>
      </c>
      <c r="C61" s="735"/>
      <c r="D61" s="735"/>
      <c r="E61" s="735"/>
      <c r="F61" s="735"/>
      <c r="G61" s="736"/>
      <c r="H61" s="736"/>
      <c r="I61" s="736"/>
    </row>
    <row r="62" spans="2:9" ht="15.75" x14ac:dyDescent="0.25">
      <c r="B62" s="735" t="s">
        <v>694</v>
      </c>
      <c r="C62" s="735"/>
      <c r="D62" s="735"/>
      <c r="E62" s="735"/>
      <c r="F62" s="735"/>
      <c r="G62" s="736"/>
      <c r="H62" s="736"/>
      <c r="I62" s="736"/>
    </row>
    <row r="63" spans="2:9" ht="15.75" x14ac:dyDescent="0.25">
      <c r="B63" s="735" t="s">
        <v>695</v>
      </c>
      <c r="C63" s="735"/>
      <c r="D63" s="735"/>
      <c r="E63" s="735"/>
      <c r="F63" s="735"/>
      <c r="G63" s="736"/>
      <c r="H63" s="736"/>
      <c r="I63" s="736"/>
    </row>
    <row r="64" spans="2:9" x14ac:dyDescent="0.2">
      <c r="B64" s="738"/>
      <c r="C64" s="738"/>
      <c r="D64" s="738"/>
      <c r="E64" s="738"/>
      <c r="F64" s="738"/>
      <c r="G64" s="736"/>
      <c r="H64" s="736"/>
      <c r="I64" s="736"/>
    </row>
    <row r="65" spans="2:9" ht="15.75" x14ac:dyDescent="0.25">
      <c r="B65" s="735" t="s">
        <v>696</v>
      </c>
      <c r="C65" s="738"/>
      <c r="D65" s="738"/>
      <c r="E65" s="738"/>
      <c r="F65" s="738"/>
      <c r="G65" s="736"/>
      <c r="H65" s="736"/>
      <c r="I65" s="736"/>
    </row>
    <row r="66" spans="2:9" ht="15.75" x14ac:dyDescent="0.25">
      <c r="B66" s="735" t="s">
        <v>697</v>
      </c>
      <c r="C66" s="738"/>
      <c r="D66" s="738"/>
      <c r="E66" s="738"/>
      <c r="F66" s="738"/>
      <c r="G66" s="736"/>
      <c r="H66" s="736"/>
      <c r="I66" s="736"/>
    </row>
    <row r="67" spans="2:9" x14ac:dyDescent="0.2">
      <c r="B67" s="738"/>
      <c r="C67" s="738"/>
      <c r="D67" s="738"/>
      <c r="E67" s="738"/>
      <c r="F67" s="738"/>
      <c r="G67" s="736"/>
      <c r="H67" s="736"/>
      <c r="I67" s="736"/>
    </row>
    <row r="68" spans="2:9" ht="15.75" x14ac:dyDescent="0.25">
      <c r="B68" s="735" t="s">
        <v>698</v>
      </c>
      <c r="C68" s="738"/>
      <c r="D68" s="738"/>
      <c r="E68" s="738"/>
      <c r="F68" s="738"/>
      <c r="G68" s="736"/>
      <c r="H68" s="736"/>
      <c r="I68" s="736"/>
    </row>
    <row r="69" spans="2:9" ht="15.75" x14ac:dyDescent="0.25">
      <c r="B69" s="735" t="s">
        <v>699</v>
      </c>
      <c r="C69" s="738"/>
      <c r="D69" s="738"/>
      <c r="E69" s="738"/>
      <c r="F69" s="738"/>
      <c r="G69" s="736"/>
      <c r="H69" s="736"/>
      <c r="I69" s="736"/>
    </row>
    <row r="70" spans="2:9" x14ac:dyDescent="0.2">
      <c r="B70" s="738"/>
      <c r="C70" s="738"/>
      <c r="D70" s="738"/>
      <c r="E70" s="738"/>
      <c r="F70" s="738"/>
      <c r="G70" s="736"/>
      <c r="H70" s="736"/>
      <c r="I70" s="736"/>
    </row>
    <row r="71" spans="2:9" ht="15.75" x14ac:dyDescent="0.25">
      <c r="B71" s="737" t="s">
        <v>700</v>
      </c>
      <c r="C71" s="738"/>
      <c r="D71" s="738"/>
      <c r="E71" s="738"/>
      <c r="F71" s="738"/>
      <c r="G71" s="736"/>
      <c r="H71" s="736"/>
      <c r="I71" s="736"/>
    </row>
    <row r="72" spans="2:9" x14ac:dyDescent="0.2">
      <c r="B72" s="738"/>
      <c r="C72" s="738"/>
      <c r="D72" s="738"/>
      <c r="E72" s="738"/>
      <c r="F72" s="738"/>
      <c r="G72" s="736"/>
      <c r="H72" s="736"/>
      <c r="I72" s="736"/>
    </row>
    <row r="73" spans="2:9" ht="15.75" x14ac:dyDescent="0.25">
      <c r="B73" s="735" t="s">
        <v>701</v>
      </c>
      <c r="C73" s="738"/>
      <c r="D73" s="738"/>
      <c r="E73" s="738"/>
      <c r="F73" s="738"/>
      <c r="G73" s="736"/>
      <c r="H73" s="736"/>
      <c r="I73" s="736"/>
    </row>
    <row r="74" spans="2:9" ht="15.75" x14ac:dyDescent="0.25">
      <c r="B74" s="735" t="s">
        <v>702</v>
      </c>
      <c r="C74" s="738"/>
      <c r="D74" s="738"/>
      <c r="E74" s="738"/>
      <c r="F74" s="738"/>
      <c r="G74" s="736"/>
      <c r="H74" s="736"/>
      <c r="I74" s="736"/>
    </row>
    <row r="75" spans="2:9" x14ac:dyDescent="0.2">
      <c r="B75" s="738"/>
      <c r="C75" s="738"/>
      <c r="D75" s="738"/>
      <c r="E75" s="738"/>
      <c r="F75" s="738"/>
      <c r="G75" s="736"/>
      <c r="H75" s="736"/>
      <c r="I75" s="736"/>
    </row>
    <row r="76" spans="2:9" ht="15.75" x14ac:dyDescent="0.25">
      <c r="B76" s="737" t="s">
        <v>703</v>
      </c>
      <c r="C76" s="738"/>
      <c r="D76" s="738"/>
      <c r="E76" s="738"/>
      <c r="F76" s="738"/>
      <c r="G76" s="736"/>
      <c r="H76" s="736"/>
      <c r="I76" s="736"/>
    </row>
    <row r="77" spans="2:9" x14ac:dyDescent="0.2">
      <c r="B77" s="738"/>
      <c r="C77" s="738"/>
      <c r="D77" s="738"/>
      <c r="E77" s="738"/>
      <c r="F77" s="738"/>
      <c r="G77" s="736"/>
      <c r="H77" s="736"/>
      <c r="I77" s="736"/>
    </row>
    <row r="78" spans="2:9" ht="15.75" x14ac:dyDescent="0.25">
      <c r="B78" s="735" t="str">
        <f>CONCATENATE("If the ",G14," municipal budget has not been published and has not been submitted to the County")</f>
        <v>If the 2014 municipal budget has not been published and has not been submitted to the County</v>
      </c>
      <c r="C78" s="738"/>
      <c r="D78" s="738"/>
      <c r="E78" s="738"/>
      <c r="F78" s="738"/>
      <c r="G78" s="736"/>
      <c r="H78" s="736"/>
      <c r="I78" s="736"/>
    </row>
    <row r="79" spans="2:9" ht="15.75" x14ac:dyDescent="0.25">
      <c r="B79" s="735" t="s">
        <v>704</v>
      </c>
      <c r="C79" s="738"/>
      <c r="D79" s="738"/>
      <c r="E79" s="738"/>
      <c r="F79" s="738"/>
      <c r="G79" s="736"/>
      <c r="H79" s="736"/>
      <c r="I79" s="736"/>
    </row>
    <row r="80" spans="2:9" x14ac:dyDescent="0.2">
      <c r="B80" s="738"/>
      <c r="C80" s="738"/>
      <c r="D80" s="738"/>
      <c r="E80" s="738"/>
      <c r="F80" s="738"/>
      <c r="G80" s="736"/>
      <c r="H80" s="736"/>
      <c r="I80" s="736"/>
    </row>
    <row r="81" spans="2:9" ht="15.75" x14ac:dyDescent="0.25">
      <c r="B81" s="737" t="s">
        <v>1184</v>
      </c>
      <c r="C81" s="738"/>
      <c r="D81" s="738"/>
      <c r="E81" s="738"/>
      <c r="F81" s="738"/>
      <c r="G81" s="736"/>
      <c r="H81" s="736"/>
      <c r="I81" s="736"/>
    </row>
    <row r="82" spans="2:9" x14ac:dyDescent="0.2">
      <c r="B82" s="738"/>
      <c r="C82" s="738"/>
      <c r="D82" s="738"/>
      <c r="E82" s="738"/>
      <c r="F82" s="738"/>
      <c r="G82" s="736"/>
      <c r="H82" s="736"/>
      <c r="I82" s="736"/>
    </row>
    <row r="83" spans="2:9" ht="15.75" x14ac:dyDescent="0.25">
      <c r="B83" s="735" t="s">
        <v>705</v>
      </c>
      <c r="C83" s="738"/>
      <c r="D83" s="738"/>
      <c r="E83" s="738"/>
      <c r="F83" s="738"/>
      <c r="G83" s="736"/>
      <c r="H83" s="736"/>
      <c r="I83" s="736"/>
    </row>
    <row r="84" spans="2:9" ht="15.75" x14ac:dyDescent="0.25">
      <c r="B84" s="735" t="str">
        <f>CONCATENATE("Budget Year ",G14," is equal to or greater than that for Current Year Estimate ",E14,".")</f>
        <v>Budget Year 2014 is equal to or greater than that for Current Year Estimate 2013.</v>
      </c>
      <c r="C84" s="738"/>
      <c r="D84" s="738"/>
      <c r="E84" s="738"/>
      <c r="F84" s="738"/>
      <c r="G84" s="736"/>
      <c r="H84" s="736"/>
      <c r="I84" s="736"/>
    </row>
    <row r="85" spans="2:9" x14ac:dyDescent="0.2">
      <c r="B85" s="738"/>
      <c r="C85" s="738"/>
      <c r="D85" s="738"/>
      <c r="E85" s="738"/>
      <c r="F85" s="738"/>
      <c r="G85" s="736"/>
      <c r="H85" s="736"/>
      <c r="I85" s="736"/>
    </row>
    <row r="86" spans="2:9" ht="15.75" x14ac:dyDescent="0.25">
      <c r="B86" s="735" t="s">
        <v>706</v>
      </c>
      <c r="C86" s="738"/>
      <c r="D86" s="738"/>
      <c r="E86" s="738"/>
      <c r="F86" s="738"/>
      <c r="G86" s="736"/>
      <c r="H86" s="736"/>
      <c r="I86" s="736"/>
    </row>
    <row r="87" spans="2:9" ht="15.75" x14ac:dyDescent="0.25">
      <c r="B87" s="735" t="s">
        <v>707</v>
      </c>
      <c r="C87" s="738"/>
      <c r="D87" s="738"/>
      <c r="E87" s="738"/>
      <c r="F87" s="738"/>
      <c r="G87" s="736"/>
      <c r="H87" s="736"/>
      <c r="I87" s="736"/>
    </row>
    <row r="88" spans="2:9" ht="15.75" x14ac:dyDescent="0.25">
      <c r="B88" s="735" t="s">
        <v>708</v>
      </c>
      <c r="C88" s="738"/>
      <c r="D88" s="738"/>
      <c r="E88" s="738"/>
      <c r="F88" s="738"/>
      <c r="G88" s="736"/>
      <c r="H88" s="736"/>
      <c r="I88" s="736"/>
    </row>
    <row r="89" spans="2:9" ht="15.75" x14ac:dyDescent="0.25">
      <c r="B89" s="735" t="str">
        <f>CONCATENATE("purpose for the previous (",E14,") year.")</f>
        <v>purpose for the previous (2013) year.</v>
      </c>
      <c r="C89" s="738"/>
      <c r="D89" s="738"/>
      <c r="E89" s="738"/>
      <c r="F89" s="738"/>
      <c r="G89" s="736"/>
      <c r="H89" s="736"/>
      <c r="I89" s="736"/>
    </row>
    <row r="90" spans="2:9" x14ac:dyDescent="0.2">
      <c r="B90" s="738"/>
      <c r="C90" s="738"/>
      <c r="D90" s="738"/>
      <c r="E90" s="738"/>
      <c r="F90" s="738"/>
      <c r="G90" s="736"/>
      <c r="H90" s="736"/>
      <c r="I90" s="736"/>
    </row>
    <row r="91" spans="2:9" ht="15.75" x14ac:dyDescent="0.25">
      <c r="B91" s="735" t="str">
        <f>CONCATENATE("Next, look to see if delinquent tax for ",G14," is budgeted. Often this line is budgeted at $0 or left")</f>
        <v>Next, look to see if delinquent tax for 2014 is budgeted. Often this line is budgeted at $0 or left</v>
      </c>
      <c r="C91" s="738"/>
      <c r="D91" s="738"/>
      <c r="E91" s="738"/>
      <c r="F91" s="738"/>
      <c r="G91" s="736"/>
      <c r="H91" s="736"/>
      <c r="I91" s="736"/>
    </row>
    <row r="92" spans="2:9" ht="15.75" x14ac:dyDescent="0.25">
      <c r="B92" s="735" t="s">
        <v>709</v>
      </c>
      <c r="C92" s="738"/>
      <c r="D92" s="738"/>
      <c r="E92" s="738"/>
      <c r="F92" s="738"/>
      <c r="G92" s="736"/>
      <c r="H92" s="736"/>
      <c r="I92" s="736"/>
    </row>
    <row r="93" spans="2:9" ht="15.75" x14ac:dyDescent="0.25">
      <c r="B93" s="735" t="s">
        <v>710</v>
      </c>
      <c r="C93" s="738"/>
      <c r="D93" s="738"/>
      <c r="E93" s="738"/>
      <c r="F93" s="738"/>
      <c r="G93" s="736"/>
      <c r="H93" s="736"/>
      <c r="I93" s="736"/>
    </row>
    <row r="94" spans="2:9" ht="15.75" x14ac:dyDescent="0.25">
      <c r="B94" s="735" t="s">
        <v>711</v>
      </c>
      <c r="C94" s="738"/>
      <c r="D94" s="738"/>
      <c r="E94" s="738"/>
      <c r="F94" s="738"/>
      <c r="G94" s="736"/>
      <c r="H94" s="736"/>
      <c r="I94" s="736"/>
    </row>
    <row r="95" spans="2:9" x14ac:dyDescent="0.2">
      <c r="B95" s="738"/>
      <c r="C95" s="738"/>
      <c r="D95" s="738"/>
      <c r="E95" s="738"/>
      <c r="F95" s="738"/>
      <c r="G95" s="736"/>
      <c r="H95" s="736"/>
      <c r="I95" s="736"/>
    </row>
    <row r="96" spans="2:9" ht="15.75" x14ac:dyDescent="0.25">
      <c r="B96" s="737" t="s">
        <v>712</v>
      </c>
      <c r="C96" s="738"/>
      <c r="D96" s="738"/>
      <c r="E96" s="738"/>
      <c r="F96" s="738"/>
      <c r="G96" s="736"/>
      <c r="H96" s="736"/>
      <c r="I96" s="736"/>
    </row>
    <row r="97" spans="2:9" x14ac:dyDescent="0.2">
      <c r="B97" s="738"/>
      <c r="C97" s="738"/>
      <c r="D97" s="738"/>
      <c r="E97" s="738"/>
      <c r="F97" s="738"/>
      <c r="G97" s="736"/>
      <c r="H97" s="736"/>
      <c r="I97" s="736"/>
    </row>
    <row r="98" spans="2:9" ht="15.75" x14ac:dyDescent="0.25">
      <c r="B98" s="735" t="s">
        <v>713</v>
      </c>
      <c r="C98" s="738"/>
      <c r="D98" s="738"/>
      <c r="E98" s="738"/>
      <c r="F98" s="738"/>
      <c r="G98" s="736"/>
      <c r="H98" s="736"/>
      <c r="I98" s="736"/>
    </row>
    <row r="99" spans="2:9" ht="15.75" x14ac:dyDescent="0.25">
      <c r="B99" s="735" t="s">
        <v>714</v>
      </c>
      <c r="C99" s="738"/>
      <c r="D99" s="738"/>
      <c r="E99" s="738"/>
      <c r="F99" s="738"/>
      <c r="G99" s="736"/>
      <c r="H99" s="736"/>
      <c r="I99" s="736"/>
    </row>
    <row r="100" spans="2:9" x14ac:dyDescent="0.2">
      <c r="B100" s="738"/>
      <c r="C100" s="738"/>
      <c r="D100" s="738"/>
      <c r="E100" s="738"/>
      <c r="F100" s="738"/>
      <c r="G100" s="736"/>
      <c r="H100" s="736"/>
      <c r="I100" s="736"/>
    </row>
    <row r="101" spans="2:9" ht="15.75" x14ac:dyDescent="0.25">
      <c r="B101" s="735" t="s">
        <v>715</v>
      </c>
      <c r="C101" s="738"/>
      <c r="D101" s="738"/>
      <c r="E101" s="738"/>
      <c r="F101" s="738"/>
      <c r="G101" s="736"/>
      <c r="H101" s="736"/>
      <c r="I101" s="736"/>
    </row>
    <row r="102" spans="2:9" ht="15.75" x14ac:dyDescent="0.25">
      <c r="B102" s="735" t="s">
        <v>716</v>
      </c>
      <c r="C102" s="738"/>
      <c r="D102" s="738"/>
      <c r="E102" s="738"/>
      <c r="F102" s="738"/>
      <c r="G102" s="736"/>
      <c r="H102" s="736"/>
      <c r="I102" s="736"/>
    </row>
    <row r="103" spans="2:9" ht="15.75" x14ac:dyDescent="0.25">
      <c r="B103" s="735" t="s">
        <v>743</v>
      </c>
      <c r="C103" s="738"/>
      <c r="D103" s="738"/>
      <c r="E103" s="738"/>
      <c r="F103" s="738"/>
      <c r="G103" s="736"/>
      <c r="H103" s="736"/>
      <c r="I103" s="736"/>
    </row>
    <row r="104" spans="2:9" ht="15.75" x14ac:dyDescent="0.25">
      <c r="B104" s="735" t="s">
        <v>744</v>
      </c>
      <c r="C104" s="738"/>
      <c r="D104" s="738"/>
      <c r="E104" s="738"/>
      <c r="F104" s="738"/>
      <c r="G104" s="736"/>
      <c r="H104" s="736"/>
      <c r="I104" s="736"/>
    </row>
    <row r="105" spans="2:9" ht="15.75" x14ac:dyDescent="0.25">
      <c r="B105" s="892" t="s">
        <v>72</v>
      </c>
      <c r="C105" s="893"/>
      <c r="D105" s="893"/>
      <c r="E105" s="893"/>
      <c r="F105" s="893"/>
      <c r="G105" s="736"/>
      <c r="H105" s="736"/>
      <c r="I105" s="736"/>
    </row>
    <row r="108" spans="2:9" x14ac:dyDescent="0.2">
      <c r="G108" s="739"/>
    </row>
  </sheetData>
  <sheetProtection sheet="1"/>
  <mergeCells count="6">
    <mergeCell ref="B43:I43"/>
    <mergeCell ref="B2:I2"/>
    <mergeCell ref="B3:I3"/>
    <mergeCell ref="B5:I5"/>
    <mergeCell ref="B10:I10"/>
    <mergeCell ref="B36:I36"/>
  </mergeCells>
  <phoneticPr fontId="0" type="noConversion"/>
  <hyperlinks>
    <hyperlink ref="B105" r:id="rId1" display="mailto:peter.haxton@library.ks.gov"/>
  </hyperlinks>
  <printOptions horizontalCentered="1"/>
  <pageMargins left="0.5" right="0.5" top="0.5" bottom="0.5" header="0.3" footer="0.3"/>
  <pageSetup scale="95" orientation="portrait" blackAndWhite="1" r:id="rId2"/>
  <headerFooter alignWithMargins="0"/>
  <rowBreaks count="1" manualBreakCount="1">
    <brk id="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7"/>
  <sheetViews>
    <sheetView view="pageBreakPreview" zoomScale="55" zoomScaleNormal="100" zoomScaleSheetLayoutView="55" workbookViewId="0">
      <selection activeCell="E45" sqref="E45"/>
    </sheetView>
  </sheetViews>
  <sheetFormatPr defaultRowHeight="15.75" x14ac:dyDescent="0.2"/>
  <cols>
    <col min="1" max="1" width="2.44140625" style="34" customWidth="1"/>
    <col min="2" max="2" width="31.109375" style="34" customWidth="1"/>
    <col min="3" max="4" width="15.77734375" style="34" customWidth="1"/>
    <col min="5" max="5" width="16.33203125" style="34" customWidth="1"/>
    <col min="6" max="6" width="8.109375" style="34" customWidth="1"/>
    <col min="7" max="7" width="10.21875" style="34" customWidth="1"/>
    <col min="8" max="8" width="8.88671875" style="34" customWidth="1"/>
    <col min="9" max="9" width="5" style="34" customWidth="1"/>
    <col min="10" max="10" width="10" style="34" customWidth="1"/>
    <col min="11" max="16384" width="8.88671875" style="34"/>
  </cols>
  <sheetData>
    <row r="1" spans="2:5" x14ac:dyDescent="0.2">
      <c r="B1" s="188" t="str">
        <f>inputPrYr!D2</f>
        <v>City of Osawatomie</v>
      </c>
      <c r="C1" s="36"/>
      <c r="D1" s="36"/>
      <c r="E1" s="238">
        <f>inputPrYr!C5</f>
        <v>2014</v>
      </c>
    </row>
    <row r="2" spans="2:5" x14ac:dyDescent="0.2">
      <c r="B2" s="36"/>
      <c r="C2" s="36"/>
      <c r="D2" s="36"/>
      <c r="E2" s="160"/>
    </row>
    <row r="3" spans="2:5" x14ac:dyDescent="0.2">
      <c r="B3" s="239"/>
      <c r="C3" s="36"/>
      <c r="D3" s="36"/>
      <c r="E3" s="127"/>
    </row>
    <row r="4" spans="2:5" x14ac:dyDescent="0.2">
      <c r="B4" s="387" t="s">
        <v>917</v>
      </c>
      <c r="C4" s="240"/>
      <c r="D4" s="240"/>
      <c r="E4" s="240"/>
    </row>
    <row r="5" spans="2:5" x14ac:dyDescent="0.2">
      <c r="B5" s="162" t="s">
        <v>850</v>
      </c>
      <c r="C5" s="241" t="s">
        <v>662</v>
      </c>
      <c r="D5" s="242" t="s">
        <v>663</v>
      </c>
      <c r="E5" s="135" t="s">
        <v>664</v>
      </c>
    </row>
    <row r="6" spans="2:5" x14ac:dyDescent="0.2">
      <c r="B6" s="544" t="str">
        <f>inputPrYr!B17</f>
        <v>General</v>
      </c>
      <c r="C6" s="371" t="str">
        <f>CONCATENATE("Actual for ",E1-2,"")</f>
        <v>Actual for 2012</v>
      </c>
      <c r="D6" s="371" t="str">
        <f>CONCATENATE("Estimate for ",E1-1,"")</f>
        <v>Estimate for 2013</v>
      </c>
      <c r="E6" s="243" t="str">
        <f>CONCATENATE("Year for ",E1,"")</f>
        <v>Year for 2014</v>
      </c>
    </row>
    <row r="7" spans="2:5" x14ac:dyDescent="0.2">
      <c r="B7" s="244" t="s">
        <v>971</v>
      </c>
      <c r="C7" s="245">
        <v>30824</v>
      </c>
      <c r="D7" s="247">
        <f>C96</f>
        <v>111385</v>
      </c>
      <c r="E7" s="218">
        <f>D96</f>
        <v>132793</v>
      </c>
    </row>
    <row r="8" spans="2:5" x14ac:dyDescent="0.2">
      <c r="B8" s="248" t="s">
        <v>973</v>
      </c>
      <c r="C8" s="150"/>
      <c r="D8" s="150"/>
      <c r="E8" s="76"/>
    </row>
    <row r="9" spans="2:5" x14ac:dyDescent="0.2">
      <c r="B9" s="244" t="s">
        <v>851</v>
      </c>
      <c r="C9" s="249">
        <v>477203</v>
      </c>
      <c r="D9" s="247">
        <f>IF(inputPrYr!H16&gt;0,inputPrYr!G17,inputPrYr!E17)</f>
        <v>534383</v>
      </c>
      <c r="E9" s="251" t="s">
        <v>839</v>
      </c>
    </row>
    <row r="10" spans="2:5" x14ac:dyDescent="0.2">
      <c r="B10" s="244" t="s">
        <v>852</v>
      </c>
      <c r="C10" s="249">
        <v>23241</v>
      </c>
      <c r="D10" s="249">
        <v>12960</v>
      </c>
      <c r="E10" s="252">
        <v>16000</v>
      </c>
    </row>
    <row r="11" spans="2:5" x14ac:dyDescent="0.2">
      <c r="B11" s="244" t="s">
        <v>853</v>
      </c>
      <c r="C11" s="249">
        <v>45790</v>
      </c>
      <c r="D11" s="249">
        <v>47081</v>
      </c>
      <c r="E11" s="218">
        <f>mvalloc!D7</f>
        <v>55936.31</v>
      </c>
    </row>
    <row r="12" spans="2:5" x14ac:dyDescent="0.2">
      <c r="B12" s="244" t="s">
        <v>854</v>
      </c>
      <c r="C12" s="249">
        <v>696</v>
      </c>
      <c r="D12" s="249">
        <v>692</v>
      </c>
      <c r="E12" s="218">
        <v>803</v>
      </c>
    </row>
    <row r="13" spans="2:5" x14ac:dyDescent="0.2">
      <c r="B13" s="244" t="s">
        <v>949</v>
      </c>
      <c r="C13" s="249">
        <v>273</v>
      </c>
      <c r="D13" s="249">
        <v>249</v>
      </c>
      <c r="E13" s="218">
        <v>387</v>
      </c>
    </row>
    <row r="14" spans="2:5" hidden="1" x14ac:dyDescent="0.2">
      <c r="B14" s="244" t="s">
        <v>950</v>
      </c>
      <c r="C14" s="249"/>
      <c r="D14" s="249"/>
      <c r="E14" s="218">
        <f>inputOth!E18</f>
        <v>0</v>
      </c>
    </row>
    <row r="15" spans="2:5" hidden="1" x14ac:dyDescent="0.2">
      <c r="B15" s="244" t="s">
        <v>1010</v>
      </c>
      <c r="C15" s="249"/>
      <c r="D15" s="249"/>
      <c r="E15" s="218">
        <f>inputOth!E45</f>
        <v>0</v>
      </c>
    </row>
    <row r="16" spans="2:5" hidden="1" x14ac:dyDescent="0.2">
      <c r="B16" s="244" t="s">
        <v>1011</v>
      </c>
      <c r="C16" s="249"/>
      <c r="D16" s="249"/>
      <c r="E16" s="218">
        <f>inputOth!E46</f>
        <v>0</v>
      </c>
    </row>
    <row r="17" spans="2:5" hidden="1" x14ac:dyDescent="0.2">
      <c r="B17" s="245" t="s">
        <v>857</v>
      </c>
      <c r="C17" s="249"/>
      <c r="D17" s="249"/>
      <c r="E17" s="252"/>
    </row>
    <row r="18" spans="2:5" x14ac:dyDescent="0.2">
      <c r="B18" s="245" t="s">
        <v>855</v>
      </c>
      <c r="C18" s="249">
        <v>2580</v>
      </c>
      <c r="D18" s="249">
        <v>3544</v>
      </c>
      <c r="E18" s="252">
        <v>3784</v>
      </c>
    </row>
    <row r="19" spans="2:5" x14ac:dyDescent="0.2">
      <c r="B19" s="546" t="s">
        <v>116</v>
      </c>
      <c r="C19" s="249">
        <v>245948</v>
      </c>
      <c r="D19" s="249">
        <v>245892</v>
      </c>
      <c r="E19" s="252">
        <v>246331</v>
      </c>
    </row>
    <row r="20" spans="2:5" x14ac:dyDescent="0.2">
      <c r="B20" s="546" t="s">
        <v>117</v>
      </c>
      <c r="C20" s="249">
        <v>310121</v>
      </c>
      <c r="D20" s="249">
        <v>315684</v>
      </c>
      <c r="E20" s="252">
        <v>316821</v>
      </c>
    </row>
    <row r="21" spans="2:5" x14ac:dyDescent="0.2">
      <c r="B21" s="546" t="s">
        <v>623</v>
      </c>
      <c r="C21" s="249">
        <v>83658</v>
      </c>
      <c r="D21" s="249">
        <v>74654</v>
      </c>
      <c r="E21" s="252">
        <v>74654</v>
      </c>
    </row>
    <row r="22" spans="2:5" x14ac:dyDescent="0.2">
      <c r="B22" s="545" t="s">
        <v>624</v>
      </c>
      <c r="C22" s="249">
        <v>125529</v>
      </c>
      <c r="D22" s="249">
        <v>122450</v>
      </c>
      <c r="E22" s="252">
        <v>124535</v>
      </c>
    </row>
    <row r="23" spans="2:5" x14ac:dyDescent="0.2">
      <c r="B23" s="545" t="s">
        <v>625</v>
      </c>
      <c r="C23" s="249">
        <v>27016</v>
      </c>
      <c r="D23" s="249">
        <v>24980</v>
      </c>
      <c r="E23" s="252">
        <v>28300</v>
      </c>
    </row>
    <row r="24" spans="2:5" x14ac:dyDescent="0.2">
      <c r="B24" s="245" t="s">
        <v>118</v>
      </c>
      <c r="C24" s="249">
        <v>55131</v>
      </c>
      <c r="D24" s="249">
        <v>41100</v>
      </c>
      <c r="E24" s="252">
        <v>39900</v>
      </c>
    </row>
    <row r="25" spans="2:5" x14ac:dyDescent="0.2">
      <c r="B25" s="245" t="s">
        <v>119</v>
      </c>
      <c r="C25" s="249">
        <v>130323</v>
      </c>
      <c r="D25" s="249">
        <v>122000</v>
      </c>
      <c r="E25" s="252">
        <v>122000</v>
      </c>
    </row>
    <row r="26" spans="2:5" x14ac:dyDescent="0.2">
      <c r="B26" s="245" t="s">
        <v>121</v>
      </c>
      <c r="C26" s="249">
        <v>186000</v>
      </c>
      <c r="D26" s="249">
        <v>136000</v>
      </c>
      <c r="E26" s="252">
        <v>137000</v>
      </c>
    </row>
    <row r="27" spans="2:5" x14ac:dyDescent="0.2">
      <c r="B27" s="245" t="s">
        <v>122</v>
      </c>
      <c r="C27" s="249">
        <v>39000</v>
      </c>
      <c r="D27" s="249">
        <v>39000</v>
      </c>
      <c r="E27" s="252">
        <v>39000</v>
      </c>
    </row>
    <row r="28" spans="2:5" x14ac:dyDescent="0.2">
      <c r="B28" s="245" t="s">
        <v>123</v>
      </c>
      <c r="C28" s="249"/>
      <c r="D28" s="249">
        <v>0</v>
      </c>
      <c r="E28" s="252">
        <v>0</v>
      </c>
    </row>
    <row r="29" spans="2:5" x14ac:dyDescent="0.2">
      <c r="B29" s="245" t="s">
        <v>124</v>
      </c>
      <c r="C29" s="249">
        <v>38000</v>
      </c>
      <c r="D29" s="249">
        <v>41000</v>
      </c>
      <c r="E29" s="252">
        <v>43000</v>
      </c>
    </row>
    <row r="30" spans="2:5" x14ac:dyDescent="0.2">
      <c r="B30" s="245" t="s">
        <v>125</v>
      </c>
      <c r="C30" s="249">
        <v>963</v>
      </c>
      <c r="D30" s="249"/>
      <c r="E30" s="252"/>
    </row>
    <row r="31" spans="2:5" x14ac:dyDescent="0.2">
      <c r="B31" s="245" t="s">
        <v>240</v>
      </c>
      <c r="C31" s="249">
        <v>357000</v>
      </c>
      <c r="D31" s="249">
        <v>403144</v>
      </c>
      <c r="E31" s="252">
        <v>411362</v>
      </c>
    </row>
    <row r="32" spans="2:5" x14ac:dyDescent="0.2">
      <c r="B32" s="245" t="s">
        <v>126</v>
      </c>
      <c r="C32" s="249">
        <v>6025</v>
      </c>
      <c r="D32" s="249">
        <v>8000</v>
      </c>
      <c r="E32" s="252">
        <v>1000</v>
      </c>
    </row>
    <row r="33" spans="2:7" x14ac:dyDescent="0.2">
      <c r="B33" s="245" t="s">
        <v>115</v>
      </c>
      <c r="C33" s="249">
        <v>9454</v>
      </c>
      <c r="D33" s="249">
        <v>16000</v>
      </c>
      <c r="E33" s="252">
        <v>16000</v>
      </c>
    </row>
    <row r="34" spans="2:7" x14ac:dyDescent="0.2">
      <c r="B34" s="245" t="s">
        <v>127</v>
      </c>
      <c r="C34" s="249"/>
      <c r="D34" s="249"/>
      <c r="E34" s="252"/>
    </row>
    <row r="35" spans="2:7" x14ac:dyDescent="0.2">
      <c r="B35" s="245" t="s">
        <v>128</v>
      </c>
      <c r="C35" s="249"/>
      <c r="D35" s="249"/>
      <c r="E35" s="252"/>
    </row>
    <row r="36" spans="2:7" x14ac:dyDescent="0.2">
      <c r="B36" s="245" t="s">
        <v>120</v>
      </c>
      <c r="C36" s="249">
        <v>7698</v>
      </c>
      <c r="D36" s="249">
        <v>12000</v>
      </c>
      <c r="E36" s="252">
        <v>12000</v>
      </c>
    </row>
    <row r="37" spans="2:7" x14ac:dyDescent="0.2">
      <c r="B37" s="245" t="s">
        <v>856</v>
      </c>
      <c r="C37" s="249"/>
      <c r="D37" s="249"/>
      <c r="E37" s="252"/>
    </row>
    <row r="38" spans="2:7" x14ac:dyDescent="0.2">
      <c r="B38" s="253" t="s">
        <v>858</v>
      </c>
      <c r="C38" s="249">
        <v>22656</v>
      </c>
      <c r="D38" s="249">
        <v>20000</v>
      </c>
      <c r="E38" s="252">
        <v>23000</v>
      </c>
    </row>
    <row r="39" spans="2:7" x14ac:dyDescent="0.2">
      <c r="B39" s="150" t="s">
        <v>730</v>
      </c>
      <c r="C39" s="249">
        <v>16152</v>
      </c>
      <c r="D39" s="249">
        <f>1000+12000+250</f>
        <v>13250</v>
      </c>
      <c r="E39" s="252">
        <f>1000+10000+250</f>
        <v>11250</v>
      </c>
    </row>
    <row r="40" spans="2:7" x14ac:dyDescent="0.2">
      <c r="B40" s="244" t="s">
        <v>638</v>
      </c>
      <c r="C40" s="254" t="str">
        <f>IF(C41*0.1&lt;C39,"Exceed 10% Rule","")</f>
        <v/>
      </c>
      <c r="D40" s="254" t="str">
        <f>IF(D41*0.1&lt;D39,"Exceed 10% Rule","")</f>
        <v/>
      </c>
      <c r="E40" s="291" t="str">
        <f>IF(E41*0.1+E102&lt;E39,"Exceed 10% Rule","")</f>
        <v/>
      </c>
      <c r="G40" s="912">
        <f>+E41+E100</f>
        <v>2239922</v>
      </c>
    </row>
    <row r="41" spans="2:7" x14ac:dyDescent="0.2">
      <c r="B41" s="256" t="s">
        <v>859</v>
      </c>
      <c r="C41" s="258">
        <f>SUM(C9:C39)</f>
        <v>2210457</v>
      </c>
      <c r="D41" s="258">
        <f>SUM(D9:D39)</f>
        <v>2234063</v>
      </c>
      <c r="E41" s="259">
        <f>SUM(E10:E39)</f>
        <v>1723063.31</v>
      </c>
      <c r="G41" s="912">
        <f>+G40-E41</f>
        <v>516858.68999999994</v>
      </c>
    </row>
    <row r="42" spans="2:7" x14ac:dyDescent="0.2">
      <c r="B42" s="256" t="s">
        <v>860</v>
      </c>
      <c r="C42" s="258">
        <f>C7+C41</f>
        <v>2241281</v>
      </c>
      <c r="D42" s="258">
        <f>D7+D41</f>
        <v>2345448</v>
      </c>
      <c r="E42" s="259">
        <f>E7+E41</f>
        <v>1855856.31</v>
      </c>
    </row>
    <row r="43" spans="2:7" x14ac:dyDescent="0.2">
      <c r="B43" s="36"/>
      <c r="C43" s="36"/>
      <c r="D43" s="36"/>
      <c r="E43" s="36"/>
    </row>
    <row r="44" spans="2:7" x14ac:dyDescent="0.2">
      <c r="B44" s="127" t="s">
        <v>869</v>
      </c>
      <c r="C44" s="689">
        <v>7</v>
      </c>
      <c r="D44" s="163"/>
      <c r="E44" s="920"/>
    </row>
    <row r="45" spans="2:7" x14ac:dyDescent="0.2">
      <c r="B45" s="188" t="str">
        <f>inputPrYr!D2</f>
        <v>City of Osawatomie</v>
      </c>
      <c r="C45" s="36"/>
      <c r="D45" s="36"/>
      <c r="E45" s="160">
        <v>2014</v>
      </c>
    </row>
    <row r="46" spans="2:7" x14ac:dyDescent="0.2">
      <c r="B46" s="36"/>
      <c r="C46" s="36"/>
      <c r="D46" s="36"/>
      <c r="E46" s="127"/>
    </row>
    <row r="47" spans="2:7" x14ac:dyDescent="0.2">
      <c r="B47" s="260" t="s">
        <v>916</v>
      </c>
      <c r="C47" s="211"/>
      <c r="D47" s="211"/>
      <c r="E47" s="211"/>
    </row>
    <row r="48" spans="2:7" x14ac:dyDescent="0.2">
      <c r="B48" s="36" t="s">
        <v>850</v>
      </c>
      <c r="C48" s="241" t="s">
        <v>662</v>
      </c>
      <c r="D48" s="242" t="s">
        <v>671</v>
      </c>
      <c r="E48" s="135" t="s">
        <v>664</v>
      </c>
    </row>
    <row r="49" spans="2:6" x14ac:dyDescent="0.2">
      <c r="B49" s="66" t="str">
        <f>inputPrYr!B17</f>
        <v>General</v>
      </c>
      <c r="C49" s="371" t="str">
        <f>C6</f>
        <v>Actual for 2012</v>
      </c>
      <c r="D49" s="371" t="str">
        <f>D6</f>
        <v>Estimate for 2013</v>
      </c>
      <c r="E49" s="243" t="str">
        <f>E6</f>
        <v>Year for 2014</v>
      </c>
    </row>
    <row r="50" spans="2:6" x14ac:dyDescent="0.2">
      <c r="B50" s="261" t="s">
        <v>860</v>
      </c>
      <c r="C50" s="247">
        <f>C42</f>
        <v>2241281</v>
      </c>
      <c r="D50" s="247">
        <f>D42</f>
        <v>2345448</v>
      </c>
      <c r="E50" s="218">
        <f>E42</f>
        <v>1855856.31</v>
      </c>
    </row>
    <row r="51" spans="2:6" x14ac:dyDescent="0.2">
      <c r="B51" s="248" t="s">
        <v>862</v>
      </c>
      <c r="C51" s="150"/>
      <c r="D51" s="150"/>
      <c r="E51" s="76"/>
    </row>
    <row r="52" spans="2:6" x14ac:dyDescent="0.2">
      <c r="B52" s="244" t="str">
        <f>GenDetail!A6</f>
        <v>Administration</v>
      </c>
      <c r="C52" s="262">
        <f>GenDetail!B12</f>
        <v>554617</v>
      </c>
      <c r="D52" s="262">
        <f>GenDetail!C12</f>
        <v>608316</v>
      </c>
      <c r="E52" s="71">
        <f>GenDetail!D12</f>
        <v>650954</v>
      </c>
      <c r="F52" s="263"/>
    </row>
    <row r="53" spans="2:6" x14ac:dyDescent="0.2">
      <c r="B53" s="244" t="str">
        <f>GenDetail!A13</f>
        <v>Police &amp; Fire</v>
      </c>
      <c r="C53" s="262">
        <f>GenDetail!B18</f>
        <v>876039</v>
      </c>
      <c r="D53" s="262">
        <f>GenDetail!C18</f>
        <v>912509.99999999988</v>
      </c>
      <c r="E53" s="71">
        <f>GenDetail!D18</f>
        <v>923434</v>
      </c>
      <c r="F53" s="263"/>
    </row>
    <row r="54" spans="2:6" x14ac:dyDescent="0.2">
      <c r="B54" s="244" t="str">
        <f>GenDetail!A19</f>
        <v>John Brown Cabin</v>
      </c>
      <c r="C54" s="262">
        <f>GenDetail!B24</f>
        <v>39328</v>
      </c>
      <c r="D54" s="262">
        <f>GenDetail!C24</f>
        <v>41691</v>
      </c>
      <c r="E54" s="71">
        <f>GenDetail!D24</f>
        <v>39752</v>
      </c>
    </row>
    <row r="55" spans="2:6" x14ac:dyDescent="0.2">
      <c r="B55" s="244" t="str">
        <f>GenDetail!A25</f>
        <v>Streets &amp; Alleys</v>
      </c>
      <c r="C55" s="262">
        <f>GenDetail!B30</f>
        <v>235595</v>
      </c>
      <c r="D55" s="262">
        <f>GenDetail!C30</f>
        <v>256986</v>
      </c>
      <c r="E55" s="71">
        <f>GenDetail!D30</f>
        <v>255808</v>
      </c>
    </row>
    <row r="56" spans="2:6" x14ac:dyDescent="0.2">
      <c r="B56" s="244" t="str">
        <f>GenDetail!A31</f>
        <v>Swimming Pool</v>
      </c>
      <c r="C56" s="262">
        <f>GenDetail!B36</f>
        <v>38006</v>
      </c>
      <c r="D56" s="262">
        <f>GenDetail!C36</f>
        <v>17700</v>
      </c>
      <c r="E56" s="71">
        <f>GenDetail!D36</f>
        <v>17870</v>
      </c>
    </row>
    <row r="57" spans="2:6" x14ac:dyDescent="0.2">
      <c r="B57" s="244" t="str">
        <f>GenDetail!A37</f>
        <v>Cemeteries</v>
      </c>
      <c r="C57" s="262">
        <f>GenDetail!B42</f>
        <v>121049</v>
      </c>
      <c r="D57" s="262">
        <f>GenDetail!C42</f>
        <v>108455</v>
      </c>
      <c r="E57" s="71">
        <f>GenDetail!D42</f>
        <v>108683</v>
      </c>
    </row>
    <row r="58" spans="2:6" hidden="1" x14ac:dyDescent="0.2">
      <c r="B58" s="244">
        <f>GenDetail!A43</f>
        <v>0</v>
      </c>
      <c r="C58" s="262">
        <f>GenDetail!B49</f>
        <v>0</v>
      </c>
      <c r="D58" s="262">
        <f>GenDetail!C49</f>
        <v>0</v>
      </c>
      <c r="E58" s="71">
        <f>GenDetail!D49</f>
        <v>0</v>
      </c>
    </row>
    <row r="59" spans="2:6" hidden="1" x14ac:dyDescent="0.2">
      <c r="B59" s="244">
        <f>GenDetail!A50</f>
        <v>0</v>
      </c>
      <c r="C59" s="262">
        <f>GenDetail!B56</f>
        <v>0</v>
      </c>
      <c r="D59" s="262">
        <f>GenDetail!C56</f>
        <v>0</v>
      </c>
      <c r="E59" s="71">
        <f>GenDetail!D56</f>
        <v>0</v>
      </c>
    </row>
    <row r="60" spans="2:6" x14ac:dyDescent="0.2">
      <c r="B60" s="244" t="str">
        <f>GenDetail!A66</f>
        <v>Lakes &amp; Parks</v>
      </c>
      <c r="C60" s="262">
        <f>GenDetail!B71</f>
        <v>186</v>
      </c>
      <c r="D60" s="262">
        <f>GenDetail!C71</f>
        <v>0</v>
      </c>
      <c r="E60" s="71">
        <f>GenDetail!D71</f>
        <v>0</v>
      </c>
    </row>
    <row r="61" spans="2:6" x14ac:dyDescent="0.2">
      <c r="B61" s="244" t="str">
        <f>GenDetail!A72</f>
        <v>Municipal Court</v>
      </c>
      <c r="C61" s="262">
        <f>GenDetail!B77</f>
        <v>123576</v>
      </c>
      <c r="D61" s="262">
        <f>GenDetail!C77</f>
        <v>114928</v>
      </c>
      <c r="E61" s="71">
        <f>GenDetail!D77</f>
        <v>116900</v>
      </c>
    </row>
    <row r="62" spans="2:6" hidden="1" x14ac:dyDescent="0.2">
      <c r="B62" s="244">
        <f>GenDetail!A78</f>
        <v>0</v>
      </c>
      <c r="C62" s="262">
        <f>GenDetail!B84</f>
        <v>0</v>
      </c>
      <c r="D62" s="262">
        <f>GenDetail!C84</f>
        <v>0</v>
      </c>
      <c r="E62" s="71">
        <f>GenDetail!D84</f>
        <v>0</v>
      </c>
    </row>
    <row r="63" spans="2:6" hidden="1" x14ac:dyDescent="0.2">
      <c r="B63" s="244">
        <f>GenDetail!A85</f>
        <v>0</v>
      </c>
      <c r="C63" s="262">
        <f>GenDetail!B90</f>
        <v>0</v>
      </c>
      <c r="D63" s="262">
        <f>GenDetail!C90</f>
        <v>0</v>
      </c>
      <c r="E63" s="71">
        <f>GenDetail!D90</f>
        <v>0</v>
      </c>
    </row>
    <row r="64" spans="2:6" hidden="1" x14ac:dyDescent="0.2">
      <c r="B64" s="244">
        <f>GenDetail!A91</f>
        <v>0</v>
      </c>
      <c r="C64" s="262">
        <f>GenDetail!B97</f>
        <v>0</v>
      </c>
      <c r="D64" s="262">
        <f>GenDetail!C97</f>
        <v>0</v>
      </c>
      <c r="E64" s="71">
        <f>GenDetail!D97</f>
        <v>0</v>
      </c>
    </row>
    <row r="65" spans="2:5" x14ac:dyDescent="0.2">
      <c r="B65" s="244" t="str">
        <f>GenDetail!A98</f>
        <v>Levees &amp; Stormwater</v>
      </c>
      <c r="C65" s="262">
        <f>GenDetail!B103</f>
        <v>28176</v>
      </c>
      <c r="D65" s="262">
        <f>GenDetail!C103</f>
        <v>12050</v>
      </c>
      <c r="E65" s="71">
        <f>GenDetail!D103</f>
        <v>12335</v>
      </c>
    </row>
    <row r="66" spans="2:5" x14ac:dyDescent="0.2">
      <c r="B66" s="244" t="str">
        <f>GenDetail!A104</f>
        <v>Library</v>
      </c>
      <c r="C66" s="262">
        <f>GenDetail!B109</f>
        <v>113324</v>
      </c>
      <c r="D66" s="262">
        <f>GenDetail!C109</f>
        <v>140019</v>
      </c>
      <c r="E66" s="71">
        <f>GenDetail!D109</f>
        <v>141979</v>
      </c>
    </row>
    <row r="67" spans="2:5" x14ac:dyDescent="0.2">
      <c r="B67" s="244">
        <f>GenDetail!A110</f>
        <v>0</v>
      </c>
      <c r="C67" s="262">
        <f>GenDetail!B115</f>
        <v>0</v>
      </c>
      <c r="D67" s="262">
        <f>GenDetail!C115</f>
        <v>0</v>
      </c>
      <c r="E67" s="71">
        <f>GenDetail!D115</f>
        <v>0</v>
      </c>
    </row>
    <row r="68" spans="2:5" hidden="1" x14ac:dyDescent="0.2">
      <c r="B68" s="264" t="s">
        <v>485</v>
      </c>
      <c r="C68" s="372">
        <f>SUM(C52:C67)</f>
        <v>2129896</v>
      </c>
      <c r="D68" s="372">
        <f>SUM(D52:D67)</f>
        <v>2212655</v>
      </c>
      <c r="E68" s="278">
        <f>SUM(E52:E67)</f>
        <v>2267715</v>
      </c>
    </row>
    <row r="69" spans="2:5" hidden="1" x14ac:dyDescent="0.2">
      <c r="B69" s="253"/>
      <c r="C69" s="249"/>
      <c r="D69" s="249"/>
      <c r="E69" s="252"/>
    </row>
    <row r="70" spans="2:5" hidden="1" x14ac:dyDescent="0.2">
      <c r="B70" s="253"/>
      <c r="C70" s="249"/>
      <c r="D70" s="249"/>
      <c r="E70" s="252"/>
    </row>
    <row r="71" spans="2:5" hidden="1" x14ac:dyDescent="0.2">
      <c r="B71" s="253"/>
      <c r="C71" s="249"/>
      <c r="D71" s="249"/>
      <c r="E71" s="252"/>
    </row>
    <row r="72" spans="2:5" hidden="1" x14ac:dyDescent="0.2">
      <c r="B72" s="253"/>
      <c r="C72" s="249"/>
      <c r="D72" s="249"/>
      <c r="E72" s="252"/>
    </row>
    <row r="73" spans="2:5" hidden="1" x14ac:dyDescent="0.2">
      <c r="B73" s="253"/>
      <c r="C73" s="249"/>
      <c r="D73" s="249"/>
      <c r="E73" s="252"/>
    </row>
    <row r="74" spans="2:5" hidden="1" x14ac:dyDescent="0.2">
      <c r="B74" s="253"/>
      <c r="C74" s="249"/>
      <c r="D74" s="249"/>
      <c r="E74" s="252"/>
    </row>
    <row r="75" spans="2:5" hidden="1" x14ac:dyDescent="0.2">
      <c r="B75" s="265"/>
      <c r="C75" s="249"/>
      <c r="D75" s="249"/>
      <c r="E75" s="252"/>
    </row>
    <row r="76" spans="2:5" hidden="1" x14ac:dyDescent="0.2">
      <c r="B76" s="265"/>
      <c r="C76" s="249"/>
      <c r="D76" s="249"/>
      <c r="E76" s="252"/>
    </row>
    <row r="77" spans="2:5" hidden="1" x14ac:dyDescent="0.2">
      <c r="B77" s="265"/>
      <c r="C77" s="249"/>
      <c r="D77" s="249"/>
      <c r="E77" s="252"/>
    </row>
    <row r="78" spans="2:5" hidden="1" x14ac:dyDescent="0.2">
      <c r="B78" s="265"/>
      <c r="C78" s="249"/>
      <c r="D78" s="249"/>
      <c r="E78" s="252"/>
    </row>
    <row r="79" spans="2:5" hidden="1" x14ac:dyDescent="0.2">
      <c r="B79" s="265"/>
      <c r="C79" s="249"/>
      <c r="D79" s="249"/>
      <c r="E79" s="252"/>
    </row>
    <row r="80" spans="2:5" hidden="1" x14ac:dyDescent="0.2">
      <c r="B80" s="265"/>
      <c r="C80" s="249"/>
      <c r="D80" s="249"/>
      <c r="E80" s="252"/>
    </row>
    <row r="81" spans="2:10" hidden="1" x14ac:dyDescent="0.2">
      <c r="B81" s="265"/>
      <c r="C81" s="249"/>
      <c r="D81" s="249"/>
      <c r="E81" s="252"/>
    </row>
    <row r="82" spans="2:10" hidden="1" x14ac:dyDescent="0.2">
      <c r="B82" s="265"/>
      <c r="C82" s="249"/>
      <c r="D82" s="249"/>
      <c r="E82" s="252"/>
    </row>
    <row r="83" spans="2:10" hidden="1" x14ac:dyDescent="0.2">
      <c r="B83" s="265"/>
      <c r="C83" s="249"/>
      <c r="D83" s="249"/>
      <c r="E83" s="252"/>
    </row>
    <row r="84" spans="2:10" hidden="1" x14ac:dyDescent="0.2">
      <c r="B84" s="265"/>
      <c r="C84" s="249"/>
      <c r="D84" s="249"/>
      <c r="E84" s="252"/>
    </row>
    <row r="85" spans="2:10" hidden="1" x14ac:dyDescent="0.2">
      <c r="B85" s="265"/>
      <c r="C85" s="249"/>
      <c r="D85" s="249"/>
      <c r="E85" s="252"/>
    </row>
    <row r="86" spans="2:10" hidden="1" x14ac:dyDescent="0.2">
      <c r="B86" s="265"/>
      <c r="C86" s="249"/>
      <c r="D86" s="249"/>
      <c r="E86" s="252"/>
      <c r="G86" s="969" t="str">
        <f>CONCATENATE("Desired Carryover Into ",E1+1,"")</f>
        <v>Desired Carryover Into 2015</v>
      </c>
      <c r="H86" s="970"/>
      <c r="I86" s="970"/>
      <c r="J86" s="971"/>
    </row>
    <row r="87" spans="2:10" hidden="1" x14ac:dyDescent="0.2">
      <c r="B87" s="265"/>
      <c r="C87" s="249"/>
      <c r="D87" s="249"/>
      <c r="E87" s="252"/>
      <c r="G87" s="766"/>
      <c r="H87" s="767"/>
      <c r="I87" s="767"/>
      <c r="J87" s="768"/>
    </row>
    <row r="88" spans="2:10" hidden="1" x14ac:dyDescent="0.2">
      <c r="B88" s="265"/>
      <c r="C88" s="249"/>
      <c r="D88" s="249"/>
      <c r="E88" s="252"/>
      <c r="G88" s="769" t="s">
        <v>626</v>
      </c>
      <c r="H88" s="770"/>
      <c r="I88" s="770"/>
      <c r="J88" s="771"/>
    </row>
    <row r="89" spans="2:10" hidden="1" x14ac:dyDescent="0.2">
      <c r="B89" s="265"/>
      <c r="C89" s="249"/>
      <c r="D89" s="249"/>
      <c r="E89" s="252"/>
      <c r="G89" s="772" t="s">
        <v>627</v>
      </c>
      <c r="H89" s="773"/>
      <c r="I89" s="774"/>
      <c r="J89" s="775" t="str">
        <f>IF(J88=0,"",ROUND((J88+E102-G101)/inputOth!E9*1000,3)-general!G106)</f>
        <v/>
      </c>
    </row>
    <row r="90" spans="2:10" hidden="1" x14ac:dyDescent="0.2">
      <c r="B90" s="265"/>
      <c r="C90" s="249"/>
      <c r="D90" s="249"/>
      <c r="E90" s="252"/>
      <c r="G90" s="776" t="str">
        <f>CONCATENATE("",E1," Total Expenditures Must Be:")</f>
        <v>2014 Total Expenditures Must Be:</v>
      </c>
      <c r="H90" s="777"/>
      <c r="I90" s="778"/>
      <c r="J90" s="779">
        <f>IF(J88&gt;0,IF(E99&lt;E42,IF(J88=G101,E99,((J88-G101)*(1-D101))+E42),E99+(J88-G101)),0)</f>
        <v>0</v>
      </c>
    </row>
    <row r="91" spans="2:10" hidden="1" x14ac:dyDescent="0.2">
      <c r="B91" s="265"/>
      <c r="C91" s="249"/>
      <c r="D91" s="249"/>
      <c r="E91" s="252"/>
      <c r="G91" s="780" t="s">
        <v>762</v>
      </c>
      <c r="H91" s="781"/>
      <c r="I91" s="782"/>
      <c r="J91" s="783">
        <f>IF(J88&gt;0,J90-E99,0)</f>
        <v>0</v>
      </c>
    </row>
    <row r="92" spans="2:10" hidden="1" x14ac:dyDescent="0.2">
      <c r="B92" s="266" t="s">
        <v>729</v>
      </c>
      <c r="C92" s="249"/>
      <c r="D92" s="249"/>
      <c r="E92" s="267" t="str">
        <f>nhood!E6</f>
        <v/>
      </c>
    </row>
    <row r="93" spans="2:10" x14ac:dyDescent="0.2">
      <c r="B93" s="266" t="s">
        <v>730</v>
      </c>
      <c r="C93" s="249"/>
      <c r="D93" s="249"/>
      <c r="E93" s="252"/>
      <c r="G93" s="969" t="str">
        <f>CONCATENATE("Projected Carryover Into ",E1+1,"")</f>
        <v>Projected Carryover Into 2015</v>
      </c>
      <c r="H93" s="972"/>
      <c r="I93" s="972"/>
      <c r="J93" s="973"/>
    </row>
    <row r="94" spans="2:10" x14ac:dyDescent="0.2">
      <c r="B94" s="266" t="s">
        <v>639</v>
      </c>
      <c r="C94" s="254" t="str">
        <f>IF(C95*0.1&lt;C93,"Exceed 10% Rule","")</f>
        <v/>
      </c>
      <c r="D94" s="254" t="str">
        <f>IF(D95*0.1&lt;D93,"Exceed 10% Rule","")</f>
        <v/>
      </c>
      <c r="E94" s="291" t="str">
        <f>IF(E95*0.1&lt;E93,"Exceed 10% Rule","")</f>
        <v/>
      </c>
      <c r="G94" s="766"/>
      <c r="H94" s="767"/>
      <c r="I94" s="767"/>
      <c r="J94" s="768"/>
    </row>
    <row r="95" spans="2:10" x14ac:dyDescent="0.2">
      <c r="B95" s="256" t="s">
        <v>866</v>
      </c>
      <c r="C95" s="258">
        <f>SUM(C68:C93)</f>
        <v>2129896</v>
      </c>
      <c r="D95" s="258">
        <f>SUM(D68:D93)</f>
        <v>2212655</v>
      </c>
      <c r="E95" s="259">
        <f>SUM(E68:E93)</f>
        <v>2267715</v>
      </c>
      <c r="G95" s="784">
        <f>D96</f>
        <v>132793</v>
      </c>
      <c r="H95" s="785" t="str">
        <f>CONCATENATE("",E1-1," Ending Cash Balance (est.)")</f>
        <v>2013 Ending Cash Balance (est.)</v>
      </c>
      <c r="I95" s="786"/>
      <c r="J95" s="768"/>
    </row>
    <row r="96" spans="2:10" x14ac:dyDescent="0.2">
      <c r="B96" s="141" t="s">
        <v>972</v>
      </c>
      <c r="C96" s="262">
        <f>C42-C95</f>
        <v>111385</v>
      </c>
      <c r="D96" s="262">
        <f>D42-D95</f>
        <v>132793</v>
      </c>
      <c r="E96" s="251" t="s">
        <v>839</v>
      </c>
      <c r="G96" s="784">
        <f>E41</f>
        <v>1723063.31</v>
      </c>
      <c r="H96" s="770" t="str">
        <f>CONCATENATE("",E1," Non-AV Receipts (est.)")</f>
        <v>2014 Non-AV Receipts (est.)</v>
      </c>
      <c r="I96" s="786"/>
      <c r="J96" s="768"/>
    </row>
    <row r="97" spans="2:11" x14ac:dyDescent="0.2">
      <c r="B97" s="127" t="str">
        <f>CONCATENATE("",E1-2,"/",E1-1," Budget Authority Amount:")</f>
        <v>2012/2013 Budget Authority Amount:</v>
      </c>
      <c r="C97" s="231">
        <f>inputOth!B63</f>
        <v>2291543</v>
      </c>
      <c r="D97" s="231">
        <f>inputPrYr!D17</f>
        <v>2140661</v>
      </c>
      <c r="E97" s="251" t="s">
        <v>839</v>
      </c>
      <c r="F97" s="268"/>
      <c r="G97" s="787">
        <f>IF(E101&gt;0,E100,E102)</f>
        <v>516858.68999999994</v>
      </c>
      <c r="H97" s="770" t="str">
        <f>CONCATENATE("",E1," Ad Valorem Tax (est.)")</f>
        <v>2014 Ad Valorem Tax (est.)</v>
      </c>
      <c r="I97" s="786"/>
      <c r="J97" s="768"/>
      <c r="K97" s="788" t="str">
        <f>IF(G97=E102,"","Note: Does not include Delinquent Taxes")</f>
        <v>Note: Does not include Delinquent Taxes</v>
      </c>
    </row>
    <row r="98" spans="2:11" x14ac:dyDescent="0.2">
      <c r="B98" s="127"/>
      <c r="C98" s="977" t="s">
        <v>483</v>
      </c>
      <c r="D98" s="978"/>
      <c r="E98" s="252">
        <v>105000</v>
      </c>
      <c r="F98" s="443"/>
      <c r="G98" s="784">
        <f>SUM(G95:G97)</f>
        <v>2372715</v>
      </c>
      <c r="H98" s="770" t="str">
        <f>CONCATENATE("Total ",E1," Resources Available")</f>
        <v>Total 2014 Resources Available</v>
      </c>
      <c r="I98" s="786"/>
      <c r="J98" s="768"/>
    </row>
    <row r="99" spans="2:11" x14ac:dyDescent="0.2">
      <c r="B99" s="540" t="str">
        <f>CONCATENATE(C116,"     ",D116)</f>
        <v xml:space="preserve">     See Tab C</v>
      </c>
      <c r="C99" s="979" t="s">
        <v>484</v>
      </c>
      <c r="D99" s="980"/>
      <c r="E99" s="218">
        <f>E95+E98</f>
        <v>2372715</v>
      </c>
      <c r="G99" s="789"/>
      <c r="H99" s="770"/>
      <c r="I99" s="770"/>
      <c r="J99" s="768"/>
    </row>
    <row r="100" spans="2:11" x14ac:dyDescent="0.2">
      <c r="B100" s="540" t="str">
        <f>CONCATENATE(C117,"     ",D117)</f>
        <v xml:space="preserve">     </v>
      </c>
      <c r="C100" s="269"/>
      <c r="D100" s="160" t="s">
        <v>867</v>
      </c>
      <c r="E100" s="71">
        <f>IF(E99-E42&gt;0,E99-E42,0)</f>
        <v>516858.68999999994</v>
      </c>
      <c r="G100" s="787">
        <f>C95*0.05+C95</f>
        <v>2236390.7999999998</v>
      </c>
      <c r="H100" s="770" t="str">
        <f>CONCATENATE("Less ",E1-2," Expenditures + 5%")</f>
        <v>Less 2012 Expenditures + 5%</v>
      </c>
      <c r="I100" s="786"/>
      <c r="J100" s="768"/>
    </row>
    <row r="101" spans="2:11" x14ac:dyDescent="0.2">
      <c r="B101" s="160"/>
      <c r="C101" s="381" t="s">
        <v>482</v>
      </c>
      <c r="D101" s="751">
        <f>inputOth!$E$50</f>
        <v>0.05</v>
      </c>
      <c r="E101" s="218">
        <f>ROUND(IF(D101&gt;0,(E100*D101),0),0)</f>
        <v>25843</v>
      </c>
      <c r="G101" s="790">
        <f>G98-G100</f>
        <v>136324.20000000019</v>
      </c>
      <c r="H101" s="791" t="str">
        <f>CONCATENATE("Projected ",E1+1," Carryover (est.)")</f>
        <v>Projected 2015 Carryover (est.)</v>
      </c>
      <c r="I101" s="792"/>
      <c r="J101" s="793"/>
    </row>
    <row r="102" spans="2:11" ht="16.5" thickBot="1" x14ac:dyDescent="0.25">
      <c r="B102" s="36"/>
      <c r="C102" s="981" t="str">
        <f>CONCATENATE("Amount of  ",$E$1-1," Ad Valorem Tax")</f>
        <v>Amount of  2013 Ad Valorem Tax</v>
      </c>
      <c r="D102" s="982"/>
      <c r="E102" s="752">
        <f>E100+E101</f>
        <v>542701.68999999994</v>
      </c>
    </row>
    <row r="103" spans="2:11" ht="16.5" thickTop="1" x14ac:dyDescent="0.2">
      <c r="B103" s="36"/>
      <c r="C103" s="36"/>
      <c r="D103" s="36"/>
      <c r="E103" s="36"/>
      <c r="G103" s="974" t="s">
        <v>666</v>
      </c>
      <c r="H103" s="975"/>
      <c r="I103" s="975"/>
      <c r="J103" s="976"/>
    </row>
    <row r="104" spans="2:11" x14ac:dyDescent="0.2">
      <c r="B104" s="127" t="s">
        <v>861</v>
      </c>
      <c r="C104" s="689">
        <v>8</v>
      </c>
      <c r="D104" s="163"/>
      <c r="E104" s="163"/>
      <c r="G104" s="794"/>
      <c r="H104" s="795"/>
      <c r="I104" s="796"/>
      <c r="J104" s="797"/>
    </row>
    <row r="105" spans="2:11" x14ac:dyDescent="0.2">
      <c r="G105" s="798">
        <f>summ!H15</f>
        <v>24.096</v>
      </c>
      <c r="H105" s="795" t="str">
        <f>CONCATENATE("",E1," Fund Mill Rate")</f>
        <v>2014 Fund Mill Rate</v>
      </c>
      <c r="I105" s="796"/>
      <c r="J105" s="797"/>
    </row>
    <row r="106" spans="2:11" x14ac:dyDescent="0.2">
      <c r="B106" s="95"/>
      <c r="E106" s="34">
        <f>+E100/G105</f>
        <v>21449.978834661353</v>
      </c>
      <c r="G106" s="799">
        <f>summ!E15</f>
        <v>25.375</v>
      </c>
      <c r="H106" s="795" t="str">
        <f>CONCATENATE("",E1-1," Fund Mill Rate")</f>
        <v>2013 Fund Mill Rate</v>
      </c>
      <c r="I106" s="796"/>
      <c r="J106" s="797"/>
    </row>
    <row r="107" spans="2:11" x14ac:dyDescent="0.2">
      <c r="F107" s="34">
        <f>+D107-E107</f>
        <v>0</v>
      </c>
      <c r="G107" s="800">
        <f>summ!H52</f>
        <v>59.936</v>
      </c>
      <c r="H107" s="795" t="str">
        <f>CONCATENATE("Total ",E1," Mill Rate")</f>
        <v>Total 2014 Mill Rate</v>
      </c>
      <c r="I107" s="796"/>
      <c r="J107" s="797"/>
    </row>
    <row r="108" spans="2:11" x14ac:dyDescent="0.2">
      <c r="G108" s="799">
        <f>summ!E52</f>
        <v>58.256999999999998</v>
      </c>
      <c r="H108" s="801" t="str">
        <f>CONCATENATE("Total ",E1-1," Mill Rate")</f>
        <v>Total 2013 Mill Rate</v>
      </c>
      <c r="I108" s="802"/>
      <c r="J108" s="803"/>
    </row>
    <row r="109" spans="2:11" x14ac:dyDescent="0.2">
      <c r="B109" s="21"/>
      <c r="C109" s="21"/>
      <c r="G109" s="745"/>
      <c r="H109" s="746"/>
      <c r="I109" s="747"/>
      <c r="J109" s="748"/>
    </row>
    <row r="110" spans="2:11" x14ac:dyDescent="0.2">
      <c r="G110" s="749"/>
      <c r="H110" s="746"/>
      <c r="I110" s="747"/>
      <c r="J110" s="750"/>
    </row>
    <row r="116" spans="3:4" hidden="1" x14ac:dyDescent="0.2">
      <c r="C116" s="539" t="str">
        <f>IF(C95&gt;C97,"See Tab A","")</f>
        <v/>
      </c>
      <c r="D116" s="539" t="str">
        <f>IF(D95&gt;D97,"See Tab C","")</f>
        <v>See Tab C</v>
      </c>
    </row>
    <row r="117" spans="3:4" hidden="1" x14ac:dyDescent="0.2">
      <c r="C117" s="539" t="str">
        <f>IF(C96&lt;0,"See Tab B","")</f>
        <v/>
      </c>
      <c r="D117" s="539" t="str">
        <f>IF(D96&lt;0,"See Tab D","")</f>
        <v/>
      </c>
    </row>
  </sheetData>
  <mergeCells count="6">
    <mergeCell ref="G86:J86"/>
    <mergeCell ref="G93:J93"/>
    <mergeCell ref="G103:J103"/>
    <mergeCell ref="C98:D98"/>
    <mergeCell ref="C99:D99"/>
    <mergeCell ref="C102:D102"/>
  </mergeCells>
  <phoneticPr fontId="0" type="noConversion"/>
  <conditionalFormatting sqref="E93">
    <cfRule type="cellIs" dxfId="325" priority="2" stopIfTrue="1" operator="greaterThan">
      <formula>$E$95*0.1</formula>
    </cfRule>
  </conditionalFormatting>
  <conditionalFormatting sqref="E98">
    <cfRule type="cellIs" dxfId="324" priority="3" stopIfTrue="1" operator="greaterThan">
      <formula>$E$95/0.95-$E$95</formula>
    </cfRule>
  </conditionalFormatting>
  <conditionalFormatting sqref="D95">
    <cfRule type="cellIs" dxfId="323" priority="4" stopIfTrue="1" operator="greaterThan">
      <formula>$D$97</formula>
    </cfRule>
  </conditionalFormatting>
  <conditionalFormatting sqref="C95">
    <cfRule type="cellIs" dxfId="322" priority="5" stopIfTrue="1" operator="greaterThan">
      <formula>$C$97</formula>
    </cfRule>
  </conditionalFormatting>
  <conditionalFormatting sqref="C96">
    <cfRule type="cellIs" dxfId="321" priority="6" stopIfTrue="1" operator="lessThan">
      <formula>0</formula>
    </cfRule>
  </conditionalFormatting>
  <conditionalFormatting sqref="C93">
    <cfRule type="cellIs" dxfId="320" priority="7" stopIfTrue="1" operator="greaterThan">
      <formula>$C$95*0.1</formula>
    </cfRule>
  </conditionalFormatting>
  <conditionalFormatting sqref="D93">
    <cfRule type="cellIs" dxfId="319" priority="8" stopIfTrue="1" operator="greaterThan">
      <formula>$D$95*0.1</formula>
    </cfRule>
  </conditionalFormatting>
  <conditionalFormatting sqref="D39">
    <cfRule type="cellIs" dxfId="318" priority="9" stopIfTrue="1" operator="greaterThan">
      <formula>$D$41*0.1</formula>
    </cfRule>
  </conditionalFormatting>
  <conditionalFormatting sqref="C39">
    <cfRule type="cellIs" dxfId="317" priority="10" stopIfTrue="1" operator="greaterThan">
      <formula>$C$41*0.1</formula>
    </cfRule>
  </conditionalFormatting>
  <conditionalFormatting sqref="E39">
    <cfRule type="cellIs" dxfId="316" priority="11" stopIfTrue="1" operator="greaterThan">
      <formula>$E$41*0.1+E102</formula>
    </cfRule>
  </conditionalFormatting>
  <conditionalFormatting sqref="D96">
    <cfRule type="cellIs" dxfId="315" priority="1" stopIfTrue="1" operator="lessThan">
      <formula>0</formula>
    </cfRule>
  </conditionalFormatting>
  <printOptions horizontalCentered="1"/>
  <pageMargins left="0.5" right="0.5" top="0.5" bottom="0.5" header="0.3" footer="0.3"/>
  <pageSetup fitToHeight="2" orientation="portrait" blackAndWhite="1" horizontalDpi="120" verticalDpi="144" r:id="rId1"/>
  <headerFooter alignWithMargins="0"/>
  <rowBreaks count="1" manualBreakCount="1">
    <brk id="44" min="1"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view="pageBreakPreview" topLeftCell="A60" zoomScale="60" zoomScaleNormal="100" workbookViewId="0">
      <selection activeCell="B121" sqref="B121"/>
    </sheetView>
  </sheetViews>
  <sheetFormatPr defaultRowHeight="15.75" x14ac:dyDescent="0.2"/>
  <cols>
    <col min="1" max="1" width="28.33203125" style="21" customWidth="1"/>
    <col min="2" max="3" width="15.77734375" style="21" customWidth="1"/>
    <col min="4" max="4" width="16.109375" style="21" customWidth="1"/>
    <col min="5" max="16384" width="8.88671875" style="21"/>
  </cols>
  <sheetData>
    <row r="1" spans="1:4" x14ac:dyDescent="0.2">
      <c r="A1" s="188" t="str">
        <f>inputPrYr!D2</f>
        <v>City of Osawatomie</v>
      </c>
      <c r="B1" s="36"/>
      <c r="C1" s="162"/>
      <c r="D1" s="36">
        <f>inputPrYr!C5</f>
        <v>2014</v>
      </c>
    </row>
    <row r="2" spans="1:4" x14ac:dyDescent="0.2">
      <c r="A2" s="239"/>
      <c r="B2" s="270"/>
      <c r="C2" s="270"/>
      <c r="D2" s="270"/>
    </row>
    <row r="3" spans="1:4" x14ac:dyDescent="0.2">
      <c r="A3" s="216" t="s">
        <v>850</v>
      </c>
      <c r="B3" s="271" t="s">
        <v>662</v>
      </c>
      <c r="C3" s="135" t="s">
        <v>663</v>
      </c>
      <c r="D3" s="135" t="s">
        <v>664</v>
      </c>
    </row>
    <row r="4" spans="1:4" x14ac:dyDescent="0.2">
      <c r="A4" s="60" t="s">
        <v>1148</v>
      </c>
      <c r="B4" s="243" t="str">
        <f>CONCATENATE("Actual for ",D1-2,"")</f>
        <v>Actual for 2012</v>
      </c>
      <c r="C4" s="243" t="str">
        <f>CONCATENATE("Estimate for ",D1-1,"")</f>
        <v>Estimate for 2013</v>
      </c>
      <c r="D4" s="243" t="str">
        <f>CONCATENATE("Year for ",D1,"")</f>
        <v>Year for 2014</v>
      </c>
    </row>
    <row r="5" spans="1:4" x14ac:dyDescent="0.2">
      <c r="A5" s="216" t="s">
        <v>862</v>
      </c>
      <c r="B5" s="76"/>
      <c r="C5" s="76"/>
      <c r="D5" s="76"/>
    </row>
    <row r="6" spans="1:4" x14ac:dyDescent="0.2">
      <c r="A6" s="911" t="s">
        <v>129</v>
      </c>
      <c r="B6" s="76"/>
      <c r="C6" s="76"/>
      <c r="D6" s="76"/>
    </row>
    <row r="7" spans="1:4" x14ac:dyDescent="0.2">
      <c r="A7" s="272" t="s">
        <v>870</v>
      </c>
      <c r="B7" s="252">
        <v>418934</v>
      </c>
      <c r="C7" s="252">
        <v>430206</v>
      </c>
      <c r="D7" s="252">
        <v>453030</v>
      </c>
    </row>
    <row r="8" spans="1:4" x14ac:dyDescent="0.2">
      <c r="A8" s="272" t="s">
        <v>863</v>
      </c>
      <c r="B8" s="252">
        <v>92204</v>
      </c>
      <c r="C8" s="252">
        <v>146660</v>
      </c>
      <c r="D8" s="252">
        <v>160024</v>
      </c>
    </row>
    <row r="9" spans="1:4" x14ac:dyDescent="0.2">
      <c r="A9" s="272" t="s">
        <v>864</v>
      </c>
      <c r="B9" s="252">
        <v>15674</v>
      </c>
      <c r="C9" s="252">
        <v>19750</v>
      </c>
      <c r="D9" s="252">
        <v>15500</v>
      </c>
    </row>
    <row r="10" spans="1:4" x14ac:dyDescent="0.2">
      <c r="A10" s="272" t="s">
        <v>865</v>
      </c>
      <c r="B10" s="252">
        <v>7338</v>
      </c>
      <c r="C10" s="252">
        <v>4700</v>
      </c>
      <c r="D10" s="252">
        <v>15400</v>
      </c>
    </row>
    <row r="11" spans="1:4" x14ac:dyDescent="0.2">
      <c r="A11" s="272" t="s">
        <v>138</v>
      </c>
      <c r="B11" s="252">
        <v>20467</v>
      </c>
      <c r="C11" s="252">
        <v>7000</v>
      </c>
      <c r="D11" s="252">
        <v>7000</v>
      </c>
    </row>
    <row r="12" spans="1:4" x14ac:dyDescent="0.2">
      <c r="A12" s="216" t="s">
        <v>822</v>
      </c>
      <c r="B12" s="257">
        <f>SUM(B7:B11)</f>
        <v>554617</v>
      </c>
      <c r="C12" s="257">
        <f>SUM(C7:C11)</f>
        <v>608316</v>
      </c>
      <c r="D12" s="257">
        <f>SUM(D7:D11)</f>
        <v>650954</v>
      </c>
    </row>
    <row r="13" spans="1:4" x14ac:dyDescent="0.2">
      <c r="A13" s="910" t="s">
        <v>130</v>
      </c>
      <c r="B13" s="188"/>
      <c r="C13" s="188"/>
      <c r="D13" s="188"/>
    </row>
    <row r="14" spans="1:4" x14ac:dyDescent="0.2">
      <c r="A14" s="272" t="s">
        <v>870</v>
      </c>
      <c r="B14" s="252">
        <v>739350</v>
      </c>
      <c r="C14" s="252">
        <v>751099.99999999988</v>
      </c>
      <c r="D14" s="252">
        <v>757412</v>
      </c>
    </row>
    <row r="15" spans="1:4" x14ac:dyDescent="0.2">
      <c r="A15" s="272" t="s">
        <v>863</v>
      </c>
      <c r="B15" s="252">
        <v>75672</v>
      </c>
      <c r="C15" s="252">
        <v>84710</v>
      </c>
      <c r="D15" s="252">
        <v>87622</v>
      </c>
    </row>
    <row r="16" spans="1:4" x14ac:dyDescent="0.2">
      <c r="A16" s="272" t="s">
        <v>864</v>
      </c>
      <c r="B16" s="252">
        <v>58750</v>
      </c>
      <c r="C16" s="252">
        <v>68700</v>
      </c>
      <c r="D16" s="252">
        <v>72400</v>
      </c>
    </row>
    <row r="17" spans="1:4" x14ac:dyDescent="0.2">
      <c r="A17" s="272" t="s">
        <v>865</v>
      </c>
      <c r="B17" s="252">
        <v>2267</v>
      </c>
      <c r="C17" s="252">
        <v>8000</v>
      </c>
      <c r="D17" s="252">
        <v>6000</v>
      </c>
    </row>
    <row r="18" spans="1:4" x14ac:dyDescent="0.2">
      <c r="A18" s="216" t="s">
        <v>822</v>
      </c>
      <c r="B18" s="257">
        <f>SUM(B14:B17)</f>
        <v>876039</v>
      </c>
      <c r="C18" s="257">
        <f>SUM(C14:C17)</f>
        <v>912509.99999999988</v>
      </c>
      <c r="D18" s="257">
        <f>SUM(D14:D17)</f>
        <v>923434</v>
      </c>
    </row>
    <row r="19" spans="1:4" x14ac:dyDescent="0.2">
      <c r="A19" s="910" t="s">
        <v>131</v>
      </c>
      <c r="B19" s="188"/>
      <c r="C19" s="188"/>
      <c r="D19" s="188"/>
    </row>
    <row r="20" spans="1:4" x14ac:dyDescent="0.2">
      <c r="A20" s="272" t="s">
        <v>870</v>
      </c>
      <c r="B20" s="252">
        <v>26130</v>
      </c>
      <c r="C20" s="252">
        <v>27041</v>
      </c>
      <c r="D20" s="252">
        <v>27068</v>
      </c>
    </row>
    <row r="21" spans="1:4" x14ac:dyDescent="0.2">
      <c r="A21" s="272" t="s">
        <v>863</v>
      </c>
      <c r="B21" s="252">
        <v>12465</v>
      </c>
      <c r="C21" s="252">
        <v>11200</v>
      </c>
      <c r="D21" s="252">
        <v>10234</v>
      </c>
    </row>
    <row r="22" spans="1:4" x14ac:dyDescent="0.2">
      <c r="A22" s="272" t="s">
        <v>864</v>
      </c>
      <c r="B22" s="252">
        <v>733</v>
      </c>
      <c r="C22" s="252">
        <v>1450</v>
      </c>
      <c r="D22" s="252">
        <v>1450</v>
      </c>
    </row>
    <row r="23" spans="1:4" x14ac:dyDescent="0.2">
      <c r="A23" s="272" t="s">
        <v>865</v>
      </c>
      <c r="B23" s="252">
        <v>0</v>
      </c>
      <c r="C23" s="252">
        <v>2000</v>
      </c>
      <c r="D23" s="252">
        <v>1000</v>
      </c>
    </row>
    <row r="24" spans="1:4" x14ac:dyDescent="0.2">
      <c r="A24" s="216" t="s">
        <v>822</v>
      </c>
      <c r="B24" s="257">
        <f>SUM(B20:B23)</f>
        <v>39328</v>
      </c>
      <c r="C24" s="257">
        <f>SUM(C20:C23)</f>
        <v>41691</v>
      </c>
      <c r="D24" s="257">
        <f>SUM(D20:D23)</f>
        <v>39752</v>
      </c>
    </row>
    <row r="25" spans="1:4" x14ac:dyDescent="0.2">
      <c r="A25" s="910" t="s">
        <v>132</v>
      </c>
      <c r="B25" s="188"/>
      <c r="C25" s="188"/>
      <c r="D25" s="188"/>
    </row>
    <row r="26" spans="1:4" x14ac:dyDescent="0.2">
      <c r="A26" s="272" t="s">
        <v>870</v>
      </c>
      <c r="B26" s="252">
        <v>195542</v>
      </c>
      <c r="C26" s="252">
        <v>185086</v>
      </c>
      <c r="D26" s="252">
        <v>186578</v>
      </c>
    </row>
    <row r="27" spans="1:4" x14ac:dyDescent="0.2">
      <c r="A27" s="272" t="s">
        <v>863</v>
      </c>
      <c r="B27" s="252">
        <v>31194</v>
      </c>
      <c r="C27" s="252">
        <v>30000</v>
      </c>
      <c r="D27" s="252">
        <v>29530</v>
      </c>
    </row>
    <row r="28" spans="1:4" x14ac:dyDescent="0.2">
      <c r="A28" s="272" t="s">
        <v>864</v>
      </c>
      <c r="B28" s="252">
        <v>8859</v>
      </c>
      <c r="C28" s="252">
        <v>40400</v>
      </c>
      <c r="D28" s="252">
        <v>39700</v>
      </c>
    </row>
    <row r="29" spans="1:4" x14ac:dyDescent="0.2">
      <c r="A29" s="272" t="s">
        <v>865</v>
      </c>
      <c r="B29" s="252">
        <v>0</v>
      </c>
      <c r="C29" s="252">
        <v>1500</v>
      </c>
      <c r="D29" s="252">
        <v>0</v>
      </c>
    </row>
    <row r="30" spans="1:4" x14ac:dyDescent="0.2">
      <c r="A30" s="216" t="s">
        <v>822</v>
      </c>
      <c r="B30" s="257">
        <f>SUM(B26:B29)</f>
        <v>235595</v>
      </c>
      <c r="C30" s="257">
        <f>SUM(C26:C29)</f>
        <v>256986</v>
      </c>
      <c r="D30" s="257">
        <f>SUM(D26:D29)</f>
        <v>255808</v>
      </c>
    </row>
    <row r="31" spans="1:4" x14ac:dyDescent="0.2">
      <c r="A31" s="910" t="s">
        <v>133</v>
      </c>
      <c r="B31" s="188"/>
      <c r="C31" s="188"/>
      <c r="D31" s="188"/>
    </row>
    <row r="32" spans="1:4" x14ac:dyDescent="0.2">
      <c r="A32" s="272" t="s">
        <v>870</v>
      </c>
      <c r="B32" s="252">
        <v>688</v>
      </c>
      <c r="C32" s="252">
        <v>1200</v>
      </c>
      <c r="D32" s="252">
        <v>1250</v>
      </c>
    </row>
    <row r="33" spans="1:4" x14ac:dyDescent="0.2">
      <c r="A33" s="272" t="s">
        <v>863</v>
      </c>
      <c r="B33" s="252">
        <v>25920</v>
      </c>
      <c r="C33" s="252">
        <v>15000</v>
      </c>
      <c r="D33" s="252">
        <v>15620</v>
      </c>
    </row>
    <row r="34" spans="1:4" x14ac:dyDescent="0.2">
      <c r="A34" s="272" t="s">
        <v>864</v>
      </c>
      <c r="B34" s="252">
        <v>1168</v>
      </c>
      <c r="C34" s="252">
        <v>1500</v>
      </c>
      <c r="D34" s="252">
        <v>1000</v>
      </c>
    </row>
    <row r="35" spans="1:4" x14ac:dyDescent="0.2">
      <c r="A35" s="272" t="s">
        <v>865</v>
      </c>
      <c r="B35" s="252">
        <v>10230</v>
      </c>
      <c r="C35" s="252">
        <v>0</v>
      </c>
      <c r="D35" s="252">
        <v>0</v>
      </c>
    </row>
    <row r="36" spans="1:4" x14ac:dyDescent="0.2">
      <c r="A36" s="216" t="s">
        <v>822</v>
      </c>
      <c r="B36" s="257">
        <f>SUM(B32:B35)</f>
        <v>38006</v>
      </c>
      <c r="C36" s="257">
        <f>SUM(C32:C35)</f>
        <v>17700</v>
      </c>
      <c r="D36" s="257">
        <f>SUM(D32:D35)</f>
        <v>17870</v>
      </c>
    </row>
    <row r="37" spans="1:4" x14ac:dyDescent="0.2">
      <c r="A37" s="910" t="s">
        <v>134</v>
      </c>
      <c r="B37" s="188"/>
      <c r="C37" s="188"/>
      <c r="D37" s="188"/>
    </row>
    <row r="38" spans="1:4" x14ac:dyDescent="0.2">
      <c r="A38" s="272" t="s">
        <v>870</v>
      </c>
      <c r="B38" s="252">
        <v>83555</v>
      </c>
      <c r="C38" s="252">
        <v>67379</v>
      </c>
      <c r="D38" s="252">
        <v>68825</v>
      </c>
    </row>
    <row r="39" spans="1:4" x14ac:dyDescent="0.2">
      <c r="A39" s="272" t="s">
        <v>863</v>
      </c>
      <c r="B39" s="252">
        <v>29280</v>
      </c>
      <c r="C39" s="252">
        <v>29526</v>
      </c>
      <c r="D39" s="252">
        <v>29688</v>
      </c>
    </row>
    <row r="40" spans="1:4" x14ac:dyDescent="0.2">
      <c r="A40" s="272" t="s">
        <v>864</v>
      </c>
      <c r="B40" s="252">
        <v>6691</v>
      </c>
      <c r="C40" s="252">
        <v>10050</v>
      </c>
      <c r="D40" s="252">
        <v>10170</v>
      </c>
    </row>
    <row r="41" spans="1:4" x14ac:dyDescent="0.2">
      <c r="A41" s="272" t="s">
        <v>865</v>
      </c>
      <c r="B41" s="252">
        <v>1523</v>
      </c>
      <c r="C41" s="252">
        <v>1500</v>
      </c>
      <c r="D41" s="252">
        <v>0</v>
      </c>
    </row>
    <row r="42" spans="1:4" x14ac:dyDescent="0.2">
      <c r="A42" s="216" t="s">
        <v>822</v>
      </c>
      <c r="B42" s="257">
        <f>SUM(B38:B41)</f>
        <v>121049</v>
      </c>
      <c r="C42" s="257">
        <f>SUM(C38:C41)</f>
        <v>108455</v>
      </c>
      <c r="D42" s="257">
        <f>SUM(D38:D41)</f>
        <v>108683</v>
      </c>
    </row>
    <row r="43" spans="1:4" hidden="1" x14ac:dyDescent="0.2">
      <c r="A43" s="910"/>
      <c r="B43" s="188"/>
      <c r="C43" s="188"/>
      <c r="D43" s="188"/>
    </row>
    <row r="44" spans="1:4" hidden="1" x14ac:dyDescent="0.2">
      <c r="A44" s="272" t="s">
        <v>870</v>
      </c>
      <c r="B44" s="252"/>
      <c r="C44" s="252"/>
      <c r="D44" s="252"/>
    </row>
    <row r="45" spans="1:4" hidden="1" x14ac:dyDescent="0.2">
      <c r="A45" s="272" t="s">
        <v>863</v>
      </c>
      <c r="B45" s="252"/>
      <c r="C45" s="252"/>
      <c r="D45" s="252"/>
    </row>
    <row r="46" spans="1:4" hidden="1" x14ac:dyDescent="0.2">
      <c r="A46" s="272" t="s">
        <v>864</v>
      </c>
      <c r="B46" s="252"/>
      <c r="C46" s="252"/>
      <c r="D46" s="252"/>
    </row>
    <row r="47" spans="1:4" hidden="1" x14ac:dyDescent="0.2">
      <c r="A47" s="272" t="s">
        <v>865</v>
      </c>
      <c r="B47" s="252"/>
      <c r="C47" s="252"/>
      <c r="D47" s="252"/>
    </row>
    <row r="48" spans="1:4" hidden="1" x14ac:dyDescent="0.2">
      <c r="A48" s="272"/>
      <c r="B48" s="252"/>
      <c r="C48" s="252"/>
      <c r="D48" s="252"/>
    </row>
    <row r="49" spans="1:4" hidden="1" x14ac:dyDescent="0.2">
      <c r="A49" s="216" t="s">
        <v>822</v>
      </c>
      <c r="B49" s="257">
        <f>SUM(B44:B48)</f>
        <v>0</v>
      </c>
      <c r="C49" s="257">
        <f>SUM(C44:C48)</f>
        <v>0</v>
      </c>
      <c r="D49" s="257">
        <f>SUM(D44:D48)</f>
        <v>0</v>
      </c>
    </row>
    <row r="50" spans="1:4" hidden="1" x14ac:dyDescent="0.2">
      <c r="A50" s="910"/>
      <c r="B50" s="188"/>
      <c r="C50" s="188"/>
      <c r="D50" s="188"/>
    </row>
    <row r="51" spans="1:4" hidden="1" x14ac:dyDescent="0.2">
      <c r="A51" s="272" t="s">
        <v>870</v>
      </c>
      <c r="B51" s="252"/>
      <c r="C51" s="252"/>
      <c r="D51" s="252"/>
    </row>
    <row r="52" spans="1:4" hidden="1" x14ac:dyDescent="0.2">
      <c r="A52" s="272" t="s">
        <v>863</v>
      </c>
      <c r="B52" s="252"/>
      <c r="C52" s="252"/>
      <c r="D52" s="252"/>
    </row>
    <row r="53" spans="1:4" hidden="1" x14ac:dyDescent="0.2">
      <c r="A53" s="272" t="s">
        <v>864</v>
      </c>
      <c r="B53" s="252"/>
      <c r="C53" s="252"/>
      <c r="D53" s="252"/>
    </row>
    <row r="54" spans="1:4" hidden="1" x14ac:dyDescent="0.2">
      <c r="A54" s="272" t="s">
        <v>865</v>
      </c>
      <c r="B54" s="252"/>
      <c r="C54" s="252"/>
      <c r="D54" s="252"/>
    </row>
    <row r="55" spans="1:4" hidden="1" x14ac:dyDescent="0.2">
      <c r="A55" s="272"/>
      <c r="B55" s="252"/>
      <c r="C55" s="252"/>
      <c r="D55" s="252"/>
    </row>
    <row r="56" spans="1:4" hidden="1" x14ac:dyDescent="0.2">
      <c r="A56" s="216" t="s">
        <v>822</v>
      </c>
      <c r="B56" s="257">
        <f>SUM(B51:B55)</f>
        <v>0</v>
      </c>
      <c r="C56" s="257">
        <f>SUM(C51:C55)</f>
        <v>0</v>
      </c>
      <c r="D56" s="257">
        <f>SUM(D51:D55)</f>
        <v>0</v>
      </c>
    </row>
    <row r="57" spans="1:4" x14ac:dyDescent="0.2">
      <c r="A57" s="36"/>
      <c r="B57" s="188"/>
      <c r="C57" s="188"/>
      <c r="D57" s="188"/>
    </row>
    <row r="58" spans="1:4" ht="16.5" thickBot="1" x14ac:dyDescent="0.25">
      <c r="A58" s="216" t="s">
        <v>1144</v>
      </c>
      <c r="B58" s="274">
        <f>B12+B18+B24+B30+B36+B42+B49+B56</f>
        <v>1864634</v>
      </c>
      <c r="C58" s="274">
        <f>C12+C18+C24+C30+C36+C42+C49+C56</f>
        <v>1945658</v>
      </c>
      <c r="D58" s="274">
        <f>D12+D18+D24+D30+D36+D42+D49+D56</f>
        <v>1996501</v>
      </c>
    </row>
    <row r="59" spans="1:4" ht="16.5" thickTop="1" x14ac:dyDescent="0.2">
      <c r="A59" s="275"/>
      <c r="B59" s="188"/>
      <c r="C59" s="188"/>
      <c r="D59" s="188"/>
    </row>
    <row r="60" spans="1:4" x14ac:dyDescent="0.2">
      <c r="A60" s="127" t="s">
        <v>869</v>
      </c>
      <c r="B60" s="689">
        <v>9</v>
      </c>
      <c r="C60" s="188"/>
      <c r="D60" s="188"/>
    </row>
    <row r="61" spans="1:4" x14ac:dyDescent="0.2">
      <c r="A61" s="188" t="str">
        <f>A1</f>
        <v>City of Osawatomie</v>
      </c>
      <c r="B61" s="36"/>
      <c r="C61" s="162"/>
      <c r="D61" s="36">
        <f>D1</f>
        <v>2014</v>
      </c>
    </row>
    <row r="62" spans="1:4" x14ac:dyDescent="0.2">
      <c r="A62" s="239"/>
      <c r="B62" s="270"/>
      <c r="C62" s="270"/>
      <c r="D62" s="270"/>
    </row>
    <row r="63" spans="1:4" x14ac:dyDescent="0.2">
      <c r="A63" s="216" t="s">
        <v>850</v>
      </c>
      <c r="B63" s="271" t="s">
        <v>662</v>
      </c>
      <c r="C63" s="135" t="s">
        <v>663</v>
      </c>
      <c r="D63" s="135" t="s">
        <v>664</v>
      </c>
    </row>
    <row r="64" spans="1:4" x14ac:dyDescent="0.2">
      <c r="A64" s="60" t="s">
        <v>1149</v>
      </c>
      <c r="B64" s="243" t="str">
        <f>CONCATENATE("Actual for ",D61-2,"")</f>
        <v>Actual for 2012</v>
      </c>
      <c r="C64" s="243" t="str">
        <f>CONCATENATE("Estimate for ",D61-1,"")</f>
        <v>Estimate for 2013</v>
      </c>
      <c r="D64" s="243" t="str">
        <f>CONCATENATE("Year for ",D61,"")</f>
        <v>Year for 2014</v>
      </c>
    </row>
    <row r="65" spans="1:4" x14ac:dyDescent="0.2">
      <c r="A65" s="216" t="s">
        <v>862</v>
      </c>
      <c r="B65" s="76"/>
      <c r="C65" s="76"/>
      <c r="D65" s="76"/>
    </row>
    <row r="66" spans="1:4" x14ac:dyDescent="0.2">
      <c r="A66" s="911" t="s">
        <v>135</v>
      </c>
      <c r="B66" s="188"/>
      <c r="C66" s="188"/>
      <c r="D66" s="188"/>
    </row>
    <row r="67" spans="1:4" x14ac:dyDescent="0.2">
      <c r="A67" s="272" t="s">
        <v>870</v>
      </c>
      <c r="B67" s="252"/>
      <c r="C67" s="252"/>
      <c r="D67" s="252"/>
    </row>
    <row r="68" spans="1:4" x14ac:dyDescent="0.2">
      <c r="A68" s="272" t="s">
        <v>863</v>
      </c>
      <c r="B68" s="252">
        <v>153</v>
      </c>
      <c r="C68" s="252"/>
      <c r="D68" s="252"/>
    </row>
    <row r="69" spans="1:4" x14ac:dyDescent="0.2">
      <c r="A69" s="272" t="s">
        <v>864</v>
      </c>
      <c r="B69" s="252">
        <v>33</v>
      </c>
      <c r="C69" s="252"/>
      <c r="D69" s="252"/>
    </row>
    <row r="70" spans="1:4" x14ac:dyDescent="0.2">
      <c r="A70" s="272" t="s">
        <v>865</v>
      </c>
      <c r="B70" s="252"/>
      <c r="C70" s="252"/>
      <c r="D70" s="252"/>
    </row>
    <row r="71" spans="1:4" x14ac:dyDescent="0.2">
      <c r="A71" s="216" t="s">
        <v>822</v>
      </c>
      <c r="B71" s="257">
        <f>SUM(B67:B70)</f>
        <v>186</v>
      </c>
      <c r="C71" s="257">
        <f>SUM(C67:C70)</f>
        <v>0</v>
      </c>
      <c r="D71" s="257">
        <f>SUM(D67:D70)</f>
        <v>0</v>
      </c>
    </row>
    <row r="72" spans="1:4" x14ac:dyDescent="0.2">
      <c r="A72" s="911" t="s">
        <v>136</v>
      </c>
      <c r="B72" s="188"/>
      <c r="C72" s="188"/>
      <c r="D72" s="188"/>
    </row>
    <row r="73" spans="1:4" x14ac:dyDescent="0.2">
      <c r="A73" s="272" t="s">
        <v>870</v>
      </c>
      <c r="B73" s="252">
        <v>19679</v>
      </c>
      <c r="C73" s="252">
        <v>19697</v>
      </c>
      <c r="D73" s="252">
        <v>21669</v>
      </c>
    </row>
    <row r="74" spans="1:4" x14ac:dyDescent="0.2">
      <c r="A74" s="272" t="s">
        <v>863</v>
      </c>
      <c r="B74" s="252">
        <v>103045</v>
      </c>
      <c r="C74" s="252">
        <v>94931</v>
      </c>
      <c r="D74" s="252">
        <v>94931</v>
      </c>
    </row>
    <row r="75" spans="1:4" x14ac:dyDescent="0.2">
      <c r="A75" s="272" t="s">
        <v>864</v>
      </c>
      <c r="B75" s="252">
        <v>852</v>
      </c>
      <c r="C75" s="252">
        <v>300</v>
      </c>
      <c r="D75" s="252">
        <v>300</v>
      </c>
    </row>
    <row r="76" spans="1:4" x14ac:dyDescent="0.2">
      <c r="A76" s="272" t="s">
        <v>865</v>
      </c>
      <c r="B76" s="252"/>
      <c r="C76" s="252"/>
      <c r="D76" s="252"/>
    </row>
    <row r="77" spans="1:4" x14ac:dyDescent="0.2">
      <c r="A77" s="216" t="s">
        <v>822</v>
      </c>
      <c r="B77" s="257">
        <f>SUM(B73:B76)</f>
        <v>123576</v>
      </c>
      <c r="C77" s="257">
        <f>SUM(C73:C76)</f>
        <v>114928</v>
      </c>
      <c r="D77" s="257">
        <f>SUM(D73:D76)</f>
        <v>116900</v>
      </c>
    </row>
    <row r="78" spans="1:4" hidden="1" x14ac:dyDescent="0.2">
      <c r="A78" s="910"/>
      <c r="B78" s="188"/>
      <c r="C78" s="188"/>
      <c r="D78" s="188"/>
    </row>
    <row r="79" spans="1:4" hidden="1" x14ac:dyDescent="0.2">
      <c r="A79" s="272" t="s">
        <v>870</v>
      </c>
      <c r="B79" s="252"/>
      <c r="C79" s="252"/>
      <c r="D79" s="252"/>
    </row>
    <row r="80" spans="1:4" hidden="1" x14ac:dyDescent="0.2">
      <c r="A80" s="272" t="s">
        <v>863</v>
      </c>
      <c r="B80" s="252"/>
      <c r="C80" s="252"/>
      <c r="D80" s="252"/>
    </row>
    <row r="81" spans="1:4" hidden="1" x14ac:dyDescent="0.2">
      <c r="A81" s="272" t="s">
        <v>864</v>
      </c>
      <c r="B81" s="252"/>
      <c r="C81" s="252"/>
      <c r="D81" s="252"/>
    </row>
    <row r="82" spans="1:4" hidden="1" x14ac:dyDescent="0.2">
      <c r="A82" s="272" t="s">
        <v>865</v>
      </c>
      <c r="B82" s="252"/>
      <c r="C82" s="252"/>
      <c r="D82" s="252"/>
    </row>
    <row r="83" spans="1:4" hidden="1" x14ac:dyDescent="0.2">
      <c r="A83" s="272"/>
      <c r="B83" s="252"/>
      <c r="C83" s="252"/>
      <c r="D83" s="252"/>
    </row>
    <row r="84" spans="1:4" hidden="1" x14ac:dyDescent="0.2">
      <c r="A84" s="216" t="s">
        <v>822</v>
      </c>
      <c r="B84" s="257">
        <f>SUM(B79:B83)</f>
        <v>0</v>
      </c>
      <c r="C84" s="257">
        <f>SUM(C79:C83)</f>
        <v>0</v>
      </c>
      <c r="D84" s="257">
        <f>SUM(D79:D83)</f>
        <v>0</v>
      </c>
    </row>
    <row r="85" spans="1:4" hidden="1" x14ac:dyDescent="0.2">
      <c r="A85" s="273"/>
      <c r="B85" s="188"/>
      <c r="C85" s="188"/>
      <c r="D85" s="188"/>
    </row>
    <row r="86" spans="1:4" hidden="1" x14ac:dyDescent="0.2">
      <c r="A86" s="272" t="s">
        <v>870</v>
      </c>
      <c r="B86" s="252"/>
      <c r="C86" s="252"/>
      <c r="D86" s="252"/>
    </row>
    <row r="87" spans="1:4" hidden="1" x14ac:dyDescent="0.2">
      <c r="A87" s="272" t="s">
        <v>863</v>
      </c>
      <c r="B87" s="252"/>
      <c r="C87" s="252"/>
      <c r="D87" s="252"/>
    </row>
    <row r="88" spans="1:4" hidden="1" x14ac:dyDescent="0.2">
      <c r="A88" s="272" t="s">
        <v>864</v>
      </c>
      <c r="B88" s="252"/>
      <c r="C88" s="252"/>
      <c r="D88" s="252"/>
    </row>
    <row r="89" spans="1:4" hidden="1" x14ac:dyDescent="0.2">
      <c r="A89" s="272" t="s">
        <v>865</v>
      </c>
      <c r="B89" s="252"/>
      <c r="C89" s="252"/>
      <c r="D89" s="252"/>
    </row>
    <row r="90" spans="1:4" hidden="1" x14ac:dyDescent="0.2">
      <c r="A90" s="216" t="s">
        <v>822</v>
      </c>
      <c r="B90" s="257">
        <f>SUM(B86:B89)</f>
        <v>0</v>
      </c>
      <c r="C90" s="257">
        <f>SUM(C86:C89)</f>
        <v>0</v>
      </c>
      <c r="D90" s="257">
        <f>SUM(D86:D89)</f>
        <v>0</v>
      </c>
    </row>
    <row r="91" spans="1:4" hidden="1" x14ac:dyDescent="0.2">
      <c r="A91" s="273"/>
      <c r="B91" s="188"/>
      <c r="C91" s="188"/>
      <c r="D91" s="188"/>
    </row>
    <row r="92" spans="1:4" hidden="1" x14ac:dyDescent="0.2">
      <c r="A92" s="272" t="s">
        <v>870</v>
      </c>
      <c r="B92" s="252"/>
      <c r="C92" s="252"/>
      <c r="D92" s="252"/>
    </row>
    <row r="93" spans="1:4" hidden="1" x14ac:dyDescent="0.2">
      <c r="A93" s="272" t="s">
        <v>863</v>
      </c>
      <c r="B93" s="252"/>
      <c r="C93" s="252"/>
      <c r="D93" s="252"/>
    </row>
    <row r="94" spans="1:4" hidden="1" x14ac:dyDescent="0.2">
      <c r="A94" s="272" t="s">
        <v>864</v>
      </c>
      <c r="B94" s="252"/>
      <c r="C94" s="252"/>
      <c r="D94" s="252"/>
    </row>
    <row r="95" spans="1:4" hidden="1" x14ac:dyDescent="0.2">
      <c r="A95" s="272" t="s">
        <v>865</v>
      </c>
      <c r="B95" s="252"/>
      <c r="C95" s="252"/>
      <c r="D95" s="252"/>
    </row>
    <row r="96" spans="1:4" hidden="1" x14ac:dyDescent="0.2">
      <c r="A96" s="272"/>
      <c r="B96" s="252"/>
      <c r="C96" s="252"/>
      <c r="D96" s="252"/>
    </row>
    <row r="97" spans="1:4" hidden="1" x14ac:dyDescent="0.2">
      <c r="A97" s="216" t="s">
        <v>822</v>
      </c>
      <c r="B97" s="257">
        <f>SUM(B92:B96)</f>
        <v>0</v>
      </c>
      <c r="C97" s="257">
        <f>SUM(C92:C96)</f>
        <v>0</v>
      </c>
      <c r="D97" s="257">
        <f>SUM(D92:D96)</f>
        <v>0</v>
      </c>
    </row>
    <row r="98" spans="1:4" x14ac:dyDescent="0.2">
      <c r="A98" s="910" t="s">
        <v>137</v>
      </c>
      <c r="B98" s="76"/>
      <c r="C98" s="76"/>
      <c r="D98" s="76"/>
    </row>
    <row r="99" spans="1:4" x14ac:dyDescent="0.2">
      <c r="A99" s="272" t="s">
        <v>870</v>
      </c>
      <c r="B99" s="252"/>
      <c r="C99" s="252"/>
      <c r="D99" s="252"/>
    </row>
    <row r="100" spans="1:4" x14ac:dyDescent="0.2">
      <c r="A100" s="272" t="s">
        <v>863</v>
      </c>
      <c r="B100" s="252">
        <v>26333</v>
      </c>
      <c r="C100" s="252">
        <v>4900</v>
      </c>
      <c r="D100" s="252">
        <v>5185</v>
      </c>
    </row>
    <row r="101" spans="1:4" x14ac:dyDescent="0.2">
      <c r="A101" s="272" t="s">
        <v>864</v>
      </c>
      <c r="B101" s="252">
        <v>1842.9999999999998</v>
      </c>
      <c r="C101" s="252">
        <v>2150</v>
      </c>
      <c r="D101" s="252">
        <v>2150</v>
      </c>
    </row>
    <row r="102" spans="1:4" x14ac:dyDescent="0.2">
      <c r="A102" s="272" t="s">
        <v>865</v>
      </c>
      <c r="B102" s="252">
        <v>0</v>
      </c>
      <c r="C102" s="252">
        <v>5000</v>
      </c>
      <c r="D102" s="252">
        <v>5000</v>
      </c>
    </row>
    <row r="103" spans="1:4" x14ac:dyDescent="0.2">
      <c r="A103" s="216" t="s">
        <v>822</v>
      </c>
      <c r="B103" s="257">
        <f>SUM(B99:B102)</f>
        <v>28176</v>
      </c>
      <c r="C103" s="257">
        <f>SUM(C99:C102)</f>
        <v>12050</v>
      </c>
      <c r="D103" s="257">
        <f>SUM(D99:D102)</f>
        <v>12335</v>
      </c>
    </row>
    <row r="104" spans="1:4" x14ac:dyDescent="0.2">
      <c r="A104" s="910" t="s">
        <v>646</v>
      </c>
      <c r="B104" s="188"/>
      <c r="C104" s="188"/>
      <c r="D104" s="188"/>
    </row>
    <row r="105" spans="1:4" x14ac:dyDescent="0.2">
      <c r="A105" s="272" t="s">
        <v>870</v>
      </c>
      <c r="B105" s="252">
        <v>77330</v>
      </c>
      <c r="C105" s="252">
        <v>87519</v>
      </c>
      <c r="D105" s="252">
        <v>88629</v>
      </c>
    </row>
    <row r="106" spans="1:4" x14ac:dyDescent="0.2">
      <c r="A106" s="272" t="s">
        <v>863</v>
      </c>
      <c r="B106" s="252">
        <v>11608</v>
      </c>
      <c r="C106" s="252">
        <v>18950</v>
      </c>
      <c r="D106" s="252">
        <v>19550</v>
      </c>
    </row>
    <row r="107" spans="1:4" x14ac:dyDescent="0.2">
      <c r="A107" s="272" t="s">
        <v>864</v>
      </c>
      <c r="B107" s="252">
        <v>24386</v>
      </c>
      <c r="C107" s="252">
        <v>33050</v>
      </c>
      <c r="D107" s="252">
        <v>33300</v>
      </c>
    </row>
    <row r="108" spans="1:4" x14ac:dyDescent="0.2">
      <c r="A108" s="272" t="s">
        <v>865</v>
      </c>
      <c r="B108" s="252">
        <v>0</v>
      </c>
      <c r="C108" s="252">
        <v>500</v>
      </c>
      <c r="D108" s="252">
        <v>500</v>
      </c>
    </row>
    <row r="109" spans="1:4" x14ac:dyDescent="0.2">
      <c r="A109" s="216" t="s">
        <v>822</v>
      </c>
      <c r="B109" s="257">
        <f>SUM(B105:B108)</f>
        <v>113324</v>
      </c>
      <c r="C109" s="257">
        <f>SUM(C105:C108)</f>
        <v>140019</v>
      </c>
      <c r="D109" s="257">
        <f>SUM(D105:D108)</f>
        <v>141979</v>
      </c>
    </row>
    <row r="110" spans="1:4" x14ac:dyDescent="0.2">
      <c r="A110" s="910"/>
      <c r="B110" s="188"/>
      <c r="C110" s="188"/>
      <c r="D110" s="188"/>
    </row>
    <row r="111" spans="1:4" x14ac:dyDescent="0.2">
      <c r="A111" s="272" t="s">
        <v>870</v>
      </c>
      <c r="B111" s="252"/>
      <c r="C111" s="252"/>
      <c r="D111" s="252"/>
    </row>
    <row r="112" spans="1:4" x14ac:dyDescent="0.2">
      <c r="A112" s="272" t="s">
        <v>863</v>
      </c>
      <c r="B112" s="252"/>
      <c r="C112" s="252"/>
      <c r="D112" s="252"/>
    </row>
    <row r="113" spans="1:4" x14ac:dyDescent="0.2">
      <c r="A113" s="272" t="s">
        <v>864</v>
      </c>
      <c r="B113" s="252"/>
      <c r="C113" s="252"/>
      <c r="D113" s="252"/>
    </row>
    <row r="114" spans="1:4" x14ac:dyDescent="0.2">
      <c r="A114" s="272" t="s">
        <v>865</v>
      </c>
      <c r="B114" s="252"/>
      <c r="C114" s="252"/>
      <c r="D114" s="252"/>
    </row>
    <row r="115" spans="1:4" x14ac:dyDescent="0.2">
      <c r="A115" s="216" t="s">
        <v>822</v>
      </c>
      <c r="B115" s="257">
        <f>SUM(B111:B114)</f>
        <v>0</v>
      </c>
      <c r="C115" s="257">
        <f>SUM(C111:C114)</f>
        <v>0</v>
      </c>
      <c r="D115" s="340">
        <f>SUM(D111:D114)</f>
        <v>0</v>
      </c>
    </row>
    <row r="116" spans="1:4" x14ac:dyDescent="0.2">
      <c r="A116" s="216"/>
      <c r="B116" s="188"/>
      <c r="C116" s="188"/>
      <c r="D116" s="188"/>
    </row>
    <row r="117" spans="1:4" x14ac:dyDescent="0.2">
      <c r="A117" s="54" t="s">
        <v>1146</v>
      </c>
      <c r="B117" s="341">
        <f>B71+B77+B84+B90+B97+B103+B109+B115</f>
        <v>265262</v>
      </c>
      <c r="C117" s="341">
        <f>C71+C77+C84+C90+C97+C103+C109+C115</f>
        <v>266997</v>
      </c>
      <c r="D117" s="341">
        <f>D71+D77+D84+D90+D97+D103+D109+D115</f>
        <v>271214</v>
      </c>
    </row>
    <row r="118" spans="1:4" x14ac:dyDescent="0.2">
      <c r="A118" s="216" t="s">
        <v>1145</v>
      </c>
      <c r="B118" s="257">
        <f>B58</f>
        <v>1864634</v>
      </c>
      <c r="C118" s="257">
        <f>C58</f>
        <v>1945658</v>
      </c>
      <c r="D118" s="257">
        <f>D58</f>
        <v>1996501</v>
      </c>
    </row>
    <row r="119" spans="1:4" ht="16.5" thickBot="1" x14ac:dyDescent="0.25">
      <c r="A119" s="216" t="s">
        <v>1147</v>
      </c>
      <c r="B119" s="274">
        <f>SUM(B117:B118)</f>
        <v>2129896</v>
      </c>
      <c r="C119" s="274">
        <f>SUM(C117:C118)</f>
        <v>2212655</v>
      </c>
      <c r="D119" s="274">
        <f>SUM(D117:D118)</f>
        <v>2267715</v>
      </c>
    </row>
    <row r="120" spans="1:4" ht="16.5" thickTop="1" x14ac:dyDescent="0.2">
      <c r="A120" s="275" t="s">
        <v>792</v>
      </c>
      <c r="B120" s="188"/>
      <c r="C120" s="188"/>
      <c r="D120" s="188"/>
    </row>
    <row r="121" spans="1:4" x14ac:dyDescent="0.2">
      <c r="A121" s="127" t="s">
        <v>869</v>
      </c>
      <c r="B121" s="689">
        <v>10</v>
      </c>
      <c r="C121" s="188"/>
      <c r="D121" s="188"/>
    </row>
  </sheetData>
  <phoneticPr fontId="0" type="noConversion"/>
  <printOptions horizontalCentered="1"/>
  <pageMargins left="0.5" right="0.5" top="0.5" bottom="0.5" header="0.3" footer="0.3"/>
  <pageSetup fitToHeight="2" orientation="portrait" blackAndWhite="1" horizontalDpi="300" verticalDpi="300" r:id="rId1"/>
  <headerFooter alignWithMargins="0"/>
  <rowBreaks count="1" manualBreakCount="1">
    <brk id="6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3"/>
  <sheetViews>
    <sheetView view="pageBreakPreview" zoomScale="60" zoomScaleNormal="115" workbookViewId="0">
      <selection activeCell="C55" sqref="C55"/>
    </sheetView>
  </sheetViews>
  <sheetFormatPr defaultRowHeight="15.75" x14ac:dyDescent="0.2"/>
  <cols>
    <col min="1" max="1" width="2.44140625" style="601" customWidth="1"/>
    <col min="2" max="2" width="31.109375" style="601" customWidth="1"/>
    <col min="3" max="4" width="15.77734375" style="601" customWidth="1"/>
    <col min="5" max="5" width="16.21875" style="601" customWidth="1"/>
    <col min="6" max="6" width="8.109375" style="601" customWidth="1"/>
    <col min="7" max="7" width="10.21875" style="601" customWidth="1"/>
    <col min="8" max="8" width="8.88671875" style="601"/>
    <col min="9" max="9" width="5" style="601" customWidth="1"/>
    <col min="10" max="10" width="10" style="601" customWidth="1"/>
    <col min="11" max="16384" width="8.88671875" style="601"/>
  </cols>
  <sheetData>
    <row r="1" spans="2:5" x14ac:dyDescent="0.2">
      <c r="B1" s="598" t="str">
        <f>(inputPrYr!D2)</f>
        <v>City of Osawatomie</v>
      </c>
      <c r="C1" s="599"/>
      <c r="D1" s="599"/>
      <c r="E1" s="600">
        <f>inputPrYr!$C$5</f>
        <v>2014</v>
      </c>
    </row>
    <row r="2" spans="2:5" x14ac:dyDescent="0.2">
      <c r="B2" s="599"/>
      <c r="C2" s="599"/>
      <c r="D2" s="599"/>
      <c r="E2" s="602"/>
    </row>
    <row r="3" spans="2:5" x14ac:dyDescent="0.2">
      <c r="B3" s="603" t="s">
        <v>917</v>
      </c>
      <c r="C3" s="604"/>
      <c r="D3" s="604"/>
      <c r="E3" s="604"/>
    </row>
    <row r="4" spans="2:5" x14ac:dyDescent="0.2">
      <c r="B4" s="605" t="s">
        <v>850</v>
      </c>
      <c r="C4" s="606" t="s">
        <v>662</v>
      </c>
      <c r="D4" s="607" t="s">
        <v>663</v>
      </c>
      <c r="E4" s="608" t="s">
        <v>664</v>
      </c>
    </row>
    <row r="5" spans="2:5" x14ac:dyDescent="0.2">
      <c r="B5" s="609" t="str">
        <f>+(inputPrYr!B18)</f>
        <v>Bond &amp; Interest</v>
      </c>
      <c r="C5" s="610" t="str">
        <f>CONCATENATE("Actual for ",E1-2,"")</f>
        <v>Actual for 2012</v>
      </c>
      <c r="D5" s="610" t="str">
        <f>CONCATENATE("Estimate for ",E1-1,"")</f>
        <v>Estimate for 2013</v>
      </c>
      <c r="E5" s="611" t="str">
        <f>CONCATENATE("Year for ",E1,"")</f>
        <v>Year for 2014</v>
      </c>
    </row>
    <row r="6" spans="2:5" x14ac:dyDescent="0.2">
      <c r="B6" s="612" t="s">
        <v>971</v>
      </c>
      <c r="C6" s="613">
        <v>61002</v>
      </c>
      <c r="D6" s="614">
        <f>C47</f>
        <v>96891.679999999935</v>
      </c>
      <c r="E6" s="615">
        <f>D47</f>
        <v>87787.179999999935</v>
      </c>
    </row>
    <row r="7" spans="2:5" x14ac:dyDescent="0.2">
      <c r="B7" s="616" t="s">
        <v>973</v>
      </c>
      <c r="C7" s="617"/>
      <c r="D7" s="614"/>
      <c r="E7" s="618"/>
    </row>
    <row r="8" spans="2:5" x14ac:dyDescent="0.2">
      <c r="B8" s="612" t="s">
        <v>851</v>
      </c>
      <c r="C8" s="613">
        <v>233685</v>
      </c>
      <c r="D8" s="614">
        <f>IF(inputPrYr!H16&gt;0,inputPrYr!G18,inputPrYr!E18)</f>
        <v>220052</v>
      </c>
      <c r="E8" s="619" t="s">
        <v>839</v>
      </c>
    </row>
    <row r="9" spans="2:5" x14ac:dyDescent="0.2">
      <c r="B9" s="612" t="s">
        <v>852</v>
      </c>
      <c r="C9" s="613">
        <v>8016</v>
      </c>
      <c r="D9" s="620">
        <v>5325</v>
      </c>
      <c r="E9" s="621">
        <v>6500</v>
      </c>
    </row>
    <row r="10" spans="2:5" x14ac:dyDescent="0.2">
      <c r="B10" s="612" t="s">
        <v>853</v>
      </c>
      <c r="C10" s="613">
        <v>17928</v>
      </c>
      <c r="D10" s="620">
        <v>24019</v>
      </c>
      <c r="E10" s="622">
        <f>mvalloc!D8</f>
        <v>23034</v>
      </c>
    </row>
    <row r="11" spans="2:5" x14ac:dyDescent="0.2">
      <c r="B11" s="612" t="s">
        <v>854</v>
      </c>
      <c r="C11" s="613">
        <v>289</v>
      </c>
      <c r="D11" s="620">
        <v>339</v>
      </c>
      <c r="E11" s="622">
        <f>mvalloc!E8</f>
        <v>331</v>
      </c>
    </row>
    <row r="12" spans="2:5" x14ac:dyDescent="0.2">
      <c r="B12" s="623" t="s">
        <v>949</v>
      </c>
      <c r="C12" s="613"/>
      <c r="D12" s="620">
        <v>121</v>
      </c>
      <c r="E12" s="622">
        <f>mvalloc!F8</f>
        <v>179</v>
      </c>
    </row>
    <row r="13" spans="2:5" x14ac:dyDescent="0.2">
      <c r="B13" s="546" t="s">
        <v>146</v>
      </c>
      <c r="C13" s="613"/>
      <c r="D13" s="620"/>
      <c r="E13" s="621"/>
    </row>
    <row r="14" spans="2:5" x14ac:dyDescent="0.2">
      <c r="B14" s="545" t="s">
        <v>147</v>
      </c>
      <c r="C14" s="613">
        <v>310000</v>
      </c>
      <c r="D14" s="620">
        <v>434000</v>
      </c>
      <c r="E14" s="621">
        <v>435000</v>
      </c>
    </row>
    <row r="15" spans="2:5" x14ac:dyDescent="0.2">
      <c r="B15" s="545" t="s">
        <v>124</v>
      </c>
      <c r="C15" s="613">
        <v>27235</v>
      </c>
      <c r="D15" s="620">
        <v>59827</v>
      </c>
      <c r="E15" s="624">
        <v>59827</v>
      </c>
    </row>
    <row r="16" spans="2:5" x14ac:dyDescent="0.2">
      <c r="B16" s="545" t="s">
        <v>241</v>
      </c>
      <c r="C16" s="613">
        <v>5000</v>
      </c>
      <c r="D16" s="620"/>
      <c r="E16" s="624"/>
    </row>
    <row r="17" spans="2:7" x14ac:dyDescent="0.2">
      <c r="B17" s="626" t="s">
        <v>858</v>
      </c>
      <c r="C17" s="613"/>
      <c r="D17" s="620"/>
      <c r="E17" s="621"/>
    </row>
    <row r="18" spans="2:7" x14ac:dyDescent="0.2">
      <c r="B18" s="627" t="s">
        <v>730</v>
      </c>
      <c r="C18" s="625"/>
      <c r="D18" s="620"/>
      <c r="E18" s="628"/>
    </row>
    <row r="19" spans="2:7" x14ac:dyDescent="0.2">
      <c r="B19" s="627" t="s">
        <v>638</v>
      </c>
      <c r="C19" s="629" t="str">
        <f>IF(C20*0.1&lt;C18,"Exceed 10% Rule","")</f>
        <v/>
      </c>
      <c r="D19" s="630" t="str">
        <f>IF(D20*0.1&lt;D18,"Exceed 10% Rule","")</f>
        <v/>
      </c>
      <c r="E19" s="631" t="str">
        <f>IF(E20*0.1+E53&lt;E18,"Exceed 10% Rule","")</f>
        <v/>
      </c>
    </row>
    <row r="20" spans="2:7" x14ac:dyDescent="0.2">
      <c r="B20" s="632" t="s">
        <v>859</v>
      </c>
      <c r="C20" s="633">
        <f>SUM(C8:C18)</f>
        <v>602153</v>
      </c>
      <c r="D20" s="634">
        <f>SUM(D8:D18)</f>
        <v>743683</v>
      </c>
      <c r="E20" s="635">
        <f>SUM(E8:E18)</f>
        <v>524871</v>
      </c>
    </row>
    <row r="21" spans="2:7" x14ac:dyDescent="0.2">
      <c r="B21" s="632" t="s">
        <v>860</v>
      </c>
      <c r="C21" s="633">
        <f>C6+C20</f>
        <v>663155</v>
      </c>
      <c r="D21" s="634">
        <f>D6+D20</f>
        <v>840574.67999999993</v>
      </c>
      <c r="E21" s="636">
        <f>E6+E20</f>
        <v>612658.17999999993</v>
      </c>
      <c r="G21" s="919"/>
    </row>
    <row r="22" spans="2:7" x14ac:dyDescent="0.2">
      <c r="B22" s="616" t="s">
        <v>862</v>
      </c>
      <c r="C22" s="637"/>
      <c r="D22" s="638"/>
      <c r="E22" s="622"/>
    </row>
    <row r="23" spans="2:7" x14ac:dyDescent="0.25">
      <c r="B23" s="639" t="s">
        <v>148</v>
      </c>
      <c r="C23" s="625">
        <v>282000</v>
      </c>
      <c r="D23" s="620">
        <v>444000</v>
      </c>
      <c r="E23" s="640">
        <v>457000</v>
      </c>
    </row>
    <row r="24" spans="2:7" x14ac:dyDescent="0.25">
      <c r="B24" s="639" t="s">
        <v>149</v>
      </c>
      <c r="C24" s="625">
        <v>284263.32</v>
      </c>
      <c r="D24" s="620">
        <v>308787.5</v>
      </c>
      <c r="E24" s="640">
        <v>296495</v>
      </c>
    </row>
    <row r="25" spans="2:7" hidden="1" x14ac:dyDescent="0.25">
      <c r="B25" s="641"/>
      <c r="C25" s="625"/>
      <c r="D25" s="620"/>
      <c r="E25" s="640"/>
    </row>
    <row r="26" spans="2:7" hidden="1" x14ac:dyDescent="0.25">
      <c r="B26" s="641"/>
      <c r="C26" s="625"/>
      <c r="D26" s="620"/>
      <c r="E26" s="640"/>
    </row>
    <row r="27" spans="2:7" hidden="1" x14ac:dyDescent="0.25">
      <c r="B27" s="641"/>
      <c r="C27" s="625"/>
      <c r="D27" s="620"/>
      <c r="E27" s="640"/>
    </row>
    <row r="28" spans="2:7" hidden="1" x14ac:dyDescent="0.25">
      <c r="B28" s="642"/>
      <c r="C28" s="625"/>
      <c r="D28" s="620"/>
      <c r="E28" s="621"/>
    </row>
    <row r="29" spans="2:7" hidden="1" x14ac:dyDescent="0.25">
      <c r="B29" s="642"/>
      <c r="C29" s="625"/>
      <c r="D29" s="620"/>
      <c r="E29" s="621"/>
    </row>
    <row r="30" spans="2:7" hidden="1" x14ac:dyDescent="0.25">
      <c r="B30" s="642"/>
      <c r="C30" s="625"/>
      <c r="D30" s="620"/>
      <c r="E30" s="621"/>
    </row>
    <row r="31" spans="2:7" hidden="1" x14ac:dyDescent="0.25">
      <c r="B31" s="642"/>
      <c r="C31" s="625"/>
      <c r="D31" s="620"/>
      <c r="E31" s="621"/>
    </row>
    <row r="32" spans="2:7" hidden="1" x14ac:dyDescent="0.25">
      <c r="B32" s="642"/>
      <c r="C32" s="625"/>
      <c r="D32" s="620"/>
      <c r="E32" s="621"/>
    </row>
    <row r="33" spans="2:11" hidden="1" x14ac:dyDescent="0.25">
      <c r="B33" s="642"/>
      <c r="C33" s="625"/>
      <c r="D33" s="620"/>
      <c r="E33" s="621"/>
      <c r="G33" s="990"/>
      <c r="H33" s="990"/>
      <c r="I33" s="990"/>
      <c r="J33" s="991"/>
    </row>
    <row r="34" spans="2:11" hidden="1" x14ac:dyDescent="0.25">
      <c r="B34" s="642"/>
      <c r="C34" s="625"/>
      <c r="D34" s="620"/>
      <c r="E34" s="621"/>
      <c r="G34" s="645"/>
      <c r="H34" s="645"/>
      <c r="I34" s="645"/>
      <c r="J34" s="645"/>
    </row>
    <row r="35" spans="2:11" hidden="1" x14ac:dyDescent="0.25">
      <c r="B35" s="642"/>
      <c r="C35" s="625"/>
      <c r="D35" s="620"/>
      <c r="E35" s="621"/>
      <c r="G35" s="646"/>
      <c r="H35" s="647"/>
      <c r="I35" s="645"/>
      <c r="J35" s="645"/>
    </row>
    <row r="36" spans="2:11" hidden="1" x14ac:dyDescent="0.25">
      <c r="B36" s="642"/>
      <c r="C36" s="625"/>
      <c r="D36" s="620"/>
      <c r="E36" s="621"/>
      <c r="G36" s="646"/>
      <c r="H36" s="645"/>
      <c r="I36" s="645"/>
      <c r="J36" s="645"/>
    </row>
    <row r="37" spans="2:11" hidden="1" x14ac:dyDescent="0.2">
      <c r="B37" s="639"/>
      <c r="C37" s="625"/>
      <c r="D37" s="620"/>
      <c r="E37" s="648"/>
      <c r="G37" s="992" t="str">
        <f>CONCATENATE("Desired Carryover Into ",E1+1,"")</f>
        <v>Desired Carryover Into 2015</v>
      </c>
      <c r="H37" s="993"/>
      <c r="I37" s="993"/>
      <c r="J37" s="994"/>
    </row>
    <row r="38" spans="2:11" hidden="1" x14ac:dyDescent="0.2">
      <c r="B38" s="639"/>
      <c r="C38" s="625"/>
      <c r="D38" s="620"/>
      <c r="E38" s="621"/>
      <c r="G38" s="649"/>
      <c r="H38" s="650"/>
      <c r="I38" s="651"/>
      <c r="J38" s="652"/>
    </row>
    <row r="39" spans="2:11" hidden="1" x14ac:dyDescent="0.2">
      <c r="B39" s="639"/>
      <c r="C39" s="625"/>
      <c r="D39" s="620"/>
      <c r="E39" s="621"/>
      <c r="G39" s="653" t="s">
        <v>626</v>
      </c>
      <c r="H39" s="651"/>
      <c r="I39" s="651"/>
      <c r="J39" s="654">
        <v>0</v>
      </c>
    </row>
    <row r="40" spans="2:11" hidden="1" x14ac:dyDescent="0.2">
      <c r="B40" s="639"/>
      <c r="C40" s="625"/>
      <c r="D40" s="620"/>
      <c r="E40" s="621"/>
      <c r="G40" s="649" t="s">
        <v>627</v>
      </c>
      <c r="H40" s="650"/>
      <c r="I40" s="650"/>
      <c r="J40" s="655" t="str">
        <f>IF(J39=0,"",ROUND((J39+E53-G52)/inputOth!E9*1000,3)-G57)</f>
        <v/>
      </c>
    </row>
    <row r="41" spans="2:11" hidden="1" x14ac:dyDescent="0.2">
      <c r="B41" s="639"/>
      <c r="C41" s="625"/>
      <c r="D41" s="620"/>
      <c r="E41" s="621"/>
      <c r="G41" s="656" t="str">
        <f>CONCATENATE("",E1," Tot Exp/Non-Appr Must Be:")</f>
        <v>2014 Tot Exp/Non-Appr Must Be:</v>
      </c>
      <c r="H41" s="657"/>
      <c r="I41" s="658"/>
      <c r="J41" s="659">
        <f>IF(J39&gt;0,IF(E50&lt;E21,IF(J39=G52,E50,((J39-G52)*(1-D52))+E21),E50+(J39-G52)),0)</f>
        <v>0</v>
      </c>
    </row>
    <row r="42" spans="2:11" hidden="1" x14ac:dyDescent="0.2">
      <c r="B42" s="639"/>
      <c r="C42" s="625"/>
      <c r="D42" s="620"/>
      <c r="E42" s="621"/>
      <c r="G42" s="660" t="s">
        <v>665</v>
      </c>
      <c r="H42" s="661"/>
      <c r="I42" s="661"/>
      <c r="J42" s="662">
        <f>IF(J39&gt;0,J41-E50,0)</f>
        <v>0</v>
      </c>
    </row>
    <row r="43" spans="2:11" hidden="1" x14ac:dyDescent="0.2">
      <c r="B43" s="627" t="s">
        <v>729</v>
      </c>
      <c r="C43" s="625"/>
      <c r="D43" s="620"/>
      <c r="E43" s="622" t="str">
        <f>nhood!E7</f>
        <v/>
      </c>
    </row>
    <row r="44" spans="2:11" x14ac:dyDescent="0.2">
      <c r="B44" s="627" t="s">
        <v>730</v>
      </c>
      <c r="C44" s="625"/>
      <c r="D44" s="620"/>
      <c r="E44" s="621">
        <v>55000</v>
      </c>
      <c r="G44" s="992" t="str">
        <f>CONCATENATE("Projected Carryover Into ",E1+1,"")</f>
        <v>Projected Carryover Into 2015</v>
      </c>
      <c r="H44" s="993"/>
      <c r="I44" s="993"/>
      <c r="J44" s="994"/>
    </row>
    <row r="45" spans="2:11" x14ac:dyDescent="0.2">
      <c r="B45" s="627" t="s">
        <v>639</v>
      </c>
      <c r="C45" s="629" t="str">
        <f>IF(C46*0.1&lt;C44,"Exceed 10% Rule","")</f>
        <v/>
      </c>
      <c r="D45" s="630" t="str">
        <f>IF(D46*0.1&lt;D44,"Exceed 10% Rule","")</f>
        <v/>
      </c>
      <c r="E45" s="631" t="str">
        <f>IF(E46*0.1&lt;E44,"Exceed 10% Rule","")</f>
        <v/>
      </c>
      <c r="G45" s="663"/>
      <c r="H45" s="650"/>
      <c r="I45" s="650"/>
      <c r="J45" s="664"/>
    </row>
    <row r="46" spans="2:11" x14ac:dyDescent="0.2">
      <c r="B46" s="632" t="s">
        <v>866</v>
      </c>
      <c r="C46" s="633">
        <f>SUM(C23:C44)</f>
        <v>566263.32000000007</v>
      </c>
      <c r="D46" s="634">
        <f>SUM(D23:D44)</f>
        <v>752787.5</v>
      </c>
      <c r="E46" s="635">
        <f>SUM(E23:E44)</f>
        <v>808495</v>
      </c>
      <c r="G46" s="665">
        <f>D47</f>
        <v>87787.179999999935</v>
      </c>
      <c r="H46" s="666" t="str">
        <f>CONCATENATE("",E1-1," Ending Cash Balance (est.)")</f>
        <v>2013 Ending Cash Balance (est.)</v>
      </c>
      <c r="I46" s="667"/>
      <c r="J46" s="664"/>
    </row>
    <row r="47" spans="2:11" x14ac:dyDescent="0.2">
      <c r="B47" s="612" t="s">
        <v>972</v>
      </c>
      <c r="C47" s="668">
        <f>C21-C46</f>
        <v>96891.679999999935</v>
      </c>
      <c r="D47" s="669">
        <f>D21-D46</f>
        <v>87787.179999999935</v>
      </c>
      <c r="E47" s="619" t="s">
        <v>839</v>
      </c>
      <c r="G47" s="665">
        <f>E20</f>
        <v>524871</v>
      </c>
      <c r="H47" s="651" t="str">
        <f>CONCATENATE("",E1," Non-AV Receipts (est.)")</f>
        <v>2014 Non-AV Receipts (est.)</v>
      </c>
      <c r="I47" s="667"/>
      <c r="J47" s="664"/>
    </row>
    <row r="48" spans="2:11" x14ac:dyDescent="0.2">
      <c r="B48" s="670" t="str">
        <f>CONCATENATE("",E1-2,"/",E1-1," Budget Authority Amount:")</f>
        <v>2012/2013 Budget Authority Amount:</v>
      </c>
      <c r="C48" s="671">
        <f>inputOth!B64</f>
        <v>565000</v>
      </c>
      <c r="D48" s="671">
        <f>inputPrYr!D18</f>
        <v>812788</v>
      </c>
      <c r="E48" s="619" t="s">
        <v>839</v>
      </c>
      <c r="F48" s="672"/>
      <c r="G48" s="673">
        <f>IF(E52&gt;0,E51,E53)</f>
        <v>235836.82000000007</v>
      </c>
      <c r="H48" s="651" t="str">
        <f>CONCATENATE("",E1," Ad Valorem Tax (est.)")</f>
        <v>2014 Ad Valorem Tax (est.)</v>
      </c>
      <c r="I48" s="667"/>
      <c r="J48" s="664"/>
      <c r="K48" s="674" t="str">
        <f>IF(G48=E53,"","Note: Does not include Delinquent Taxes")</f>
        <v>Note: Does not include Delinquent Taxes</v>
      </c>
    </row>
    <row r="49" spans="2:16" x14ac:dyDescent="0.2">
      <c r="B49" s="670"/>
      <c r="C49" s="977" t="s">
        <v>483</v>
      </c>
      <c r="D49" s="978"/>
      <c r="E49" s="675">
        <v>40000</v>
      </c>
      <c r="F49" s="676" t="str">
        <f>IF(E46/0.95-E46&lt;E49,"Exceeds 5%","")</f>
        <v/>
      </c>
      <c r="G49" s="665">
        <f>SUM(G46:G48)</f>
        <v>848495</v>
      </c>
      <c r="H49" s="651" t="str">
        <f>CONCATENATE("Total ",E1," Resources Available")</f>
        <v>Total 2014 Resources Available</v>
      </c>
      <c r="I49" s="667"/>
      <c r="J49" s="664"/>
    </row>
    <row r="50" spans="2:16" x14ac:dyDescent="0.2">
      <c r="B50" s="677" t="str">
        <f>CONCATENATE(C62,"     ",D62)</f>
        <v xml:space="preserve">See Tab A     </v>
      </c>
      <c r="C50" s="979" t="s">
        <v>484</v>
      </c>
      <c r="D50" s="980"/>
      <c r="E50" s="678">
        <f>E46+E49</f>
        <v>848495</v>
      </c>
      <c r="G50" s="679"/>
      <c r="H50" s="651"/>
      <c r="I50" s="651"/>
      <c r="J50" s="664"/>
    </row>
    <row r="51" spans="2:16" x14ac:dyDescent="0.2">
      <c r="B51" s="677" t="str">
        <f>CONCATENATE(C63,"     ",D63)</f>
        <v xml:space="preserve">     </v>
      </c>
      <c r="C51" s="680"/>
      <c r="D51" s="602" t="s">
        <v>867</v>
      </c>
      <c r="E51" s="681">
        <f>IF(E50-E21&gt;0,E50-E21,0)</f>
        <v>235836.82000000007</v>
      </c>
      <c r="G51" s="673">
        <f>ROUND(C46*0.05+C46,0)</f>
        <v>594576</v>
      </c>
      <c r="H51" s="651" t="str">
        <f>CONCATENATE("Less ",E1-2," Expenditures + 5%")</f>
        <v>Less 2012 Expenditures + 5%</v>
      </c>
      <c r="I51" s="667"/>
      <c r="J51" s="664"/>
    </row>
    <row r="52" spans="2:16" x14ac:dyDescent="0.2">
      <c r="B52" s="682"/>
      <c r="C52" s="381" t="s">
        <v>482</v>
      </c>
      <c r="D52" s="683">
        <f>inputOth!E50</f>
        <v>0.05</v>
      </c>
      <c r="E52" s="678">
        <f>ROUND(IF(D52&gt;0,(E51*D52),0),0)</f>
        <v>11792</v>
      </c>
      <c r="G52" s="684">
        <f>G49-G51</f>
        <v>253919</v>
      </c>
      <c r="H52" s="685" t="str">
        <f>CONCATENATE("Projected ",E1+1," Carryover (est.)")</f>
        <v>Projected 2015 Carryover (est.)</v>
      </c>
      <c r="I52" s="686"/>
      <c r="J52" s="687"/>
    </row>
    <row r="53" spans="2:16" ht="16.5" thickBot="1" x14ac:dyDescent="0.25">
      <c r="B53" s="599"/>
      <c r="C53" s="983" t="str">
        <f>CONCATENATE("Amount of  ",E1-1," Ad Valorem Tax")</f>
        <v>Amount of  2013 Ad Valorem Tax</v>
      </c>
      <c r="D53" s="984"/>
      <c r="E53" s="688">
        <f>E51+E52</f>
        <v>247628.82000000007</v>
      </c>
    </row>
    <row r="54" spans="2:16" ht="16.5" thickTop="1" x14ac:dyDescent="0.2">
      <c r="B54" s="602"/>
      <c r="C54" s="599"/>
      <c r="D54" s="599"/>
      <c r="E54" s="599"/>
      <c r="G54" s="985" t="s">
        <v>666</v>
      </c>
      <c r="H54" s="986"/>
      <c r="I54" s="986"/>
      <c r="J54" s="987"/>
    </row>
    <row r="55" spans="2:16" x14ac:dyDescent="0.2">
      <c r="B55" s="670" t="s">
        <v>869</v>
      </c>
      <c r="C55" s="689">
        <v>11</v>
      </c>
      <c r="D55" s="690"/>
      <c r="E55" s="599"/>
      <c r="G55" s="691"/>
      <c r="H55" s="666"/>
      <c r="I55" s="692"/>
      <c r="J55" s="693"/>
      <c r="M55" s="988"/>
      <c r="N55" s="988"/>
      <c r="O55" s="988"/>
      <c r="P55" s="989"/>
    </row>
    <row r="56" spans="2:16" x14ac:dyDescent="0.2">
      <c r="G56" s="694">
        <f>summ!H16</f>
        <v>10.994999999999999</v>
      </c>
      <c r="H56" s="666" t="str">
        <f>CONCATENATE("",E1," Fund Mill Rate")</f>
        <v>2014 Fund Mill Rate</v>
      </c>
      <c r="I56" s="692"/>
      <c r="J56" s="693"/>
      <c r="M56" s="695"/>
      <c r="N56" s="695"/>
      <c r="O56" s="695"/>
      <c r="P56" s="695"/>
    </row>
    <row r="57" spans="2:16" x14ac:dyDescent="0.2">
      <c r="C57" s="643"/>
      <c r="D57" s="643"/>
      <c r="E57" s="696"/>
      <c r="F57" s="644"/>
      <c r="G57" s="697">
        <f>summ!E16</f>
        <v>10.449</v>
      </c>
      <c r="H57" s="666" t="str">
        <f>CONCATENATE("",E1-1," Fund Mill Rate")</f>
        <v>2013 Fund Mill Rate</v>
      </c>
      <c r="I57" s="692"/>
      <c r="J57" s="693"/>
      <c r="L57" s="698"/>
      <c r="M57" s="699"/>
      <c r="N57" s="700"/>
      <c r="O57" s="700"/>
      <c r="P57" s="701"/>
    </row>
    <row r="58" spans="2:16" x14ac:dyDescent="0.2">
      <c r="C58" s="702"/>
      <c r="D58" s="645"/>
      <c r="E58" s="696"/>
      <c r="F58" s="645"/>
      <c r="G58" s="703">
        <f>summ!H52</f>
        <v>59.936</v>
      </c>
      <c r="H58" s="666" t="str">
        <f>CONCATENATE("Total ",E1," Mill Rate")</f>
        <v>Total 2014 Mill Rate</v>
      </c>
      <c r="I58" s="692"/>
      <c r="J58" s="693"/>
      <c r="M58" s="702"/>
      <c r="N58" s="645"/>
      <c r="O58" s="702"/>
      <c r="P58" s="701"/>
    </row>
    <row r="59" spans="2:16" x14ac:dyDescent="0.2">
      <c r="C59" s="704"/>
      <c r="D59" s="705"/>
      <c r="E59" s="696"/>
      <c r="F59" s="645"/>
      <c r="G59" s="697">
        <f>summ!E52</f>
        <v>58.256999999999998</v>
      </c>
      <c r="H59" s="706" t="str">
        <f>CONCATENATE("Total ",E1-1," Mill Rate")</f>
        <v>Total 2013 Mill Rate</v>
      </c>
      <c r="I59" s="707"/>
      <c r="J59" s="708"/>
      <c r="M59" s="702"/>
      <c r="N59" s="645"/>
      <c r="O59" s="702"/>
      <c r="P59" s="709"/>
    </row>
    <row r="60" spans="2:16" ht="14.25" customHeight="1" x14ac:dyDescent="0.2">
      <c r="C60" s="646"/>
      <c r="D60" s="645"/>
      <c r="E60" s="645"/>
      <c r="F60" s="645"/>
      <c r="G60" s="700"/>
      <c r="H60" s="695"/>
      <c r="I60" s="695"/>
      <c r="J60" s="710"/>
    </row>
    <row r="61" spans="2:16" x14ac:dyDescent="0.2">
      <c r="C61" s="646"/>
      <c r="D61" s="645"/>
      <c r="E61" s="645"/>
      <c r="F61" s="645"/>
      <c r="G61" s="711"/>
      <c r="H61" s="695"/>
      <c r="I61" s="700"/>
      <c r="J61" s="712"/>
    </row>
    <row r="62" spans="2:16" hidden="1" x14ac:dyDescent="0.2">
      <c r="C62" s="713" t="str">
        <f>IF(C46&gt;C48,"See Tab A","")</f>
        <v>See Tab A</v>
      </c>
      <c r="D62" s="714" t="str">
        <f>IF(D46&gt;D48,"See Tab C","")</f>
        <v/>
      </c>
      <c r="E62" s="645"/>
      <c r="F62" s="645"/>
    </row>
    <row r="63" spans="2:16" hidden="1" x14ac:dyDescent="0.2">
      <c r="C63" s="715" t="str">
        <f>IF(C47&lt;0,"See Tab B","")</f>
        <v/>
      </c>
      <c r="D63" s="715" t="str">
        <f>IF(D47&lt;0,"See Tab D","")</f>
        <v/>
      </c>
    </row>
  </sheetData>
  <mergeCells count="8">
    <mergeCell ref="C53:D53"/>
    <mergeCell ref="G54:J54"/>
    <mergeCell ref="M55:P55"/>
    <mergeCell ref="G33:J33"/>
    <mergeCell ref="G37:J37"/>
    <mergeCell ref="G44:J44"/>
    <mergeCell ref="C49:D49"/>
    <mergeCell ref="C50:D50"/>
  </mergeCells>
  <phoneticPr fontId="0" type="noConversion"/>
  <conditionalFormatting sqref="E44">
    <cfRule type="cellIs" dxfId="314" priority="11" stopIfTrue="1" operator="greaterThan">
      <formula>$E$46*0.1</formula>
    </cfRule>
  </conditionalFormatting>
  <conditionalFormatting sqref="E49">
    <cfRule type="cellIs" dxfId="313" priority="10" stopIfTrue="1" operator="greaterThan">
      <formula>$E$46/0.95-$E$46</formula>
    </cfRule>
  </conditionalFormatting>
  <conditionalFormatting sqref="C47">
    <cfRule type="cellIs" dxfId="312" priority="9" stopIfTrue="1" operator="lessThan">
      <formula>0</formula>
    </cfRule>
  </conditionalFormatting>
  <conditionalFormatting sqref="C46">
    <cfRule type="cellIs" dxfId="311" priority="8" stopIfTrue="1" operator="greaterThan">
      <formula>$C$48</formula>
    </cfRule>
  </conditionalFormatting>
  <conditionalFormatting sqref="C44">
    <cfRule type="cellIs" dxfId="310" priority="7" stopIfTrue="1" operator="greaterThan">
      <formula>$C$46*0.1</formula>
    </cfRule>
  </conditionalFormatting>
  <conditionalFormatting sqref="D44">
    <cfRule type="cellIs" dxfId="309" priority="6" stopIfTrue="1" operator="greaterThan">
      <formula>$D$46*0.1</formula>
    </cfRule>
  </conditionalFormatting>
  <conditionalFormatting sqref="C18">
    <cfRule type="cellIs" dxfId="308" priority="5" stopIfTrue="1" operator="greaterThan">
      <formula>$C$20*0.1</formula>
    </cfRule>
  </conditionalFormatting>
  <conditionalFormatting sqref="D18">
    <cfRule type="cellIs" dxfId="307" priority="4" stopIfTrue="1" operator="greaterThan">
      <formula>$D$20*0.1</formula>
    </cfRule>
  </conditionalFormatting>
  <conditionalFormatting sqref="E18">
    <cfRule type="cellIs" dxfId="306" priority="3" stopIfTrue="1" operator="greaterThan">
      <formula>$E$20*0.1+E53</formula>
    </cfRule>
  </conditionalFormatting>
  <conditionalFormatting sqref="D47">
    <cfRule type="cellIs" dxfId="305" priority="2" stopIfTrue="1" operator="lessThan">
      <formula>0</formula>
    </cfRule>
  </conditionalFormatting>
  <conditionalFormatting sqref="D46">
    <cfRule type="cellIs" dxfId="304" priority="1" stopIfTrue="1" operator="greaterThan">
      <formula>$D$48</formula>
    </cfRule>
  </conditionalFormatting>
  <printOptions horizontalCentered="1"/>
  <pageMargins left="0.5" right="0.5" top="0.5" bottom="0.5" header="0.3" footer="0.3"/>
  <pageSetup scale="94" orientation="portrait" blackAndWhite="1" horizontalDpi="120" verticalDpi="144"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92"/>
  <sheetViews>
    <sheetView view="pageBreakPreview" zoomScale="70" zoomScaleNormal="100" zoomScaleSheetLayoutView="70" workbookViewId="0">
      <selection activeCell="F38" sqref="F38"/>
    </sheetView>
  </sheetViews>
  <sheetFormatPr defaultRowHeight="15.75" x14ac:dyDescent="0.2"/>
  <cols>
    <col min="1" max="1" width="2.44140625" style="34" customWidth="1"/>
    <col min="2" max="2" width="31.109375" style="34" customWidth="1"/>
    <col min="3" max="4" width="15.77734375" style="34" customWidth="1"/>
    <col min="5" max="5" width="16.21875" style="34" customWidth="1"/>
    <col min="6" max="6" width="8.109375" style="34" customWidth="1"/>
    <col min="7" max="7" width="10.21875" style="34" customWidth="1"/>
    <col min="8" max="8" width="8.88671875" style="34"/>
    <col min="9" max="9" width="5" style="34" customWidth="1"/>
    <col min="10" max="10" width="10.88671875" style="34" customWidth="1"/>
    <col min="11" max="16384" width="8.88671875" style="34"/>
  </cols>
  <sheetData>
    <row r="1" spans="2:9" x14ac:dyDescent="0.2">
      <c r="B1" s="399" t="str">
        <f>inputPrYr!D2</f>
        <v>City of Osawatomie</v>
      </c>
      <c r="C1" s="399"/>
      <c r="D1" s="384"/>
      <c r="E1" s="392">
        <f>inputPrYr!C5</f>
        <v>2014</v>
      </c>
    </row>
    <row r="2" spans="2:9" x14ac:dyDescent="0.2">
      <c r="B2" s="384"/>
      <c r="C2" s="384"/>
      <c r="D2" s="384"/>
      <c r="E2" s="401"/>
    </row>
    <row r="3" spans="2:9" x14ac:dyDescent="0.2">
      <c r="B3" s="387" t="s">
        <v>917</v>
      </c>
      <c r="C3" s="387"/>
      <c r="D3" s="404"/>
      <c r="E3" s="393"/>
    </row>
    <row r="4" spans="2:9" x14ac:dyDescent="0.2">
      <c r="B4" s="386" t="s">
        <v>850</v>
      </c>
      <c r="C4" s="418" t="s">
        <v>662</v>
      </c>
      <c r="D4" s="417" t="s">
        <v>663</v>
      </c>
      <c r="E4" s="394" t="s">
        <v>664</v>
      </c>
    </row>
    <row r="5" spans="2:9" x14ac:dyDescent="0.2">
      <c r="B5" s="427" t="str">
        <f>inputPrYr!B19</f>
        <v>Library</v>
      </c>
      <c r="C5" s="419" t="str">
        <f>CONCATENATE("Actual for ",E1-2,"")</f>
        <v>Actual for 2012</v>
      </c>
      <c r="D5" s="419" t="str">
        <f>CONCATENATE("Estimate for ",E1-1,"")</f>
        <v>Estimate for 2013</v>
      </c>
      <c r="E5" s="403" t="str">
        <f>CONCATENATE("Year for ",E1,"")</f>
        <v>Year for 2014</v>
      </c>
    </row>
    <row r="6" spans="2:9" x14ac:dyDescent="0.2">
      <c r="B6" s="395" t="s">
        <v>971</v>
      </c>
      <c r="C6" s="423">
        <v>91626</v>
      </c>
      <c r="D6" s="422">
        <f>C32</f>
        <v>115754</v>
      </c>
      <c r="E6" s="396">
        <f>D32</f>
        <v>106254</v>
      </c>
    </row>
    <row r="7" spans="2:9" x14ac:dyDescent="0.2">
      <c r="B7" s="395" t="s">
        <v>973</v>
      </c>
      <c r="C7" s="397"/>
      <c r="D7" s="422"/>
      <c r="E7" s="396"/>
    </row>
    <row r="8" spans="2:9" x14ac:dyDescent="0.2">
      <c r="B8" s="395" t="s">
        <v>851</v>
      </c>
      <c r="C8" s="420">
        <v>11</v>
      </c>
      <c r="D8" s="422">
        <f>IF(inputPrYr!H16&gt;0,inputPrYr!G19,inputPrYr!E19)</f>
        <v>0</v>
      </c>
      <c r="E8" s="413" t="s">
        <v>839</v>
      </c>
    </row>
    <row r="9" spans="2:9" x14ac:dyDescent="0.2">
      <c r="B9" s="395" t="s">
        <v>852</v>
      </c>
      <c r="C9" s="420">
        <v>952</v>
      </c>
      <c r="D9" s="424"/>
      <c r="E9" s="388"/>
    </row>
    <row r="10" spans="2:9" x14ac:dyDescent="0.2">
      <c r="B10" s="395" t="s">
        <v>853</v>
      </c>
      <c r="C10" s="420"/>
      <c r="D10" s="424"/>
      <c r="E10" s="396" t="str">
        <f>mvalloc!D9</f>
        <v xml:space="preserve">  </v>
      </c>
    </row>
    <row r="11" spans="2:9" x14ac:dyDescent="0.2">
      <c r="B11" s="395" t="s">
        <v>854</v>
      </c>
      <c r="C11" s="420"/>
      <c r="D11" s="424"/>
      <c r="E11" s="396" t="str">
        <f>mvalloc!E9</f>
        <v xml:space="preserve"> </v>
      </c>
    </row>
    <row r="12" spans="2:9" hidden="1" x14ac:dyDescent="0.2">
      <c r="B12" s="398" t="s">
        <v>949</v>
      </c>
      <c r="C12" s="420"/>
      <c r="D12" s="424"/>
      <c r="E12" s="396" t="str">
        <f>mvalloc!F9</f>
        <v xml:space="preserve"> </v>
      </c>
    </row>
    <row r="13" spans="2:9" x14ac:dyDescent="0.2">
      <c r="B13" s="415" t="s">
        <v>150</v>
      </c>
      <c r="C13" s="420">
        <v>11596</v>
      </c>
      <c r="D13" s="424">
        <v>7900</v>
      </c>
      <c r="E13" s="388">
        <v>6000</v>
      </c>
    </row>
    <row r="14" spans="2:9" x14ac:dyDescent="0.2">
      <c r="B14" s="415" t="s">
        <v>119</v>
      </c>
      <c r="C14" s="420">
        <v>409</v>
      </c>
      <c r="D14" s="424"/>
      <c r="E14" s="388"/>
    </row>
    <row r="15" spans="2:9" x14ac:dyDescent="0.2">
      <c r="B15" s="415" t="s">
        <v>151</v>
      </c>
      <c r="C15" s="420">
        <v>16773</v>
      </c>
      <c r="D15" s="424">
        <v>2000</v>
      </c>
      <c r="E15" s="388">
        <v>2000</v>
      </c>
    </row>
    <row r="16" spans="2:9" x14ac:dyDescent="0.2">
      <c r="B16" s="410" t="s">
        <v>858</v>
      </c>
      <c r="C16" s="420">
        <v>116</v>
      </c>
      <c r="D16" s="424">
        <v>600</v>
      </c>
      <c r="E16" s="388">
        <v>600</v>
      </c>
      <c r="F16" s="383"/>
      <c r="G16" s="383"/>
      <c r="H16" s="383"/>
      <c r="I16" s="383"/>
    </row>
    <row r="17" spans="2:10" hidden="1" x14ac:dyDescent="0.2">
      <c r="B17" s="395" t="s">
        <v>730</v>
      </c>
      <c r="C17" s="249"/>
      <c r="D17" s="249"/>
      <c r="E17" s="56"/>
      <c r="F17" s="383"/>
      <c r="G17" s="383"/>
      <c r="H17" s="383"/>
      <c r="I17" s="383"/>
    </row>
    <row r="18" spans="2:10" hidden="1" x14ac:dyDescent="0.2">
      <c r="B18" s="395" t="s">
        <v>638</v>
      </c>
      <c r="C18" s="254" t="str">
        <f>IF(C19*0.1&lt;C17,"Exceed 10% Rule","")</f>
        <v/>
      </c>
      <c r="D18" s="254" t="str">
        <f>IF(D19*0.1&lt;D17,"Exceed 10% Rule","")</f>
        <v/>
      </c>
      <c r="E18" s="291" t="str">
        <f>IF(E19*0.1+E38&lt;E17,"Exceed 10% Rule","")</f>
        <v/>
      </c>
      <c r="F18" s="383"/>
      <c r="G18" s="383"/>
      <c r="H18" s="383"/>
      <c r="I18" s="383"/>
    </row>
    <row r="19" spans="2:10" x14ac:dyDescent="0.2">
      <c r="B19" s="406" t="s">
        <v>859</v>
      </c>
      <c r="C19" s="425">
        <f>SUM(C8:C17)</f>
        <v>29857</v>
      </c>
      <c r="D19" s="425">
        <f>SUM(D8:D17)</f>
        <v>10500</v>
      </c>
      <c r="E19" s="416">
        <f>SUM(E9:E17)</f>
        <v>8600</v>
      </c>
      <c r="F19" s="383"/>
      <c r="G19" s="383"/>
      <c r="H19" s="383"/>
      <c r="I19" s="383"/>
    </row>
    <row r="20" spans="2:10" x14ac:dyDescent="0.2">
      <c r="B20" s="406" t="s">
        <v>860</v>
      </c>
      <c r="C20" s="425">
        <f>SUM(C6+C19)</f>
        <v>121483</v>
      </c>
      <c r="D20" s="425">
        <f>SUM(D6+D19)</f>
        <v>126254</v>
      </c>
      <c r="E20" s="416">
        <f>SUM(E6+E19)</f>
        <v>114854</v>
      </c>
      <c r="F20" s="383"/>
      <c r="G20" s="383"/>
      <c r="H20" s="383"/>
      <c r="I20" s="383"/>
    </row>
    <row r="21" spans="2:10" x14ac:dyDescent="0.2">
      <c r="B21" s="395" t="s">
        <v>862</v>
      </c>
      <c r="C21" s="395"/>
      <c r="D21" s="422"/>
      <c r="E21" s="396"/>
      <c r="F21" s="383"/>
      <c r="G21" s="383"/>
      <c r="H21" s="383"/>
      <c r="I21" s="383"/>
    </row>
    <row r="22" spans="2:10" x14ac:dyDescent="0.2">
      <c r="B22" s="415" t="s">
        <v>152</v>
      </c>
      <c r="C22" s="499"/>
      <c r="D22" s="424"/>
      <c r="E22" s="388"/>
      <c r="F22" s="383"/>
      <c r="G22" s="383"/>
      <c r="H22" s="383"/>
      <c r="I22" s="383"/>
    </row>
    <row r="23" spans="2:10" x14ac:dyDescent="0.2">
      <c r="B23" s="415" t="s">
        <v>145</v>
      </c>
      <c r="C23" s="499">
        <f>338+1428</f>
        <v>1766</v>
      </c>
      <c r="D23" s="424"/>
      <c r="E23" s="388">
        <v>105854</v>
      </c>
      <c r="F23" s="383"/>
      <c r="G23" s="995" t="str">
        <f>CONCATENATE("Desired Carryover Into ",E1+1,"")</f>
        <v>Desired Carryover Into 2015</v>
      </c>
      <c r="H23" s="972"/>
      <c r="I23" s="972"/>
      <c r="J23" s="973"/>
    </row>
    <row r="24" spans="2:10" x14ac:dyDescent="0.2">
      <c r="B24" s="415" t="s">
        <v>159</v>
      </c>
      <c r="C24" s="499">
        <v>3000</v>
      </c>
      <c r="D24" s="424">
        <v>8000</v>
      </c>
      <c r="E24" s="388">
        <v>6000</v>
      </c>
      <c r="F24" s="383"/>
      <c r="G24" s="915"/>
      <c r="H24" s="916"/>
      <c r="I24" s="916"/>
      <c r="J24" s="917"/>
    </row>
    <row r="25" spans="2:10" x14ac:dyDescent="0.2">
      <c r="B25" s="415" t="s">
        <v>242</v>
      </c>
      <c r="C25" s="499"/>
      <c r="D25" s="424">
        <v>12000</v>
      </c>
      <c r="E25" s="388"/>
      <c r="F25" s="383"/>
      <c r="G25" s="915"/>
      <c r="H25" s="916"/>
      <c r="I25" s="916"/>
      <c r="J25" s="917"/>
    </row>
    <row r="26" spans="2:10" x14ac:dyDescent="0.2">
      <c r="B26" s="415" t="s">
        <v>153</v>
      </c>
      <c r="C26" s="499">
        <v>963</v>
      </c>
      <c r="D26" s="424"/>
      <c r="E26" s="388"/>
      <c r="F26" s="383"/>
      <c r="G26" s="804"/>
      <c r="H26" s="805"/>
      <c r="I26" s="806"/>
      <c r="J26" s="807"/>
    </row>
    <row r="27" spans="2:10" x14ac:dyDescent="0.2">
      <c r="B27" s="415" t="s">
        <v>154</v>
      </c>
      <c r="C27" s="499"/>
      <c r="D27" s="424"/>
      <c r="E27" s="388"/>
      <c r="F27" s="383"/>
      <c r="G27" s="808" t="s">
        <v>626</v>
      </c>
      <c r="H27" s="806"/>
      <c r="I27" s="806"/>
      <c r="J27" s="809">
        <v>0</v>
      </c>
    </row>
    <row r="28" spans="2:10" hidden="1" x14ac:dyDescent="0.2">
      <c r="B28" s="412" t="s">
        <v>729</v>
      </c>
      <c r="C28" s="499"/>
      <c r="D28" s="424"/>
      <c r="E28" s="396" t="str">
        <f>nhood!E8</f>
        <v/>
      </c>
      <c r="F28" s="383"/>
      <c r="G28" s="383"/>
      <c r="H28" s="383"/>
      <c r="I28" s="383"/>
    </row>
    <row r="29" spans="2:10" hidden="1" x14ac:dyDescent="0.2">
      <c r="B29" s="412" t="s">
        <v>730</v>
      </c>
      <c r="C29" s="499"/>
      <c r="D29" s="424"/>
      <c r="E29" s="388"/>
      <c r="F29" s="383"/>
      <c r="G29" s="996" t="str">
        <f>CONCATENATE("Projected Carryover Into ",E1+1,"")</f>
        <v>Projected Carryover Into 2015</v>
      </c>
      <c r="H29" s="972"/>
      <c r="I29" s="972"/>
      <c r="J29" s="973"/>
    </row>
    <row r="30" spans="2:10" hidden="1" x14ac:dyDescent="0.2">
      <c r="B30" s="412" t="s">
        <v>640</v>
      </c>
      <c r="C30" s="254" t="str">
        <f>IF(C31*0.1&lt;C29,"Exceed 10% Rule","")</f>
        <v/>
      </c>
      <c r="D30" s="254" t="str">
        <f>IF(D31*0.1&lt;D29,"Exceed 10% Rule","")</f>
        <v/>
      </c>
      <c r="E30" s="291" t="str">
        <f>IF(E31*0.1&lt;E29,"Exceed 10% Rule","")</f>
        <v/>
      </c>
      <c r="F30" s="383"/>
      <c r="G30" s="817"/>
      <c r="H30" s="773"/>
      <c r="I30" s="773"/>
      <c r="J30" s="818"/>
    </row>
    <row r="31" spans="2:10" x14ac:dyDescent="0.2">
      <c r="B31" s="406" t="s">
        <v>866</v>
      </c>
      <c r="C31" s="421">
        <f>SUM(C22:C29)</f>
        <v>5729</v>
      </c>
      <c r="D31" s="421">
        <f>SUM(D22:D29)</f>
        <v>20000</v>
      </c>
      <c r="E31" s="411">
        <f>SUM(E22:E29)</f>
        <v>111854</v>
      </c>
      <c r="F31" s="383"/>
      <c r="G31" s="819">
        <f>D32</f>
        <v>106254</v>
      </c>
      <c r="H31" s="820" t="str">
        <f>CONCATENATE("",E1-1," Ending Cash Balance (est.)")</f>
        <v>2013 Ending Cash Balance (est.)</v>
      </c>
      <c r="I31" s="821"/>
      <c r="J31" s="818"/>
    </row>
    <row r="32" spans="2:10" x14ac:dyDescent="0.2">
      <c r="B32" s="395" t="s">
        <v>972</v>
      </c>
      <c r="C32" s="426">
        <f>SUM(C20-C31)</f>
        <v>115754</v>
      </c>
      <c r="D32" s="426">
        <f>SUM(D20-D31)</f>
        <v>106254</v>
      </c>
      <c r="E32" s="413" t="s">
        <v>839</v>
      </c>
      <c r="F32" s="383"/>
      <c r="G32" s="819">
        <f>E19</f>
        <v>8600</v>
      </c>
      <c r="H32" s="822" t="str">
        <f>CONCATENATE("",E1," Non-AV Receipts (est.)")</f>
        <v>2014 Non-AV Receipts (est.)</v>
      </c>
      <c r="I32" s="773"/>
      <c r="J32" s="818"/>
    </row>
    <row r="33" spans="2:10" x14ac:dyDescent="0.2">
      <c r="B33" s="400" t="str">
        <f>CONCATENATE("",E1-2,"/",E1-1," Budget Authority Amount:")</f>
        <v>2012/2013 Budget Authority Amount:</v>
      </c>
      <c r="C33" s="402">
        <f>inputOth!B65</f>
        <v>109551</v>
      </c>
      <c r="D33" s="407">
        <f>inputPrYr!D19</f>
        <v>126000</v>
      </c>
      <c r="E33" s="413" t="s">
        <v>839</v>
      </c>
      <c r="F33" s="408"/>
      <c r="G33" s="823">
        <f>IF(E37&gt;0,E36,E38)</f>
        <v>0</v>
      </c>
      <c r="H33" s="822" t="str">
        <f>CONCATENATE("",E1," Ad Valorem Tax (est.)")</f>
        <v>2014 Ad Valorem Tax (est.)</v>
      </c>
      <c r="I33" s="773"/>
      <c r="J33" s="818"/>
    </row>
    <row r="34" spans="2:10" x14ac:dyDescent="0.2">
      <c r="B34" s="400"/>
      <c r="C34" s="977" t="s">
        <v>483</v>
      </c>
      <c r="D34" s="978"/>
      <c r="E34" s="56">
        <v>3000</v>
      </c>
      <c r="F34" s="443" t="str">
        <f>IF(E31/0.95-E31&lt;E34,"Exceeds 5%","")</f>
        <v/>
      </c>
      <c r="G34" s="819">
        <f>SUM(G31:G33)</f>
        <v>114854</v>
      </c>
      <c r="H34" s="822" t="str">
        <f>CONCATENATE("Total ",E1," Resources Available")</f>
        <v>Total 2014 Resources Available</v>
      </c>
      <c r="I34" s="821"/>
      <c r="J34" s="818"/>
    </row>
    <row r="35" spans="2:10" x14ac:dyDescent="0.2">
      <c r="B35" s="540" t="str">
        <f>CONCATENATE(C89,"     ",D89)</f>
        <v xml:space="preserve">     </v>
      </c>
      <c r="C35" s="979" t="s">
        <v>484</v>
      </c>
      <c r="D35" s="980"/>
      <c r="E35" s="396">
        <f>SUM(E31+E34)</f>
        <v>114854</v>
      </c>
      <c r="F35" s="383"/>
      <c r="G35" s="824"/>
      <c r="H35" s="822"/>
      <c r="I35" s="773"/>
      <c r="J35" s="818"/>
    </row>
    <row r="36" spans="2:10" x14ac:dyDescent="0.2">
      <c r="B36" s="540" t="str">
        <f>CONCATENATE(C90,"     ",D90)</f>
        <v xml:space="preserve">     </v>
      </c>
      <c r="C36" s="409"/>
      <c r="D36" s="401" t="s">
        <v>867</v>
      </c>
      <c r="E36" s="389">
        <f>IF(E35-E20&gt;0,E35-E20,0)</f>
        <v>0</v>
      </c>
      <c r="F36" s="383"/>
      <c r="G36" s="839">
        <f>ROUND(C31*0.05+C31,0)</f>
        <v>6015</v>
      </c>
      <c r="H36" s="838" t="str">
        <f>CONCATENATE("Less ",E1-2," Expenditures + 5%")</f>
        <v>Less 2012 Expenditures + 5%</v>
      </c>
      <c r="I36" s="773"/>
      <c r="J36" s="818"/>
    </row>
    <row r="37" spans="2:10" x14ac:dyDescent="0.2">
      <c r="B37" s="401"/>
      <c r="C37" s="381" t="s">
        <v>482</v>
      </c>
      <c r="D37" s="751">
        <f>inputOth!$E$50</f>
        <v>0.05</v>
      </c>
      <c r="E37" s="396">
        <f>ROUND(IF(D37&gt;0,(E36*D37),0),0)</f>
        <v>0</v>
      </c>
      <c r="F37" s="383"/>
      <c r="G37" s="825">
        <f>SUM(G34-G36)</f>
        <v>108839</v>
      </c>
      <c r="H37" s="826" t="str">
        <f>CONCATENATE("Projected ",E1+1," carryover (est.)")</f>
        <v>Projected 2015 carryover (est.)</v>
      </c>
      <c r="I37" s="827"/>
      <c r="J37" s="828"/>
    </row>
    <row r="38" spans="2:10" ht="16.5" thickBot="1" x14ac:dyDescent="0.25">
      <c r="B38" s="384"/>
      <c r="C38" s="983" t="s">
        <v>487</v>
      </c>
      <c r="D38" s="984"/>
      <c r="E38" s="753">
        <f>SUM(E36:E37)</f>
        <v>0</v>
      </c>
      <c r="F38" s="844" t="e">
        <f>IF('Library Grant'!F33="","",IF('Library Grant'!F33="Qualify","Qualifies for State Library Grant","See 'Library Grant' tab"))</f>
        <v>#VALUE!</v>
      </c>
    </row>
    <row r="39" spans="2:10" ht="16.5" thickTop="1" x14ac:dyDescent="0.2">
      <c r="B39" s="384"/>
      <c r="C39" s="576"/>
      <c r="D39" s="384"/>
      <c r="E39" s="384"/>
      <c r="F39" s="844"/>
    </row>
    <row r="40" spans="2:10" x14ac:dyDescent="0.2">
      <c r="B40" s="401" t="s">
        <v>869</v>
      </c>
      <c r="C40" s="414">
        <v>12</v>
      </c>
      <c r="D40" s="188"/>
      <c r="E40" s="188"/>
      <c r="F40" s="844"/>
    </row>
    <row r="41" spans="2:10" x14ac:dyDescent="0.2">
      <c r="B41" s="188" t="s">
        <v>78</v>
      </c>
      <c r="C41" s="36"/>
      <c r="D41" s="162"/>
      <c r="E41" s="36">
        <v>2014</v>
      </c>
      <c r="F41" s="383"/>
      <c r="G41" s="974" t="s">
        <v>666</v>
      </c>
      <c r="H41" s="975"/>
      <c r="I41" s="975"/>
      <c r="J41" s="976"/>
    </row>
    <row r="42" spans="2:10" x14ac:dyDescent="0.2">
      <c r="B42" s="386"/>
      <c r="C42" s="386"/>
      <c r="D42" s="404"/>
      <c r="E42" s="404"/>
      <c r="F42" s="383"/>
      <c r="G42" s="794"/>
      <c r="H42" s="795"/>
      <c r="I42" s="796"/>
      <c r="J42" s="797"/>
    </row>
    <row r="43" spans="2:10" x14ac:dyDescent="0.2">
      <c r="B43" s="386" t="s">
        <v>850</v>
      </c>
      <c r="C43" s="418" t="s">
        <v>662</v>
      </c>
      <c r="D43" s="417" t="s">
        <v>663</v>
      </c>
      <c r="E43" s="394" t="s">
        <v>664</v>
      </c>
      <c r="F43" s="383"/>
      <c r="G43" s="798" t="str">
        <f>summ!H17</f>
        <v/>
      </c>
      <c r="H43" s="795" t="str">
        <f>CONCATENATE("",E1," Fund Mill Rate")</f>
        <v>2014 Fund Mill Rate</v>
      </c>
      <c r="I43" s="796"/>
      <c r="J43" s="797"/>
    </row>
    <row r="44" spans="2:10" x14ac:dyDescent="0.2">
      <c r="B44" s="428" t="s">
        <v>488</v>
      </c>
      <c r="C44" s="419" t="str">
        <f>CONCATENATE("Actual for ",E1-2,"")</f>
        <v>Actual for 2012</v>
      </c>
      <c r="D44" s="419" t="str">
        <f>CONCATENATE("Estimate for ",E1-1,"")</f>
        <v>Estimate for 2013</v>
      </c>
      <c r="E44" s="403" t="str">
        <f>CONCATENATE("Year for ",E1,"")</f>
        <v>Year for 2014</v>
      </c>
      <c r="F44" s="383"/>
      <c r="G44" s="799" t="str">
        <f>summ!E17</f>
        <v xml:space="preserve">  </v>
      </c>
      <c r="H44" s="795" t="str">
        <f>CONCATENATE("",E1-1," Fund Mill Rate")</f>
        <v>2013 Fund Mill Rate</v>
      </c>
      <c r="I44" s="796"/>
      <c r="J44" s="797"/>
    </row>
    <row r="45" spans="2:10" x14ac:dyDescent="0.2">
      <c r="B45" s="395" t="s">
        <v>971</v>
      </c>
      <c r="C45" s="420">
        <v>714</v>
      </c>
      <c r="D45" s="422">
        <f>C69</f>
        <v>714</v>
      </c>
      <c r="E45" s="396">
        <f>D69</f>
        <v>714</v>
      </c>
      <c r="F45" s="383"/>
      <c r="G45" s="800">
        <f>summ!H52</f>
        <v>59.936</v>
      </c>
      <c r="H45" s="795" t="str">
        <f>CONCATENATE("Total ",E1," Mill Rate")</f>
        <v>Total 2014 Mill Rate</v>
      </c>
      <c r="I45" s="796"/>
      <c r="J45" s="797"/>
    </row>
    <row r="46" spans="2:10" x14ac:dyDescent="0.2">
      <c r="B46" s="405" t="s">
        <v>973</v>
      </c>
      <c r="C46" s="395"/>
      <c r="D46" s="422"/>
      <c r="E46" s="396"/>
      <c r="F46" s="383"/>
      <c r="G46" s="799">
        <f>summ!E52</f>
        <v>58.256999999999998</v>
      </c>
      <c r="H46" s="801" t="str">
        <f>CONCATENATE("Total ",E1-1," Mill Rate")</f>
        <v>Total 2013 Mill Rate</v>
      </c>
      <c r="I46" s="802"/>
      <c r="J46" s="803"/>
    </row>
    <row r="47" spans="2:10" x14ac:dyDescent="0.2">
      <c r="B47" s="395" t="s">
        <v>851</v>
      </c>
      <c r="C47" s="420">
        <v>87314</v>
      </c>
      <c r="D47" s="422">
        <f>IF(inputPrYr!H16&gt;0,inputPrYr!G33,inputPrYr!E33)</f>
        <v>0</v>
      </c>
      <c r="E47" s="413" t="s">
        <v>839</v>
      </c>
      <c r="F47" s="383"/>
      <c r="G47" s="383"/>
      <c r="H47" s="383"/>
      <c r="I47" s="383"/>
    </row>
    <row r="48" spans="2:10" x14ac:dyDescent="0.2">
      <c r="B48" s="395" t="s">
        <v>852</v>
      </c>
      <c r="C48" s="420">
        <v>4501</v>
      </c>
      <c r="D48" s="424">
        <v>4500</v>
      </c>
      <c r="E48" s="388"/>
      <c r="F48" s="383"/>
      <c r="G48" s="383"/>
      <c r="H48" s="383"/>
      <c r="I48" s="383"/>
    </row>
    <row r="49" spans="2:10" x14ac:dyDescent="0.2">
      <c r="B49" s="395" t="s">
        <v>853</v>
      </c>
      <c r="C49" s="420">
        <v>9110</v>
      </c>
      <c r="D49" s="424">
        <v>8788</v>
      </c>
      <c r="E49" s="396" t="str">
        <f>mvalloc!D20</f>
        <v xml:space="preserve">  </v>
      </c>
      <c r="F49" s="383"/>
      <c r="G49" s="383"/>
      <c r="H49" s="383"/>
      <c r="I49" s="383"/>
    </row>
    <row r="50" spans="2:10" x14ac:dyDescent="0.2">
      <c r="B50" s="395" t="s">
        <v>854</v>
      </c>
      <c r="C50" s="420">
        <v>141</v>
      </c>
      <c r="D50" s="424">
        <v>124</v>
      </c>
      <c r="E50" s="396" t="str">
        <f>mvalloc!E20</f>
        <v xml:space="preserve"> </v>
      </c>
      <c r="F50" s="383"/>
      <c r="G50" s="383"/>
      <c r="H50" s="383"/>
      <c r="I50" s="383"/>
    </row>
    <row r="51" spans="2:10" x14ac:dyDescent="0.2">
      <c r="B51" s="398" t="s">
        <v>949</v>
      </c>
      <c r="C51" s="420"/>
      <c r="D51" s="424">
        <v>44</v>
      </c>
      <c r="E51" s="396">
        <v>69</v>
      </c>
    </row>
    <row r="52" spans="2:10" x14ac:dyDescent="0.2">
      <c r="B52" s="415" t="s">
        <v>120</v>
      </c>
      <c r="C52" s="420"/>
      <c r="D52" s="424"/>
      <c r="E52" s="388"/>
    </row>
    <row r="53" spans="2:10" hidden="1" x14ac:dyDescent="0.2">
      <c r="B53" s="415"/>
      <c r="C53" s="420"/>
      <c r="D53" s="424"/>
      <c r="E53" s="388"/>
    </row>
    <row r="54" spans="2:10" x14ac:dyDescent="0.2">
      <c r="B54" s="410" t="s">
        <v>858</v>
      </c>
      <c r="C54" s="420"/>
      <c r="D54" s="424"/>
      <c r="E54" s="388"/>
    </row>
    <row r="55" spans="2:10" hidden="1" x14ac:dyDescent="0.2">
      <c r="B55" s="395" t="s">
        <v>730</v>
      </c>
      <c r="C55" s="420"/>
      <c r="D55" s="249"/>
      <c r="E55" s="56"/>
    </row>
    <row r="56" spans="2:10" hidden="1" x14ac:dyDescent="0.2">
      <c r="B56" s="395" t="s">
        <v>638</v>
      </c>
      <c r="C56" s="254" t="str">
        <f>IF(C57*0.1&lt;C55,"Exceed 10% Rule","")</f>
        <v/>
      </c>
      <c r="D56" s="254" t="str">
        <f>IF(D57*0.1&lt;D55,"Exceed 10% Rule","")</f>
        <v/>
      </c>
      <c r="E56" s="291" t="str">
        <f>IF(E57*0.1+E75&lt;E55,"Exceed 10% Rule","")</f>
        <v/>
      </c>
    </row>
    <row r="57" spans="2:10" x14ac:dyDescent="0.2">
      <c r="B57" s="406" t="s">
        <v>859</v>
      </c>
      <c r="C57" s="421">
        <f>SUM(C47:C55)</f>
        <v>101066</v>
      </c>
      <c r="D57" s="421">
        <f>SUM(D47:D55)</f>
        <v>13456</v>
      </c>
      <c r="E57" s="411">
        <f>SUM(E48:E55)</f>
        <v>69</v>
      </c>
    </row>
    <row r="58" spans="2:10" x14ac:dyDescent="0.2">
      <c r="B58" s="406" t="s">
        <v>860</v>
      </c>
      <c r="C58" s="421">
        <f>SUM(C45+C57)</f>
        <v>101780</v>
      </c>
      <c r="D58" s="421">
        <f>SUM(D45+D57)</f>
        <v>14170</v>
      </c>
      <c r="E58" s="411">
        <f>SUM(E45+E57)</f>
        <v>783</v>
      </c>
    </row>
    <row r="59" spans="2:10" x14ac:dyDescent="0.2">
      <c r="B59" s="395" t="s">
        <v>862</v>
      </c>
      <c r="C59" s="395"/>
      <c r="D59" s="422"/>
      <c r="E59" s="396"/>
    </row>
    <row r="60" spans="2:10" x14ac:dyDescent="0.2">
      <c r="B60" s="415" t="s">
        <v>1020</v>
      </c>
      <c r="C60" s="420"/>
      <c r="D60" s="424"/>
      <c r="E60" s="388"/>
    </row>
    <row r="61" spans="2:10" x14ac:dyDescent="0.25">
      <c r="B61" s="415" t="s">
        <v>155</v>
      </c>
      <c r="C61" s="420"/>
      <c r="D61" s="424"/>
      <c r="E61" s="388"/>
      <c r="F61" s="2"/>
      <c r="G61" s="995" t="str">
        <f>CONCATENATE("Desired Carryover Into ",E1+1,"")</f>
        <v>Desired Carryover Into 2015</v>
      </c>
      <c r="H61" s="972"/>
      <c r="I61" s="972"/>
      <c r="J61" s="973"/>
    </row>
    <row r="62" spans="2:10" x14ac:dyDescent="0.25">
      <c r="B62" s="415" t="s">
        <v>156</v>
      </c>
      <c r="C62" s="420"/>
      <c r="D62" s="424"/>
      <c r="E62" s="388"/>
      <c r="F62" s="2"/>
      <c r="G62" s="804"/>
      <c r="H62" s="805"/>
      <c r="I62" s="806"/>
      <c r="J62" s="807"/>
    </row>
    <row r="63" spans="2:10" x14ac:dyDescent="0.25">
      <c r="B63" s="415" t="s">
        <v>157</v>
      </c>
      <c r="C63" s="420">
        <v>101066</v>
      </c>
      <c r="D63" s="424">
        <v>13456</v>
      </c>
      <c r="E63" s="388">
        <v>783</v>
      </c>
      <c r="F63" s="2"/>
      <c r="G63" s="808" t="s">
        <v>626</v>
      </c>
      <c r="H63" s="806"/>
      <c r="I63" s="806"/>
      <c r="J63" s="809">
        <v>0</v>
      </c>
    </row>
    <row r="64" spans="2:10" hidden="1" x14ac:dyDescent="0.25">
      <c r="B64" s="415"/>
      <c r="C64" s="420"/>
      <c r="D64" s="424"/>
      <c r="E64" s="388"/>
      <c r="F64" s="2"/>
      <c r="G64" s="815" t="s">
        <v>665</v>
      </c>
      <c r="H64" s="816"/>
      <c r="I64" s="816"/>
      <c r="J64" s="783">
        <f>IF(J63&gt;0,#REF!-E72,0)</f>
        <v>0</v>
      </c>
    </row>
    <row r="65" spans="2:11" hidden="1" x14ac:dyDescent="0.25">
      <c r="B65" s="398" t="s">
        <v>729</v>
      </c>
      <c r="C65" s="420"/>
      <c r="D65" s="424"/>
      <c r="E65" s="396" t="str">
        <f>nhood!E19</f>
        <v/>
      </c>
      <c r="F65"/>
      <c r="G65" s="2"/>
      <c r="H65" s="2"/>
      <c r="I65" s="2"/>
      <c r="J65" s="2"/>
    </row>
    <row r="66" spans="2:11" hidden="1" x14ac:dyDescent="0.2">
      <c r="B66" s="398" t="s">
        <v>730</v>
      </c>
      <c r="C66" s="499"/>
      <c r="D66" s="424"/>
      <c r="E66" s="388"/>
      <c r="F66"/>
      <c r="G66" s="995" t="str">
        <f>CONCATENATE("Projected Carryover Into ",E1+1,"")</f>
        <v>Projected Carryover Into 2015</v>
      </c>
      <c r="H66" s="997"/>
      <c r="I66" s="997"/>
      <c r="J66" s="998"/>
    </row>
    <row r="67" spans="2:11" hidden="1" x14ac:dyDescent="0.25">
      <c r="B67" s="398" t="s">
        <v>639</v>
      </c>
      <c r="C67" s="254" t="str">
        <f>IF(C68*0.1&lt;C66,"Exceed 10% Rule","")</f>
        <v/>
      </c>
      <c r="D67" s="254" t="str">
        <f>IF(D68*0.1&lt;D66,"Exceed 10% Rule","")</f>
        <v/>
      </c>
      <c r="E67" s="291" t="str">
        <f>IF(E68*0.1&lt;E66,"Exceed 10% Rule","")</f>
        <v/>
      </c>
      <c r="F67"/>
      <c r="G67" s="829"/>
      <c r="H67" s="805"/>
      <c r="I67" s="805"/>
      <c r="J67" s="830"/>
    </row>
    <row r="68" spans="2:11" x14ac:dyDescent="0.25">
      <c r="B68" s="406" t="s">
        <v>866</v>
      </c>
      <c r="C68" s="421">
        <f>SUM(C60:C66)</f>
        <v>101066</v>
      </c>
      <c r="D68" s="421">
        <f>SUM(D60:D66)</f>
        <v>13456</v>
      </c>
      <c r="E68" s="411">
        <f>SUM(E60:E66)</f>
        <v>783</v>
      </c>
      <c r="F68"/>
      <c r="G68" s="831">
        <f>D69</f>
        <v>714</v>
      </c>
      <c r="H68" s="795" t="str">
        <f>CONCATENATE("",E1-1," Ending Cash Balance (est.)")</f>
        <v>2013 Ending Cash Balance (est.)</v>
      </c>
      <c r="I68" s="832"/>
      <c r="J68" s="830"/>
    </row>
    <row r="69" spans="2:11" x14ac:dyDescent="0.25">
      <c r="B69" s="395" t="s">
        <v>972</v>
      </c>
      <c r="C69" s="426">
        <f>SUM(C58-C68)</f>
        <v>714</v>
      </c>
      <c r="D69" s="426">
        <f>SUM(D58-D68)</f>
        <v>714</v>
      </c>
      <c r="E69" s="413" t="s">
        <v>839</v>
      </c>
      <c r="F69"/>
      <c r="G69" s="831">
        <f>E57</f>
        <v>69</v>
      </c>
      <c r="H69" s="806" t="str">
        <f>CONCATENATE("",E1," Non-AV Receipts (est.)")</f>
        <v>2014 Non-AV Receipts (est.)</v>
      </c>
      <c r="I69" s="832"/>
      <c r="J69" s="830"/>
    </row>
    <row r="70" spans="2:11" x14ac:dyDescent="0.25">
      <c r="B70" s="400" t="str">
        <f>CONCATENATE("",E1-2,"/",E1-1," Budget Authority Amount:")</f>
        <v>2012/2013 Budget Authority Amount:</v>
      </c>
      <c r="C70" s="402">
        <f>inputOth!B76</f>
        <v>174829</v>
      </c>
      <c r="D70" s="402">
        <f>inputPrYr!D33</f>
        <v>13456</v>
      </c>
      <c r="E70" s="413" t="s">
        <v>839</v>
      </c>
      <c r="F70" s="268"/>
      <c r="G70" s="833">
        <f>IF(E74&gt;0,E73,E75)</f>
        <v>0</v>
      </c>
      <c r="H70" s="806" t="str">
        <f>CONCATENATE("",E1," Ad Valorem Tax (est.)")</f>
        <v>2014 Ad Valorem Tax (est.)</v>
      </c>
      <c r="I70" s="832"/>
      <c r="J70" s="830"/>
      <c r="K70" s="788" t="str">
        <f>IF(G70=E75,"","Note: Does not include Delinquent Taxes")</f>
        <v/>
      </c>
    </row>
    <row r="71" spans="2:11" x14ac:dyDescent="0.25">
      <c r="B71" s="400"/>
      <c r="C71" s="977" t="s">
        <v>483</v>
      </c>
      <c r="D71" s="978"/>
      <c r="E71" s="56">
        <v>0</v>
      </c>
      <c r="F71" s="834" t="str">
        <f>IF(E68/0.95-E68&lt;E71,"Exceeds 5%","")</f>
        <v/>
      </c>
      <c r="G71" s="835">
        <f>SUM(G68:G70)</f>
        <v>783</v>
      </c>
      <c r="H71" s="806" t="str">
        <f>CONCATENATE("Total ",E1," Resources Available")</f>
        <v>Total 2014 Resources Available</v>
      </c>
      <c r="I71" s="836"/>
      <c r="J71" s="830"/>
    </row>
    <row r="72" spans="2:11" x14ac:dyDescent="0.25">
      <c r="B72" s="540" t="str">
        <f>CONCATENATE(C91,"     ",D91)</f>
        <v xml:space="preserve">     </v>
      </c>
      <c r="C72" s="979" t="s">
        <v>484</v>
      </c>
      <c r="D72" s="980"/>
      <c r="E72" s="396">
        <f>SUM(E68+E71)</f>
        <v>783</v>
      </c>
      <c r="F72"/>
      <c r="G72" s="837"/>
      <c r="H72" s="838"/>
      <c r="I72" s="805"/>
      <c r="J72" s="830"/>
    </row>
    <row r="73" spans="2:11" x14ac:dyDescent="0.25">
      <c r="B73" s="540" t="str">
        <f>CONCATENATE(C92,"     ",D92)</f>
        <v xml:space="preserve">     </v>
      </c>
      <c r="C73" s="409"/>
      <c r="D73" s="401" t="s">
        <v>867</v>
      </c>
      <c r="E73" s="389">
        <f>IF(E72-E58&gt;0,E72-E58,0)</f>
        <v>0</v>
      </c>
      <c r="F73"/>
      <c r="G73" s="839">
        <f>ROUND(C68*0.05+C68,0)</f>
        <v>106119</v>
      </c>
      <c r="H73" s="838" t="str">
        <f>CONCATENATE("Less ",E1-2," Expenditures + 5%")</f>
        <v>Less 2012 Expenditures + 5%</v>
      </c>
      <c r="I73" s="836"/>
      <c r="J73" s="830"/>
    </row>
    <row r="74" spans="2:11" x14ac:dyDescent="0.25">
      <c r="B74" s="401"/>
      <c r="C74" s="381" t="s">
        <v>482</v>
      </c>
      <c r="D74" s="751">
        <f>inputOth!$E$50</f>
        <v>0.05</v>
      </c>
      <c r="E74" s="396">
        <f>ROUND(IF(D74&gt;0,(E73*D74),0),0)</f>
        <v>0</v>
      </c>
      <c r="F74" s="889" t="str">
        <f>IF(F75&lt;0,"Reduce","")</f>
        <v/>
      </c>
      <c r="G74" s="840">
        <f>G71-G73</f>
        <v>-105336</v>
      </c>
      <c r="H74" s="841" t="str">
        <f>CONCATENATE("Projected ",E1+1," carryover (est.)")</f>
        <v>Projected 2015 carryover (est.)</v>
      </c>
      <c r="I74" s="842"/>
      <c r="J74" s="843"/>
    </row>
    <row r="75" spans="2:11" ht="16.5" thickBot="1" x14ac:dyDescent="0.3">
      <c r="B75" s="384"/>
      <c r="C75" s="983" t="s">
        <v>487</v>
      </c>
      <c r="D75" s="984"/>
      <c r="E75" s="753">
        <f>SUM(E73:E74)</f>
        <v>0</v>
      </c>
      <c r="F75" s="890" t="str">
        <f>IF(G78&gt;inputOth!E6,ROUND(inputOth!E6*inputOth!E9/1000,0)-'Library-Rec'!E75,"")</f>
        <v/>
      </c>
      <c r="G75" s="2"/>
      <c r="H75" s="2"/>
      <c r="I75" s="2"/>
      <c r="J75" s="2"/>
    </row>
    <row r="76" spans="2:11" ht="16.5" thickTop="1" x14ac:dyDescent="0.2">
      <c r="B76" s="384"/>
      <c r="C76" s="576"/>
      <c r="D76" s="384"/>
      <c r="E76" s="384"/>
      <c r="F76"/>
      <c r="G76" s="974" t="s">
        <v>666</v>
      </c>
      <c r="H76" s="975"/>
      <c r="I76" s="975"/>
      <c r="J76" s="976"/>
    </row>
    <row r="77" spans="2:11" x14ac:dyDescent="0.25">
      <c r="B77" s="401" t="s">
        <v>869</v>
      </c>
      <c r="C77" s="414">
        <v>13</v>
      </c>
      <c r="D77" s="390"/>
      <c r="E77" s="384"/>
      <c r="F77" s="2"/>
      <c r="G77" s="794"/>
      <c r="H77" s="795"/>
      <c r="I77" s="796"/>
      <c r="J77" s="797"/>
    </row>
    <row r="78" spans="2:11" x14ac:dyDescent="0.2">
      <c r="F78"/>
      <c r="G78" s="798">
        <f>summ!H53</f>
        <v>0</v>
      </c>
      <c r="H78" s="795" t="str">
        <f>CONCATENATE("",E1," Fund Mill Rate")</f>
        <v>2014 Fund Mill Rate</v>
      </c>
      <c r="I78" s="796"/>
      <c r="J78" s="888" t="str">
        <f>IF(G78&gt;inputOth!E6,"Exceed Mill Rate","")</f>
        <v/>
      </c>
    </row>
    <row r="79" spans="2:11" x14ac:dyDescent="0.25">
      <c r="B79" s="391"/>
      <c r="C79" s="391"/>
      <c r="D79" s="383"/>
      <c r="E79" s="383"/>
      <c r="F79" s="2"/>
      <c r="G79" s="799" t="str">
        <f>summ!E53</f>
        <v xml:space="preserve">  </v>
      </c>
      <c r="H79" s="801" t="str">
        <f>CONCATENATE("",E1-1," Fund Mill Rate")</f>
        <v>2013 Fund Mill Rate</v>
      </c>
      <c r="I79" s="802"/>
      <c r="J79" s="803"/>
    </row>
    <row r="80" spans="2:11" x14ac:dyDescent="0.25">
      <c r="F80" s="845"/>
      <c r="G80" s="846"/>
      <c r="H80" s="847"/>
      <c r="I80" s="848"/>
      <c r="J80" s="849"/>
      <c r="K80" s="755"/>
    </row>
    <row r="81" spans="3:11" x14ac:dyDescent="0.25">
      <c r="F81" s="845"/>
      <c r="G81" s="846"/>
      <c r="H81" s="847"/>
      <c r="I81" s="848"/>
      <c r="J81" s="849"/>
      <c r="K81" s="755"/>
    </row>
    <row r="82" spans="3:11" x14ac:dyDescent="0.2">
      <c r="G82" s="755"/>
      <c r="H82" s="755"/>
      <c r="I82" s="755"/>
      <c r="J82" s="755"/>
    </row>
    <row r="84" spans="3:11" x14ac:dyDescent="0.2">
      <c r="C84" s="385" t="s">
        <v>486</v>
      </c>
      <c r="D84" s="385" t="s">
        <v>486</v>
      </c>
    </row>
    <row r="85" spans="3:11" x14ac:dyDescent="0.2">
      <c r="C85" s="385" t="s">
        <v>486</v>
      </c>
      <c r="D85" s="385" t="s">
        <v>486</v>
      </c>
    </row>
    <row r="87" spans="3:11" x14ac:dyDescent="0.2">
      <c r="C87" s="385" t="s">
        <v>486</v>
      </c>
      <c r="D87" s="385" t="s">
        <v>486</v>
      </c>
    </row>
    <row r="88" spans="3:11" ht="9" customHeight="1" x14ac:dyDescent="0.2">
      <c r="C88" s="385" t="s">
        <v>486</v>
      </c>
      <c r="D88" s="385" t="s">
        <v>486</v>
      </c>
    </row>
    <row r="89" spans="3:11" ht="13.5" hidden="1" customHeight="1" x14ac:dyDescent="0.2">
      <c r="C89" s="539" t="str">
        <f>IF(C31&gt;C33,"See Tab A","")</f>
        <v/>
      </c>
      <c r="D89" s="539" t="str">
        <f>IF(D31&gt;D33,"See Tab C","")</f>
        <v/>
      </c>
    </row>
    <row r="90" spans="3:11" ht="15.75" hidden="1" customHeight="1" x14ac:dyDescent="0.2">
      <c r="C90" s="539" t="str">
        <f>IF(C32&lt;0,"See Tab B","")</f>
        <v/>
      </c>
      <c r="D90" s="539" t="str">
        <f>IF(D32&lt;0,"See Tab D","")</f>
        <v/>
      </c>
    </row>
    <row r="91" spans="3:11" ht="15.75" hidden="1" customHeight="1" x14ac:dyDescent="0.2">
      <c r="C91" s="539" t="str">
        <f>IF(C68&gt;C70,"See Tab A","")</f>
        <v/>
      </c>
      <c r="D91" s="539" t="str">
        <f>IF(D68&gt;D70,"See Tab C","")</f>
        <v/>
      </c>
    </row>
    <row r="92" spans="3:11" ht="13.5" customHeight="1" x14ac:dyDescent="0.2">
      <c r="C92" s="539" t="str">
        <f>IF(C69&lt;0,"See Tab B","")</f>
        <v/>
      </c>
      <c r="D92" s="539" t="str">
        <f>IF(D69&lt;0,"See Tab D","")</f>
        <v/>
      </c>
    </row>
  </sheetData>
  <mergeCells count="12">
    <mergeCell ref="C75:D75"/>
    <mergeCell ref="C71:D71"/>
    <mergeCell ref="C72:D72"/>
    <mergeCell ref="C34:D34"/>
    <mergeCell ref="C35:D35"/>
    <mergeCell ref="C38:D38"/>
    <mergeCell ref="G76:J76"/>
    <mergeCell ref="G23:J23"/>
    <mergeCell ref="G29:J29"/>
    <mergeCell ref="G41:J41"/>
    <mergeCell ref="G61:J61"/>
    <mergeCell ref="G66:J66"/>
  </mergeCells>
  <phoneticPr fontId="9" type="noConversion"/>
  <conditionalFormatting sqref="C55">
    <cfRule type="cellIs" dxfId="303" priority="22" stopIfTrue="1" operator="greaterThan">
      <formula>$C$57*0.1</formula>
    </cfRule>
  </conditionalFormatting>
  <conditionalFormatting sqref="D55 D17">
    <cfRule type="cellIs" dxfId="302" priority="21" stopIfTrue="1" operator="greaterThan">
      <formula>$D$19*0.1</formula>
    </cfRule>
  </conditionalFormatting>
  <conditionalFormatting sqref="E55">
    <cfRule type="cellIs" dxfId="301" priority="20" stopIfTrue="1" operator="greaterThan">
      <formula>$E$19*0.1+E75</formula>
    </cfRule>
  </conditionalFormatting>
  <conditionalFormatting sqref="C66">
    <cfRule type="cellIs" dxfId="300" priority="19" stopIfTrue="1" operator="greaterThan">
      <formula>$C$68*0.1</formula>
    </cfRule>
  </conditionalFormatting>
  <conditionalFormatting sqref="D66">
    <cfRule type="cellIs" dxfId="299" priority="18" stopIfTrue="1" operator="greaterThan">
      <formula>$D$68*0.1</formula>
    </cfRule>
  </conditionalFormatting>
  <conditionalFormatting sqref="E66">
    <cfRule type="cellIs" dxfId="298" priority="17" stopIfTrue="1" operator="greaterThan">
      <formula>$E$68*0.1</formula>
    </cfRule>
  </conditionalFormatting>
  <conditionalFormatting sqref="C29">
    <cfRule type="cellIs" dxfId="297" priority="16" stopIfTrue="1" operator="greaterThan">
      <formula>$C$31*0.1</formula>
    </cfRule>
  </conditionalFormatting>
  <conditionalFormatting sqref="D29">
    <cfRule type="cellIs" dxfId="296" priority="15" stopIfTrue="1" operator="greaterThan">
      <formula>$D$31*0.1</formula>
    </cfRule>
  </conditionalFormatting>
  <conditionalFormatting sqref="E29">
    <cfRule type="cellIs" dxfId="295" priority="14" stopIfTrue="1" operator="greaterThan">
      <formula>$E$31*0.1</formula>
    </cfRule>
  </conditionalFormatting>
  <conditionalFormatting sqref="C17">
    <cfRule type="cellIs" dxfId="294" priority="12" stopIfTrue="1" operator="greaterThan">
      <formula>$C$19*0.1</formula>
    </cfRule>
  </conditionalFormatting>
  <conditionalFormatting sqref="E17">
    <cfRule type="cellIs" dxfId="293" priority="11" stopIfTrue="1" operator="greaterThan">
      <formula>$E$19*0.1+E38</formula>
    </cfRule>
  </conditionalFormatting>
  <conditionalFormatting sqref="E34">
    <cfRule type="cellIs" dxfId="292" priority="10" stopIfTrue="1" operator="greaterThan">
      <formula>$E$31/0.95-$E$31</formula>
    </cfRule>
  </conditionalFormatting>
  <conditionalFormatting sqref="E71">
    <cfRule type="cellIs" dxfId="291" priority="9" stopIfTrue="1" operator="greaterThan">
      <formula>$E$68/0.95-$E$68</formula>
    </cfRule>
  </conditionalFormatting>
  <conditionalFormatting sqref="C31">
    <cfRule type="cellIs" dxfId="290" priority="8" stopIfTrue="1" operator="greaterThan">
      <formula>$C$33</formula>
    </cfRule>
  </conditionalFormatting>
  <conditionalFormatting sqref="C32:D32 C69:D69">
    <cfRule type="cellIs" dxfId="289" priority="7" stopIfTrue="1" operator="lessThan">
      <formula>0</formula>
    </cfRule>
  </conditionalFormatting>
  <conditionalFormatting sqref="D31">
    <cfRule type="cellIs" dxfId="288" priority="6" stopIfTrue="1" operator="greaterThan">
      <formula>$D$33</formula>
    </cfRule>
  </conditionalFormatting>
  <conditionalFormatting sqref="C68">
    <cfRule type="cellIs" dxfId="287" priority="4" stopIfTrue="1" operator="greaterThan">
      <formula>$C$70</formula>
    </cfRule>
  </conditionalFormatting>
  <conditionalFormatting sqref="D68">
    <cfRule type="cellIs" dxfId="286" priority="2" stopIfTrue="1" operator="greaterThan">
      <formula>$D$70</formula>
    </cfRule>
  </conditionalFormatting>
  <printOptions horizontalCentered="1"/>
  <pageMargins left="0.5" right="0.5" top="0.5" bottom="0.5" header="0.3" footer="0.3"/>
  <pageSetup fitToHeight="2" orientation="portrait" blackAndWhite="1" r:id="rId1"/>
  <headerFooter alignWithMargins="0"/>
  <rowBreaks count="1" manualBreakCount="1">
    <brk id="40" min="1" max="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03"/>
  <sheetViews>
    <sheetView view="pageBreakPreview" topLeftCell="A15" zoomScale="60" zoomScaleNormal="100" workbookViewId="0">
      <selection activeCell="C87" sqref="C87"/>
    </sheetView>
  </sheetViews>
  <sheetFormatPr defaultRowHeight="15.75" x14ac:dyDescent="0.2"/>
  <cols>
    <col min="1" max="1" width="2.44140625" style="34" customWidth="1"/>
    <col min="2" max="2" width="31.109375" style="34" customWidth="1"/>
    <col min="3" max="4" width="15.77734375" style="34" customWidth="1"/>
    <col min="5" max="5" width="16.21875" style="34" customWidth="1"/>
    <col min="6" max="6" width="8.109375" style="34" customWidth="1"/>
    <col min="7" max="7" width="10.21875" style="34" customWidth="1"/>
    <col min="8" max="8" width="8.88671875" style="34"/>
    <col min="9" max="9" width="5" style="34" customWidth="1"/>
    <col min="10" max="10" width="10" style="34" customWidth="1"/>
    <col min="11" max="16384" width="8.88671875" style="34"/>
  </cols>
  <sheetData>
    <row r="1" spans="2:5" x14ac:dyDescent="0.2">
      <c r="B1" s="188" t="str">
        <f>(inputPrYr!D2)</f>
        <v>City of Osawatomie</v>
      </c>
      <c r="C1" s="36"/>
      <c r="D1" s="36"/>
      <c r="E1" s="238">
        <f>inputPrYr!C5</f>
        <v>2014</v>
      </c>
    </row>
    <row r="2" spans="2:5" x14ac:dyDescent="0.2">
      <c r="B2" s="36"/>
      <c r="C2" s="36"/>
      <c r="D2" s="36"/>
      <c r="E2" s="160"/>
    </row>
    <row r="3" spans="2:5" x14ac:dyDescent="0.2">
      <c r="B3" s="239" t="s">
        <v>917</v>
      </c>
      <c r="C3" s="193"/>
      <c r="D3" s="193"/>
      <c r="E3" s="279"/>
    </row>
    <row r="4" spans="2:5" x14ac:dyDescent="0.2">
      <c r="B4" s="41" t="s">
        <v>850</v>
      </c>
      <c r="C4" s="418" t="s">
        <v>662</v>
      </c>
      <c r="D4" s="417" t="s">
        <v>663</v>
      </c>
      <c r="E4" s="394" t="s">
        <v>664</v>
      </c>
    </row>
    <row r="5" spans="2:5" x14ac:dyDescent="0.2">
      <c r="B5" s="544" t="str">
        <f>inputPrYr!B21</f>
        <v>Industrial</v>
      </c>
      <c r="C5" s="419" t="str">
        <f>CONCATENATE("Actual for ",E1-2,"")</f>
        <v>Actual for 2012</v>
      </c>
      <c r="D5" s="419" t="str">
        <f>CONCATENATE("Estimate for ",E1-1,"")</f>
        <v>Estimate for 2013</v>
      </c>
      <c r="E5" s="403" t="str">
        <f>CONCATENATE("Year for ",E1,"")</f>
        <v>Year for 2014</v>
      </c>
    </row>
    <row r="6" spans="2:5" x14ac:dyDescent="0.2">
      <c r="B6" s="244" t="s">
        <v>971</v>
      </c>
      <c r="C6" s="249">
        <v>48169</v>
      </c>
      <c r="D6" s="247">
        <f>C35</f>
        <v>61237</v>
      </c>
      <c r="E6" s="218">
        <f>D35</f>
        <v>27937</v>
      </c>
    </row>
    <row r="7" spans="2:5" x14ac:dyDescent="0.2">
      <c r="B7" s="248" t="s">
        <v>973</v>
      </c>
      <c r="C7" s="150"/>
      <c r="D7" s="150"/>
      <c r="E7" s="76"/>
    </row>
    <row r="8" spans="2:5" x14ac:dyDescent="0.2">
      <c r="B8" s="141" t="s">
        <v>851</v>
      </c>
      <c r="C8" s="249"/>
      <c r="D8" s="247">
        <f>IF(inputPrYr!H16&gt;0,inputPrYr!G21,inputPrYr!E21)</f>
        <v>0</v>
      </c>
      <c r="E8" s="277" t="s">
        <v>839</v>
      </c>
    </row>
    <row r="9" spans="2:5" x14ac:dyDescent="0.2">
      <c r="B9" s="141" t="s">
        <v>852</v>
      </c>
      <c r="C9" s="249">
        <f>132-6</f>
        <v>126</v>
      </c>
      <c r="D9" s="249"/>
      <c r="E9" s="56"/>
    </row>
    <row r="10" spans="2:5" x14ac:dyDescent="0.2">
      <c r="B10" s="141" t="s">
        <v>853</v>
      </c>
      <c r="C10" s="249"/>
      <c r="D10" s="249"/>
      <c r="E10" s="218" t="str">
        <f>mvalloc!D10</f>
        <v xml:space="preserve">  </v>
      </c>
    </row>
    <row r="11" spans="2:5" x14ac:dyDescent="0.2">
      <c r="B11" s="141" t="s">
        <v>854</v>
      </c>
      <c r="C11" s="249"/>
      <c r="D11" s="249"/>
      <c r="E11" s="218" t="str">
        <f>mvalloc!E10</f>
        <v xml:space="preserve"> </v>
      </c>
    </row>
    <row r="12" spans="2:5" x14ac:dyDescent="0.2">
      <c r="B12" s="150" t="s">
        <v>949</v>
      </c>
      <c r="C12" s="249"/>
      <c r="D12" s="249"/>
      <c r="E12" s="218" t="str">
        <f>mvalloc!F10</f>
        <v xml:space="preserve"> </v>
      </c>
    </row>
    <row r="13" spans="2:5" x14ac:dyDescent="0.2">
      <c r="B13" s="265" t="s">
        <v>243</v>
      </c>
      <c r="C13" s="249">
        <v>2600</v>
      </c>
      <c r="D13" s="249">
        <v>12000</v>
      </c>
      <c r="E13" s="249">
        <v>12000</v>
      </c>
    </row>
    <row r="14" spans="2:5" x14ac:dyDescent="0.2">
      <c r="B14" s="265" t="s">
        <v>247</v>
      </c>
      <c r="C14" s="249"/>
      <c r="D14" s="249"/>
      <c r="E14" s="249">
        <v>5600</v>
      </c>
    </row>
    <row r="15" spans="2:5" x14ac:dyDescent="0.2">
      <c r="B15" s="265" t="s">
        <v>158</v>
      </c>
      <c r="C15" s="249">
        <v>21715</v>
      </c>
      <c r="D15" s="249">
        <v>24000</v>
      </c>
      <c r="E15" s="56">
        <v>18000</v>
      </c>
    </row>
    <row r="16" spans="2:5" hidden="1" x14ac:dyDescent="0.2">
      <c r="B16" s="265"/>
      <c r="C16" s="249"/>
      <c r="D16" s="249"/>
      <c r="E16" s="56"/>
    </row>
    <row r="17" spans="2:10" hidden="1" x14ac:dyDescent="0.2">
      <c r="B17" s="253" t="s">
        <v>858</v>
      </c>
      <c r="C17" s="249"/>
      <c r="D17" s="249"/>
      <c r="E17" s="56"/>
    </row>
    <row r="18" spans="2:10" hidden="1" x14ac:dyDescent="0.2">
      <c r="B18" s="150" t="s">
        <v>730</v>
      </c>
      <c r="C18" s="249">
        <v>0</v>
      </c>
      <c r="D18" s="249"/>
      <c r="E18" s="56"/>
    </row>
    <row r="19" spans="2:10" hidden="1" x14ac:dyDescent="0.2">
      <c r="B19" s="244" t="s">
        <v>638</v>
      </c>
      <c r="C19" s="254" t="str">
        <f>IF(C20*0.1&lt;C18,"Exceed 10% Rule","")</f>
        <v/>
      </c>
      <c r="D19" s="254" t="str">
        <f>IF(D20*0.1&lt;D18,"Exceed 10% Rule","")</f>
        <v/>
      </c>
      <c r="E19" s="291" t="str">
        <f>IF(E20*0.1+E41&lt;E18,"Exceed 10% Rule","")</f>
        <v/>
      </c>
    </row>
    <row r="20" spans="2:10" x14ac:dyDescent="0.2">
      <c r="B20" s="256" t="s">
        <v>859</v>
      </c>
      <c r="C20" s="258">
        <f>SUM(C8:C18)</f>
        <v>24441</v>
      </c>
      <c r="D20" s="258">
        <f>SUM(D8:D18)</f>
        <v>36000</v>
      </c>
      <c r="E20" s="259">
        <f>SUM(E8:E18)</f>
        <v>35600</v>
      </c>
    </row>
    <row r="21" spans="2:10" x14ac:dyDescent="0.2">
      <c r="B21" s="256" t="s">
        <v>860</v>
      </c>
      <c r="C21" s="262">
        <f>C6+C20</f>
        <v>72610</v>
      </c>
      <c r="D21" s="262">
        <f>D6+D20</f>
        <v>97237</v>
      </c>
      <c r="E21" s="71">
        <f>E6+E20</f>
        <v>63537</v>
      </c>
    </row>
    <row r="22" spans="2:10" x14ac:dyDescent="0.2">
      <c r="B22" s="141" t="s">
        <v>862</v>
      </c>
      <c r="C22" s="266"/>
      <c r="D22" s="266"/>
      <c r="E22" s="54"/>
    </row>
    <row r="23" spans="2:10" x14ac:dyDescent="0.2">
      <c r="B23" s="265" t="s">
        <v>244</v>
      </c>
      <c r="C23" s="249">
        <v>2600</v>
      </c>
      <c r="D23" s="249">
        <v>12000</v>
      </c>
      <c r="E23" s="56">
        <v>12000</v>
      </c>
    </row>
    <row r="24" spans="2:10" x14ac:dyDescent="0.2">
      <c r="B24" s="265" t="s">
        <v>164</v>
      </c>
      <c r="C24" s="249">
        <v>8773</v>
      </c>
      <c r="D24" s="249">
        <v>16300</v>
      </c>
      <c r="E24" s="56">
        <v>26785</v>
      </c>
      <c r="G24" s="995" t="str">
        <f>CONCATENATE("Desired Carryover Into ",E1+1,"")</f>
        <v>Desired Carryover Into 2015</v>
      </c>
      <c r="H24" s="972"/>
      <c r="I24" s="972"/>
      <c r="J24" s="973"/>
    </row>
    <row r="25" spans="2:10" x14ac:dyDescent="0.2">
      <c r="B25" s="265" t="s">
        <v>245</v>
      </c>
      <c r="C25" s="249"/>
      <c r="D25" s="249">
        <v>0</v>
      </c>
      <c r="E25" s="56">
        <v>24000</v>
      </c>
      <c r="G25" s="915"/>
      <c r="H25" s="916"/>
      <c r="I25" s="916"/>
      <c r="J25" s="917"/>
    </row>
    <row r="26" spans="2:10" x14ac:dyDescent="0.2">
      <c r="B26" s="265" t="s">
        <v>246</v>
      </c>
      <c r="C26" s="249"/>
      <c r="D26" s="249">
        <v>41000</v>
      </c>
      <c r="E26" s="56">
        <v>0</v>
      </c>
      <c r="G26" s="804"/>
      <c r="H26" s="805"/>
      <c r="I26" s="806"/>
      <c r="J26" s="807"/>
    </row>
    <row r="27" spans="2:10" hidden="1" x14ac:dyDescent="0.2">
      <c r="B27" s="265"/>
      <c r="C27" s="249"/>
      <c r="D27" s="249"/>
      <c r="E27" s="56"/>
      <c r="G27" s="808" t="s">
        <v>626</v>
      </c>
      <c r="H27" s="806"/>
      <c r="I27" s="806"/>
      <c r="J27" s="809">
        <v>0</v>
      </c>
    </row>
    <row r="28" spans="2:10" hidden="1" x14ac:dyDescent="0.2">
      <c r="B28" s="265"/>
      <c r="C28" s="249"/>
      <c r="D28" s="249"/>
      <c r="E28" s="56"/>
      <c r="G28" s="804" t="s">
        <v>627</v>
      </c>
      <c r="H28" s="805"/>
      <c r="I28" s="805"/>
      <c r="J28" s="810" t="str">
        <f>IF(J27=0,"",ROUND((J27+E41-G40)/inputOth!E9*1000,3)-G47)</f>
        <v/>
      </c>
    </row>
    <row r="29" spans="2:10" hidden="1" x14ac:dyDescent="0.2">
      <c r="B29" s="265"/>
      <c r="C29" s="249"/>
      <c r="D29" s="249"/>
      <c r="E29" s="56"/>
      <c r="G29" s="811" t="str">
        <f>CONCATENATE("",E1," Tot Exp/Non-Appr Must Be:")</f>
        <v>2014 Tot Exp/Non-Appr Must Be:</v>
      </c>
      <c r="H29" s="812"/>
      <c r="I29" s="813"/>
      <c r="J29" s="814">
        <f>IF(J27&gt;0,IF(E38&lt;E21,IF(J27=G40,E38,((J27-G40)*(1-D40))+E21),E38+(J27-G40)),0)</f>
        <v>0</v>
      </c>
    </row>
    <row r="30" spans="2:10" hidden="1" x14ac:dyDescent="0.2">
      <c r="B30" s="265"/>
      <c r="C30" s="249"/>
      <c r="D30" s="249"/>
      <c r="E30" s="56"/>
      <c r="G30" s="815" t="s">
        <v>665</v>
      </c>
      <c r="H30" s="816"/>
      <c r="I30" s="816"/>
      <c r="J30" s="783">
        <f>IF(J27&gt;0,J29-E38,0)</f>
        <v>0</v>
      </c>
    </row>
    <row r="31" spans="2:10" hidden="1" x14ac:dyDescent="0.25">
      <c r="B31" s="266" t="s">
        <v>729</v>
      </c>
      <c r="C31" s="249"/>
      <c r="D31" s="249"/>
      <c r="E31" s="71" t="str">
        <f>nhood!E9</f>
        <v/>
      </c>
      <c r="J31" s="2"/>
    </row>
    <row r="32" spans="2:10" hidden="1" x14ac:dyDescent="0.2">
      <c r="B32" s="266" t="s">
        <v>730</v>
      </c>
      <c r="C32" s="249"/>
      <c r="D32" s="249"/>
      <c r="E32" s="56"/>
      <c r="G32" s="995" t="str">
        <f>CONCATENATE("Projected Carryover Into ",E1+1,"")</f>
        <v>Projected Carryover Into 2015</v>
      </c>
      <c r="H32" s="999"/>
      <c r="I32" s="999"/>
      <c r="J32" s="998"/>
    </row>
    <row r="33" spans="2:11" hidden="1" x14ac:dyDescent="0.25">
      <c r="B33" s="266" t="s">
        <v>639</v>
      </c>
      <c r="C33" s="254" t="str">
        <f>IF(C34*0.1&lt;C32,"Exceed 10% Rule","")</f>
        <v/>
      </c>
      <c r="D33" s="254" t="str">
        <f>IF(D34*0.1&lt;D32,"Exceed 10% Rule","")</f>
        <v/>
      </c>
      <c r="E33" s="291" t="str">
        <f>IF(E34*0.1&lt;E32,"Exceed 10% Rule","")</f>
        <v/>
      </c>
      <c r="G33" s="804"/>
      <c r="H33" s="806"/>
      <c r="I33" s="806"/>
      <c r="J33" s="830"/>
    </row>
    <row r="34" spans="2:11" x14ac:dyDescent="0.25">
      <c r="B34" s="256" t="s">
        <v>866</v>
      </c>
      <c r="C34" s="258">
        <f>SUM(C23:C32)</f>
        <v>11373</v>
      </c>
      <c r="D34" s="258">
        <f>SUM(D23:D32)</f>
        <v>69300</v>
      </c>
      <c r="E34" s="259">
        <f>SUM(E23:E32)</f>
        <v>62785</v>
      </c>
      <c r="G34" s="831">
        <f>D35</f>
        <v>27937</v>
      </c>
      <c r="H34" s="795" t="str">
        <f>CONCATENATE("",E1-1," Ending Cash Balance (est.)")</f>
        <v>2013 Ending Cash Balance (est.)</v>
      </c>
      <c r="I34" s="832"/>
      <c r="J34" s="830"/>
    </row>
    <row r="35" spans="2:11" x14ac:dyDescent="0.25">
      <c r="B35" s="141" t="s">
        <v>972</v>
      </c>
      <c r="C35" s="262">
        <f>C21-C34</f>
        <v>61237</v>
      </c>
      <c r="D35" s="262">
        <f>D21-D34</f>
        <v>27937</v>
      </c>
      <c r="E35" s="277" t="s">
        <v>839</v>
      </c>
      <c r="G35" s="831">
        <f>E20</f>
        <v>35600</v>
      </c>
      <c r="H35" s="806" t="str">
        <f>CONCATENATE("",E1," Non-AV Receipts (est.)")</f>
        <v>2014 Non-AV Receipts (est.)</v>
      </c>
      <c r="I35" s="832"/>
      <c r="J35" s="830"/>
    </row>
    <row r="36" spans="2:11" x14ac:dyDescent="0.2">
      <c r="B36" s="127" t="str">
        <f>CONCATENATE("",E1-2,"/",E1-1," Budget Authority Amount:")</f>
        <v>2012/2013 Budget Authority Amount:</v>
      </c>
      <c r="C36" s="231">
        <f>inputOth!B66</f>
        <v>12000</v>
      </c>
      <c r="D36" s="231">
        <f>inputPrYr!D21</f>
        <v>41500</v>
      </c>
      <c r="E36" s="277" t="s">
        <v>839</v>
      </c>
      <c r="F36" s="268"/>
      <c r="G36" s="833">
        <f>IF(E40&gt;0,E39,E41)</f>
        <v>0</v>
      </c>
      <c r="H36" s="806" t="str">
        <f>CONCATENATE("",E1," Ad Valorem Tax (est.)")</f>
        <v>2014 Ad Valorem Tax (est.)</v>
      </c>
      <c r="I36" s="832"/>
      <c r="J36" s="818"/>
      <c r="K36" s="788" t="str">
        <f>IF(G36=E41,"","Note: Does not include Delinquent Taxes")</f>
        <v/>
      </c>
    </row>
    <row r="37" spans="2:11" x14ac:dyDescent="0.25">
      <c r="B37" s="127"/>
      <c r="C37" s="977" t="s">
        <v>483</v>
      </c>
      <c r="D37" s="978"/>
      <c r="E37" s="56">
        <f>+E21-E34</f>
        <v>752</v>
      </c>
      <c r="F37" s="891" t="str">
        <f>IF(E34/0.95-E34&lt;E37,"Exceeds 5%","")</f>
        <v/>
      </c>
      <c r="G37" s="831">
        <f>SUM(G34:G36)</f>
        <v>63537</v>
      </c>
      <c r="H37" s="806" t="str">
        <f>CONCATENATE("Total ",E1," Resources Available")</f>
        <v>Total 2014 Resources Available</v>
      </c>
      <c r="I37" s="832"/>
      <c r="J37" s="830"/>
    </row>
    <row r="38" spans="2:11" x14ac:dyDescent="0.25">
      <c r="B38" s="540" t="str">
        <f>CONCATENATE(C100,"     ",D100)</f>
        <v xml:space="preserve">     </v>
      </c>
      <c r="C38" s="979" t="s">
        <v>484</v>
      </c>
      <c r="D38" s="980"/>
      <c r="E38" s="218">
        <f>E34+E37</f>
        <v>63537</v>
      </c>
      <c r="G38" s="850"/>
      <c r="H38" s="806"/>
      <c r="I38" s="806"/>
      <c r="J38" s="830"/>
    </row>
    <row r="39" spans="2:11" x14ac:dyDescent="0.25">
      <c r="B39" s="540" t="str">
        <f>CONCATENATE(C101,"     ",D101)</f>
        <v xml:space="preserve">     </v>
      </c>
      <c r="C39" s="269"/>
      <c r="D39" s="160" t="s">
        <v>867</v>
      </c>
      <c r="E39" s="71">
        <f>IF(E38-E21&gt;0,E38-E21,0)</f>
        <v>0</v>
      </c>
      <c r="G39" s="833">
        <f>ROUND(C34*0.05+C34,0)</f>
        <v>11942</v>
      </c>
      <c r="H39" s="806" t="str">
        <f>CONCATENATE("Less ",E1-2," Expenditures + 5%")</f>
        <v>Less 2012 Expenditures + 5%</v>
      </c>
      <c r="I39" s="832"/>
      <c r="J39" s="830"/>
    </row>
    <row r="40" spans="2:11" x14ac:dyDescent="0.25">
      <c r="B40" s="160"/>
      <c r="C40" s="381" t="s">
        <v>482</v>
      </c>
      <c r="D40" s="751">
        <f>inputOth!$E$50</f>
        <v>0.05</v>
      </c>
      <c r="E40" s="218">
        <f>ROUND(IF(D40&gt;0,(E39*D40),0),0)</f>
        <v>0</v>
      </c>
      <c r="G40" s="851">
        <f>G37-G39</f>
        <v>51595</v>
      </c>
      <c r="H40" s="852" t="str">
        <f>CONCATENATE("Projected ",E1+1," carryover (est.)")</f>
        <v>Projected 2015 carryover (est.)</v>
      </c>
      <c r="I40" s="853"/>
      <c r="J40" s="843"/>
    </row>
    <row r="41" spans="2:11" ht="16.5" thickBot="1" x14ac:dyDescent="0.3">
      <c r="B41" s="160"/>
      <c r="C41" s="981" t="str">
        <f>CONCATENATE("Amount of  ",$E$1-1," Ad Valorem Tax")</f>
        <v>Amount of  2013 Ad Valorem Tax</v>
      </c>
      <c r="D41" s="982"/>
      <c r="E41" s="754">
        <f>E39+E40</f>
        <v>0</v>
      </c>
      <c r="G41" s="2"/>
      <c r="H41" s="2"/>
      <c r="I41" s="2"/>
      <c r="J41" s="2"/>
    </row>
    <row r="42" spans="2:11" ht="16.5" thickTop="1" x14ac:dyDescent="0.25">
      <c r="B42" s="384"/>
      <c r="C42" s="576"/>
      <c r="D42" s="384"/>
      <c r="E42" s="384"/>
      <c r="G42" s="2"/>
      <c r="H42" s="2"/>
      <c r="I42" s="2"/>
      <c r="J42" s="2"/>
    </row>
    <row r="43" spans="2:11" x14ac:dyDescent="0.25">
      <c r="B43" s="401" t="s">
        <v>869</v>
      </c>
      <c r="C43" s="414">
        <v>14</v>
      </c>
      <c r="D43" s="188"/>
      <c r="E43" s="188"/>
      <c r="G43" s="2"/>
      <c r="H43" s="2"/>
      <c r="I43" s="2"/>
      <c r="J43" s="2"/>
    </row>
    <row r="44" spans="2:11" x14ac:dyDescent="0.2">
      <c r="B44" s="188" t="s">
        <v>78</v>
      </c>
      <c r="C44" s="36"/>
      <c r="D44" s="162"/>
      <c r="E44" s="36">
        <v>2014</v>
      </c>
      <c r="G44" s="974" t="s">
        <v>666</v>
      </c>
      <c r="H44" s="975"/>
      <c r="I44" s="975"/>
      <c r="J44" s="976"/>
    </row>
    <row r="45" spans="2:11" x14ac:dyDescent="0.2">
      <c r="B45" s="41"/>
      <c r="C45" s="280"/>
      <c r="D45" s="280"/>
      <c r="E45" s="280"/>
      <c r="G45" s="794"/>
      <c r="H45" s="795"/>
      <c r="I45" s="796"/>
      <c r="J45" s="797"/>
    </row>
    <row r="46" spans="2:11" x14ac:dyDescent="0.2">
      <c r="B46" s="41" t="s">
        <v>850</v>
      </c>
      <c r="C46" s="418" t="s">
        <v>662</v>
      </c>
      <c r="D46" s="417" t="s">
        <v>663</v>
      </c>
      <c r="E46" s="394" t="s">
        <v>664</v>
      </c>
      <c r="G46" s="798" t="str">
        <f>summ!H18</f>
        <v xml:space="preserve">  </v>
      </c>
      <c r="H46" s="795" t="str">
        <f>CONCATENATE("",E1," Fund Mill Rate")</f>
        <v>2014 Fund Mill Rate</v>
      </c>
      <c r="I46" s="796"/>
      <c r="J46" s="797"/>
    </row>
    <row r="47" spans="2:11" x14ac:dyDescent="0.2">
      <c r="B47" s="544" t="str">
        <f>(inputPrYr!B22)</f>
        <v>Employee Benefits</v>
      </c>
      <c r="C47" s="419" t="str">
        <f>CONCATENATE("Actual for ",E1-2,"")</f>
        <v>Actual for 2012</v>
      </c>
      <c r="D47" s="419" t="str">
        <f>CONCATENATE("Estimate for ",E1-1,"")</f>
        <v>Estimate for 2013</v>
      </c>
      <c r="E47" s="403" t="str">
        <f>CONCATENATE("Year for ",E1,"")</f>
        <v>Year for 2014</v>
      </c>
      <c r="G47" s="799" t="str">
        <f>summ!E18</f>
        <v xml:space="preserve">  </v>
      </c>
      <c r="H47" s="795" t="str">
        <f>CONCATENATE("",E1-1," Fund Mill Rate")</f>
        <v>2013 Fund Mill Rate</v>
      </c>
      <c r="I47" s="796"/>
      <c r="J47" s="797"/>
    </row>
    <row r="48" spans="2:11" x14ac:dyDescent="0.2">
      <c r="B48" s="244" t="s">
        <v>971</v>
      </c>
      <c r="C48" s="249">
        <v>28832</v>
      </c>
      <c r="D48" s="247">
        <f>C79</f>
        <v>52082</v>
      </c>
      <c r="E48" s="218">
        <f>D79</f>
        <v>29071.561599999899</v>
      </c>
      <c r="G48" s="800">
        <f>summ!H52</f>
        <v>59.936</v>
      </c>
      <c r="H48" s="795" t="str">
        <f>CONCATENATE("Total ",E1," Mill Rate")</f>
        <v>Total 2014 Mill Rate</v>
      </c>
      <c r="I48" s="796"/>
      <c r="J48" s="797"/>
    </row>
    <row r="49" spans="2:10" x14ac:dyDescent="0.2">
      <c r="B49" s="248" t="s">
        <v>973</v>
      </c>
      <c r="C49" s="150"/>
      <c r="D49" s="150"/>
      <c r="E49" s="76"/>
      <c r="G49" s="799">
        <f>summ!E52</f>
        <v>58.256999999999998</v>
      </c>
      <c r="H49" s="801" t="str">
        <f>CONCATENATE("Total ",E1-1," Mill Rate")</f>
        <v>Total 2013 Mill Rate</v>
      </c>
      <c r="I49" s="802"/>
      <c r="J49" s="803"/>
    </row>
    <row r="50" spans="2:10" x14ac:dyDescent="0.2">
      <c r="B50" s="141" t="s">
        <v>851</v>
      </c>
      <c r="C50" s="249">
        <v>424863</v>
      </c>
      <c r="D50" s="247">
        <f>IF(inputPrYr!H16&gt;0,inputPrYr!G22,inputPrYr!E22)</f>
        <v>472423</v>
      </c>
      <c r="E50" s="277" t="s">
        <v>839</v>
      </c>
    </row>
    <row r="51" spans="2:10" x14ac:dyDescent="0.2">
      <c r="B51" s="141" t="s">
        <v>852</v>
      </c>
      <c r="C51" s="249">
        <v>22489</v>
      </c>
      <c r="D51" s="249">
        <v>16000</v>
      </c>
      <c r="E51" s="56">
        <v>14173</v>
      </c>
    </row>
    <row r="52" spans="2:10" x14ac:dyDescent="0.2">
      <c r="B52" s="141" t="s">
        <v>853</v>
      </c>
      <c r="C52" s="249">
        <v>47281</v>
      </c>
      <c r="D52" s="249">
        <v>43723</v>
      </c>
      <c r="E52" s="218">
        <f>mvalloc!D11</f>
        <v>49451</v>
      </c>
    </row>
    <row r="53" spans="2:10" x14ac:dyDescent="0.2">
      <c r="B53" s="141" t="s">
        <v>854</v>
      </c>
      <c r="C53" s="249">
        <v>736</v>
      </c>
      <c r="D53" s="249">
        <v>616</v>
      </c>
      <c r="E53" s="218">
        <f>mvalloc!E11</f>
        <v>710</v>
      </c>
    </row>
    <row r="54" spans="2:10" x14ac:dyDescent="0.2">
      <c r="B54" s="150" t="s">
        <v>949</v>
      </c>
      <c r="C54" s="249">
        <v>244</v>
      </c>
      <c r="D54" s="249">
        <v>221</v>
      </c>
      <c r="E54" s="218">
        <f>mvalloc!F11</f>
        <v>385</v>
      </c>
    </row>
    <row r="55" spans="2:10" x14ac:dyDescent="0.2">
      <c r="B55" s="265" t="s">
        <v>248</v>
      </c>
      <c r="C55" s="249">
        <v>4400</v>
      </c>
      <c r="D55" s="249"/>
      <c r="E55" s="56"/>
    </row>
    <row r="56" spans="2:10" x14ac:dyDescent="0.2">
      <c r="B56" s="265" t="s">
        <v>249</v>
      </c>
      <c r="C56" s="249">
        <v>15268</v>
      </c>
      <c r="D56" s="249">
        <v>43381</v>
      </c>
      <c r="E56" s="56">
        <v>49254</v>
      </c>
    </row>
    <row r="57" spans="2:10" x14ac:dyDescent="0.2">
      <c r="B57" s="265" t="s">
        <v>250</v>
      </c>
      <c r="C57" s="249">
        <v>10478</v>
      </c>
      <c r="D57" s="249">
        <v>24545</v>
      </c>
      <c r="E57" s="56">
        <v>29232</v>
      </c>
    </row>
    <row r="58" spans="2:10" x14ac:dyDescent="0.2">
      <c r="B58" s="265" t="s">
        <v>251</v>
      </c>
      <c r="C58" s="249">
        <v>6837</v>
      </c>
      <c r="D58" s="249">
        <v>15067</v>
      </c>
      <c r="E58" s="56">
        <v>19061</v>
      </c>
    </row>
    <row r="59" spans="2:10" x14ac:dyDescent="0.2">
      <c r="B59" s="265" t="s">
        <v>163</v>
      </c>
      <c r="C59" s="249">
        <v>55000</v>
      </c>
      <c r="D59" s="249"/>
      <c r="E59" s="56"/>
    </row>
    <row r="60" spans="2:10" x14ac:dyDescent="0.2">
      <c r="B60" s="265" t="s">
        <v>139</v>
      </c>
      <c r="C60" s="249">
        <v>12653</v>
      </c>
      <c r="D60" s="249">
        <v>2419</v>
      </c>
      <c r="E60" s="56">
        <v>80</v>
      </c>
    </row>
    <row r="61" spans="2:10" hidden="1" x14ac:dyDescent="0.2">
      <c r="B61" s="265"/>
      <c r="C61" s="249"/>
      <c r="D61" s="249"/>
      <c r="E61" s="56"/>
    </row>
    <row r="62" spans="2:10" hidden="1" x14ac:dyDescent="0.2">
      <c r="B62" s="253" t="s">
        <v>858</v>
      </c>
      <c r="C62" s="249"/>
      <c r="D62" s="249"/>
      <c r="E62" s="56"/>
    </row>
    <row r="63" spans="2:10" hidden="1" x14ac:dyDescent="0.2">
      <c r="B63" s="150" t="s">
        <v>730</v>
      </c>
      <c r="C63" s="249"/>
      <c r="D63" s="249"/>
      <c r="E63" s="56"/>
    </row>
    <row r="64" spans="2:10" hidden="1" x14ac:dyDescent="0.2">
      <c r="B64" s="244" t="s">
        <v>638</v>
      </c>
      <c r="C64" s="254" t="str">
        <f>IF(C65*0.1&lt;C63,"Exceed 10% Rule","")</f>
        <v/>
      </c>
      <c r="D64" s="254" t="str">
        <f>IF(D65*0.1&lt;D63,"Exceed 10% Rule","")</f>
        <v/>
      </c>
      <c r="E64" s="291" t="str">
        <f>IF(E65*0.1+E85&lt;E63,"Exceed 10% Rule","")</f>
        <v/>
      </c>
    </row>
    <row r="65" spans="2:11" x14ac:dyDescent="0.2">
      <c r="B65" s="256" t="s">
        <v>859</v>
      </c>
      <c r="C65" s="258">
        <f>SUM(C50:C63)</f>
        <v>600249</v>
      </c>
      <c r="D65" s="258">
        <f>SUM(D50:D63)</f>
        <v>618395</v>
      </c>
      <c r="E65" s="259">
        <f>SUM(E50:E63)</f>
        <v>162346</v>
      </c>
      <c r="G65" s="912">
        <f>+E65+E83</f>
        <v>695267.55077400012</v>
      </c>
    </row>
    <row r="66" spans="2:11" x14ac:dyDescent="0.2">
      <c r="B66" s="256" t="s">
        <v>860</v>
      </c>
      <c r="C66" s="258">
        <f>C48+C65</f>
        <v>629081</v>
      </c>
      <c r="D66" s="258">
        <f>D48+D65</f>
        <v>670477</v>
      </c>
      <c r="E66" s="259">
        <f>E48+E65</f>
        <v>191417.5615999999</v>
      </c>
    </row>
    <row r="67" spans="2:11" x14ac:dyDescent="0.2">
      <c r="B67" s="141" t="s">
        <v>862</v>
      </c>
      <c r="C67" s="266"/>
      <c r="D67" s="266"/>
      <c r="E67" s="54"/>
    </row>
    <row r="68" spans="2:11" x14ac:dyDescent="0.2">
      <c r="B68" s="265" t="s">
        <v>140</v>
      </c>
      <c r="C68" s="249">
        <v>129545</v>
      </c>
      <c r="D68" s="249">
        <v>137801</v>
      </c>
      <c r="E68" s="56">
        <v>140802</v>
      </c>
    </row>
    <row r="69" spans="2:11" x14ac:dyDescent="0.2">
      <c r="B69" s="265" t="s">
        <v>141</v>
      </c>
      <c r="C69" s="249">
        <v>125530</v>
      </c>
      <c r="D69" s="249">
        <v>135907</v>
      </c>
      <c r="E69" s="56">
        <v>141538</v>
      </c>
      <c r="G69" s="995" t="str">
        <f>CONCATENATE("Desired Carryover Into ",E1+1,"")</f>
        <v>Desired Carryover Into 2015</v>
      </c>
      <c r="H69" s="972"/>
      <c r="I69" s="972"/>
      <c r="J69" s="973"/>
    </row>
    <row r="70" spans="2:11" x14ac:dyDescent="0.2">
      <c r="B70" s="265" t="s">
        <v>142</v>
      </c>
      <c r="C70" s="249">
        <v>244165</v>
      </c>
      <c r="D70" s="249">
        <v>287471.4384000001</v>
      </c>
      <c r="E70" s="56">
        <v>328530.11237400002</v>
      </c>
      <c r="G70" s="804"/>
      <c r="H70" s="805"/>
      <c r="I70" s="806"/>
      <c r="J70" s="807"/>
    </row>
    <row r="71" spans="2:11" x14ac:dyDescent="0.2">
      <c r="B71" s="265" t="s">
        <v>143</v>
      </c>
      <c r="C71" s="249">
        <v>46622</v>
      </c>
      <c r="D71" s="249">
        <v>42704</v>
      </c>
      <c r="E71" s="56">
        <v>46851</v>
      </c>
      <c r="G71" s="808" t="s">
        <v>626</v>
      </c>
      <c r="H71" s="806"/>
      <c r="I71" s="806"/>
      <c r="J71" s="809"/>
    </row>
    <row r="72" spans="2:11" x14ac:dyDescent="0.2">
      <c r="B72" s="265" t="s">
        <v>144</v>
      </c>
      <c r="C72" s="249">
        <v>2956</v>
      </c>
      <c r="D72" s="249">
        <v>2522</v>
      </c>
      <c r="E72" s="56">
        <v>13252</v>
      </c>
      <c r="G72" s="804" t="s">
        <v>627</v>
      </c>
      <c r="H72" s="805"/>
      <c r="I72" s="805"/>
      <c r="J72" s="810" t="str">
        <f>IF(J71=0,"",ROUND((J71+E85-G84)/inputOth!E9*1000,3)-G89)</f>
        <v/>
      </c>
    </row>
    <row r="73" spans="2:11" x14ac:dyDescent="0.2">
      <c r="B73" s="265" t="s">
        <v>145</v>
      </c>
      <c r="C73" s="249">
        <v>693</v>
      </c>
      <c r="D73" s="249"/>
      <c r="E73" s="56">
        <v>15000</v>
      </c>
      <c r="G73" s="811" t="str">
        <f>CONCATENATE("",E1," Tot Exp/Non-Appr Must Be:")</f>
        <v>2014 Tot Exp/Non-Appr Must Be:</v>
      </c>
      <c r="H73" s="812"/>
      <c r="I73" s="813"/>
      <c r="J73" s="814">
        <f>IF(J71&gt;0,IF(E82&lt;E66,IF(J71=G84,E82,((J71-G84)*(1-D84))+E66),E82+(J71-G84)),0)</f>
        <v>0</v>
      </c>
    </row>
    <row r="74" spans="2:11" x14ac:dyDescent="0.2">
      <c r="B74" s="265" t="s">
        <v>252</v>
      </c>
      <c r="C74" s="249">
        <v>27488</v>
      </c>
      <c r="D74" s="249">
        <v>35000</v>
      </c>
      <c r="E74" s="56">
        <v>20000</v>
      </c>
      <c r="G74" s="815" t="s">
        <v>665</v>
      </c>
      <c r="H74" s="816"/>
      <c r="I74" s="816"/>
      <c r="J74" s="783">
        <f>IF(J71&gt;0,J73-E82,0)</f>
        <v>0</v>
      </c>
    </row>
    <row r="75" spans="2:11" hidden="1" x14ac:dyDescent="0.25">
      <c r="B75" s="266" t="s">
        <v>729</v>
      </c>
      <c r="C75" s="249"/>
      <c r="D75" s="249"/>
      <c r="E75" s="71" t="str">
        <f>nhood!E10</f>
        <v/>
      </c>
      <c r="J75" s="2"/>
    </row>
    <row r="76" spans="2:11" hidden="1" x14ac:dyDescent="0.2">
      <c r="B76" s="266" t="s">
        <v>730</v>
      </c>
      <c r="C76" s="249"/>
      <c r="D76" s="249"/>
      <c r="E76" s="56"/>
      <c r="G76" s="995" t="str">
        <f>CONCATENATE("Projected Carryover Into ",E1+1,"")</f>
        <v>Projected Carryover Into 2015</v>
      </c>
      <c r="H76" s="997"/>
      <c r="I76" s="997"/>
      <c r="J76" s="998"/>
    </row>
    <row r="77" spans="2:11" hidden="1" x14ac:dyDescent="0.2">
      <c r="B77" s="266" t="s">
        <v>639</v>
      </c>
      <c r="C77" s="254" t="str">
        <f>IF(C78*0.1&lt;C76,"Exceed 10% Rule","")</f>
        <v/>
      </c>
      <c r="D77" s="254" t="str">
        <f>IF(D78*0.1&lt;D76,"Exceed 10% Rule","")</f>
        <v/>
      </c>
      <c r="E77" s="291" t="str">
        <f>IF(E78*0.1&lt;E76,"Exceed 10% Rule","")</f>
        <v/>
      </c>
      <c r="G77" s="829"/>
      <c r="H77" s="805"/>
      <c r="I77" s="805"/>
      <c r="J77" s="836"/>
    </row>
    <row r="78" spans="2:11" x14ac:dyDescent="0.2">
      <c r="B78" s="256" t="s">
        <v>866</v>
      </c>
      <c r="C78" s="258">
        <f>SUM(C68:C76)</f>
        <v>576999</v>
      </c>
      <c r="D78" s="258">
        <f>SUM(D68:D76)</f>
        <v>641405.4384000001</v>
      </c>
      <c r="E78" s="259">
        <f>SUM(E68:E76)</f>
        <v>705973.11237400002</v>
      </c>
      <c r="G78" s="831">
        <f>D79</f>
        <v>29071.561599999899</v>
      </c>
      <c r="H78" s="795" t="str">
        <f>CONCATENATE("",E1-1," Ending Cash Balance (est.)")</f>
        <v>2013 Ending Cash Balance (est.)</v>
      </c>
      <c r="I78" s="832"/>
      <c r="J78" s="836"/>
    </row>
    <row r="79" spans="2:11" x14ac:dyDescent="0.2">
      <c r="B79" s="141" t="s">
        <v>972</v>
      </c>
      <c r="C79" s="262">
        <f>C66-C78</f>
        <v>52082</v>
      </c>
      <c r="D79" s="262">
        <f>D66-D78</f>
        <v>29071.561599999899</v>
      </c>
      <c r="E79" s="277" t="s">
        <v>839</v>
      </c>
      <c r="G79" s="831">
        <f>E65</f>
        <v>162346</v>
      </c>
      <c r="H79" s="806" t="str">
        <f>CONCATENATE("",E1," Non-AV Receipts (est.)")</f>
        <v>2014 Non-AV Receipts (est.)</v>
      </c>
      <c r="I79" s="832"/>
      <c r="J79" s="836"/>
    </row>
    <row r="80" spans="2:11" x14ac:dyDescent="0.2">
      <c r="B80" s="127" t="str">
        <f>CONCATENATE("",E1-2,"/",E1-1," Budget Authority Amount:")</f>
        <v>2012/2013 Budget Authority Amount:</v>
      </c>
      <c r="C80" s="231">
        <f>inputOth!B67</f>
        <v>610000</v>
      </c>
      <c r="D80" s="231">
        <f>inputPrYr!D22</f>
        <v>665752</v>
      </c>
      <c r="E80" s="277" t="s">
        <v>839</v>
      </c>
      <c r="F80" s="268"/>
      <c r="G80" s="833">
        <f>IF(D84&gt;0,E83,E85)</f>
        <v>532921.55077400012</v>
      </c>
      <c r="H80" s="806" t="str">
        <f>CONCATENATE("",E1," Ad Valorem Tax (est.)")</f>
        <v>2014 Ad Valorem Tax (est.)</v>
      </c>
      <c r="I80" s="832"/>
      <c r="J80" s="836"/>
      <c r="K80" s="788" t="str">
        <f>IF(G80=E85,"","Note: Does not include Delinquent Taxes")</f>
        <v>Note: Does not include Delinquent Taxes</v>
      </c>
    </row>
    <row r="81" spans="2:10" x14ac:dyDescent="0.2">
      <c r="B81" s="127"/>
      <c r="C81" s="977" t="s">
        <v>483</v>
      </c>
      <c r="D81" s="978"/>
      <c r="E81" s="56">
        <v>18366</v>
      </c>
      <c r="F81" s="891" t="str">
        <f>IF(E78/0.95-E78&lt;E81,"Exceeds 5%","")</f>
        <v/>
      </c>
      <c r="G81" s="835">
        <f>SUM(G78:G80)</f>
        <v>724339.11237400002</v>
      </c>
      <c r="H81" s="806" t="str">
        <f>CONCATENATE("Total ",E1," Resources Available")</f>
        <v>Total 2014 Resources Available</v>
      </c>
      <c r="I81" s="836"/>
      <c r="J81" s="836"/>
    </row>
    <row r="82" spans="2:10" x14ac:dyDescent="0.2">
      <c r="B82" s="540" t="str">
        <f>CONCATENATE(C102,"     ",D102)</f>
        <v xml:space="preserve">     </v>
      </c>
      <c r="C82" s="979" t="s">
        <v>484</v>
      </c>
      <c r="D82" s="980"/>
      <c r="E82" s="218">
        <f>E78+E81</f>
        <v>724339.11237400002</v>
      </c>
      <c r="G82" s="837"/>
      <c r="H82" s="838"/>
      <c r="I82" s="805"/>
      <c r="J82" s="836"/>
    </row>
    <row r="83" spans="2:10" x14ac:dyDescent="0.2">
      <c r="B83" s="540" t="str">
        <f>CONCATENATE(C103,"     ",D103)</f>
        <v xml:space="preserve">     </v>
      </c>
      <c r="C83" s="269"/>
      <c r="D83" s="160" t="s">
        <v>867</v>
      </c>
      <c r="E83" s="71">
        <f>IF(E82-E66&gt;0,E82-E66,0)</f>
        <v>532921.55077400012</v>
      </c>
      <c r="G83" s="839">
        <f>ROUND(C78*0.05+C78,0)</f>
        <v>605849</v>
      </c>
      <c r="H83" s="838" t="str">
        <f>CONCATENATE("Less ",E1-2," Expenditures + 5%")</f>
        <v>Less 2012 Expenditures + 5%</v>
      </c>
      <c r="I83" s="836"/>
      <c r="J83" s="836"/>
    </row>
    <row r="84" spans="2:10" x14ac:dyDescent="0.25">
      <c r="B84" s="160"/>
      <c r="C84" s="381" t="s">
        <v>482</v>
      </c>
      <c r="D84" s="751">
        <f>inputOth!$E$50</f>
        <v>0.05</v>
      </c>
      <c r="E84" s="218">
        <f>ROUND(IF(D84&gt;0,(E83*D84),0),0)</f>
        <v>26646</v>
      </c>
      <c r="G84" s="840">
        <f>G81-G83</f>
        <v>118490.11237400002</v>
      </c>
      <c r="H84" s="841" t="str">
        <f>CONCATENATE("Projected ",E1+1," carryover (est.)")</f>
        <v>Projected 2015 carryover (est.)</v>
      </c>
      <c r="I84" s="842"/>
      <c r="J84" s="843"/>
    </row>
    <row r="85" spans="2:10" ht="16.5" thickBot="1" x14ac:dyDescent="0.3">
      <c r="B85" s="36"/>
      <c r="C85" s="981" t="str">
        <f>CONCATENATE("Amount of  ",$E$1-1," Ad Valorem Tax")</f>
        <v>Amount of  2013 Ad Valorem Tax</v>
      </c>
      <c r="D85" s="982"/>
      <c r="E85" s="754">
        <f>E83+E84</f>
        <v>559567.55077400012</v>
      </c>
      <c r="G85" s="2"/>
      <c r="H85" s="2"/>
      <c r="I85" s="2"/>
    </row>
    <row r="86" spans="2:10" ht="16.5" thickTop="1" x14ac:dyDescent="0.2">
      <c r="B86" s="36"/>
      <c r="C86" s="587"/>
      <c r="D86" s="36"/>
      <c r="E86" s="36"/>
      <c r="G86" s="974" t="s">
        <v>666</v>
      </c>
      <c r="H86" s="975"/>
      <c r="I86" s="975"/>
      <c r="J86" s="976"/>
    </row>
    <row r="87" spans="2:10" x14ac:dyDescent="0.2">
      <c r="B87" s="160" t="s">
        <v>869</v>
      </c>
      <c r="C87" s="273">
        <v>15</v>
      </c>
      <c r="D87" s="36"/>
      <c r="E87" s="36"/>
      <c r="G87" s="794"/>
      <c r="H87" s="795"/>
      <c r="I87" s="796"/>
      <c r="J87" s="797"/>
    </row>
    <row r="88" spans="2:10" x14ac:dyDescent="0.2">
      <c r="B88" s="21"/>
      <c r="G88" s="798">
        <f>summ!H19</f>
        <v>24.844999999999999</v>
      </c>
      <c r="H88" s="795" t="str">
        <f>CONCATENATE("",E1," Fund Mill Rate")</f>
        <v>2014 Fund Mill Rate</v>
      </c>
      <c r="I88" s="796"/>
      <c r="J88" s="797"/>
    </row>
    <row r="89" spans="2:10" x14ac:dyDescent="0.2">
      <c r="G89" s="799">
        <f>summ!E19</f>
        <v>22.433</v>
      </c>
      <c r="H89" s="795" t="str">
        <f>CONCATENATE("",E1-1," Fund Mill Rate")</f>
        <v>2013 Fund Mill Rate</v>
      </c>
      <c r="I89" s="796"/>
      <c r="J89" s="797"/>
    </row>
    <row r="90" spans="2:10" x14ac:dyDescent="0.2">
      <c r="G90" s="800">
        <f>summ!H52</f>
        <v>59.936</v>
      </c>
      <c r="H90" s="795" t="str">
        <f>CONCATENATE("Total ",E1," Mill Rate")</f>
        <v>Total 2014 Mill Rate</v>
      </c>
      <c r="I90" s="796"/>
      <c r="J90" s="797"/>
    </row>
    <row r="91" spans="2:10" x14ac:dyDescent="0.2">
      <c r="G91" s="799">
        <f>summ!E52</f>
        <v>58.256999999999998</v>
      </c>
      <c r="H91" s="801" t="str">
        <f>CONCATENATE("Total ",E1-1," Mill Rate")</f>
        <v>Total 2013 Mill Rate</v>
      </c>
      <c r="I91" s="802"/>
      <c r="J91" s="803"/>
    </row>
    <row r="92" spans="2:10" x14ac:dyDescent="0.2">
      <c r="G92" s="921"/>
    </row>
    <row r="93" spans="2:10" x14ac:dyDescent="0.2">
      <c r="G93" s="921"/>
    </row>
    <row r="100" spans="3:4" hidden="1" x14ac:dyDescent="0.2">
      <c r="C100" s="539" t="str">
        <f>IF(C34&gt;C36,"See Tab A","")</f>
        <v/>
      </c>
      <c r="D100" s="539" t="str">
        <f>IF(D32&gt;D36,"See Tab C","")</f>
        <v/>
      </c>
    </row>
    <row r="101" spans="3:4" hidden="1" x14ac:dyDescent="0.2">
      <c r="C101" s="539" t="str">
        <f>IF(C35&lt;0,"See Tab B","")</f>
        <v/>
      </c>
      <c r="D101" s="539" t="str">
        <f>IF(D35&lt;0,"See Tab D","")</f>
        <v/>
      </c>
    </row>
    <row r="102" spans="3:4" hidden="1" x14ac:dyDescent="0.2">
      <c r="C102" s="539" t="str">
        <f>IF(C76&gt;C80,"See Tab A","")</f>
        <v/>
      </c>
      <c r="D102" s="539" t="str">
        <f>IF(D76&gt;D80,"See Tab C","")</f>
        <v/>
      </c>
    </row>
    <row r="103" spans="3:4" hidden="1" x14ac:dyDescent="0.2">
      <c r="C103" s="539" t="str">
        <f>IF(C79&lt;0,"See Tab B","")</f>
        <v/>
      </c>
      <c r="D103" s="539" t="str">
        <f>IF(D79&lt;0,"See Tab D","")</f>
        <v/>
      </c>
    </row>
  </sheetData>
  <mergeCells count="12">
    <mergeCell ref="G24:J24"/>
    <mergeCell ref="G32:J32"/>
    <mergeCell ref="G44:J44"/>
    <mergeCell ref="G69:J69"/>
    <mergeCell ref="C37:D37"/>
    <mergeCell ref="C38:D38"/>
    <mergeCell ref="G86:J86"/>
    <mergeCell ref="C85:D85"/>
    <mergeCell ref="C41:D41"/>
    <mergeCell ref="G76:J76"/>
    <mergeCell ref="C81:D81"/>
    <mergeCell ref="C82:D82"/>
  </mergeCells>
  <phoneticPr fontId="0" type="noConversion"/>
  <conditionalFormatting sqref="E76">
    <cfRule type="cellIs" dxfId="285" priority="3" stopIfTrue="1" operator="greaterThan">
      <formula>$E$78*0.1</formula>
    </cfRule>
  </conditionalFormatting>
  <conditionalFormatting sqref="E81">
    <cfRule type="cellIs" dxfId="284" priority="4" stopIfTrue="1" operator="greaterThan">
      <formula>$E$78/0.95-$E$78</formula>
    </cfRule>
  </conditionalFormatting>
  <conditionalFormatting sqref="E32">
    <cfRule type="cellIs" dxfId="283" priority="5" stopIfTrue="1" operator="greaterThan">
      <formula>$E$34*0.1</formula>
    </cfRule>
  </conditionalFormatting>
  <conditionalFormatting sqref="E37">
    <cfRule type="cellIs" dxfId="282" priority="6" stopIfTrue="1" operator="greaterThan">
      <formula>$E$34/0.95-$E$34</formula>
    </cfRule>
  </conditionalFormatting>
  <conditionalFormatting sqref="C32">
    <cfRule type="cellIs" dxfId="281" priority="7" stopIfTrue="1" operator="greaterThan">
      <formula>$C$34*0.1</formula>
    </cfRule>
  </conditionalFormatting>
  <conditionalFormatting sqref="D32">
    <cfRule type="cellIs" dxfId="280" priority="8" stopIfTrue="1" operator="greaterThan">
      <formula>$D$34*0.1</formula>
    </cfRule>
  </conditionalFormatting>
  <conditionalFormatting sqref="D34">
    <cfRule type="cellIs" dxfId="279" priority="9" stopIfTrue="1" operator="greaterThan">
      <formula>$C$36</formula>
    </cfRule>
  </conditionalFormatting>
  <conditionalFormatting sqref="C34">
    <cfRule type="cellIs" dxfId="278" priority="10" stopIfTrue="1" operator="greaterThan">
      <formula>$C$36</formula>
    </cfRule>
  </conditionalFormatting>
  <conditionalFormatting sqref="C35 C79">
    <cfRule type="cellIs" dxfId="277" priority="11" stopIfTrue="1" operator="lessThan">
      <formula>0</formula>
    </cfRule>
  </conditionalFormatting>
  <conditionalFormatting sqref="C76">
    <cfRule type="cellIs" dxfId="276" priority="12" stopIfTrue="1" operator="greaterThan">
      <formula>$C$78*0.1</formula>
    </cfRule>
  </conditionalFormatting>
  <conditionalFormatting sqref="D76">
    <cfRule type="cellIs" dxfId="275" priority="13" stopIfTrue="1" operator="greaterThan">
      <formula>$D$78*0.1</formula>
    </cfRule>
  </conditionalFormatting>
  <conditionalFormatting sqref="D78">
    <cfRule type="cellIs" dxfId="274" priority="14" stopIfTrue="1" operator="greaterThan">
      <formula>$C$80</formula>
    </cfRule>
  </conditionalFormatting>
  <conditionalFormatting sqref="C78">
    <cfRule type="cellIs" dxfId="273" priority="15" stopIfTrue="1" operator="greaterThan">
      <formula>$C$80</formula>
    </cfRule>
  </conditionalFormatting>
  <conditionalFormatting sqref="D18">
    <cfRule type="cellIs" dxfId="272" priority="16" stopIfTrue="1" operator="greaterThan">
      <formula>$D$20*0.1</formula>
    </cfRule>
  </conditionalFormatting>
  <conditionalFormatting sqref="C18">
    <cfRule type="cellIs" dxfId="271" priority="17" stopIfTrue="1" operator="greaterThan">
      <formula>$C$20*0.1</formula>
    </cfRule>
  </conditionalFormatting>
  <conditionalFormatting sqref="D63">
    <cfRule type="cellIs" dxfId="270" priority="18" stopIfTrue="1" operator="greaterThan">
      <formula>$D$65*0.1</formula>
    </cfRule>
  </conditionalFormatting>
  <conditionalFormatting sqref="C63">
    <cfRule type="cellIs" dxfId="269" priority="19" stopIfTrue="1" operator="greaterThan">
      <formula>$C$65*0.1</formula>
    </cfRule>
  </conditionalFormatting>
  <conditionalFormatting sqref="E18">
    <cfRule type="cellIs" dxfId="268" priority="20" stopIfTrue="1" operator="greaterThan">
      <formula>$E$20*0.1+E41</formula>
    </cfRule>
  </conditionalFormatting>
  <conditionalFormatting sqref="E63">
    <cfRule type="cellIs" dxfId="267" priority="21" stopIfTrue="1" operator="greaterThan">
      <formula>$E$65*0.1+E85</formula>
    </cfRule>
  </conditionalFormatting>
  <conditionalFormatting sqref="D79 D35">
    <cfRule type="cellIs" dxfId="266" priority="2" stopIfTrue="1" operator="lessThan">
      <formula>0</formula>
    </cfRule>
  </conditionalFormatting>
  <printOptions horizontalCentered="1"/>
  <pageMargins left="0.5" right="0.5" top="0.5" bottom="0.5" header="0.3" footer="0.3"/>
  <pageSetup fitToHeight="2" orientation="portrait" blackAndWhite="1" horizontalDpi="120" verticalDpi="144" r:id="rId1"/>
  <headerFooter alignWithMargins="0"/>
  <rowBreaks count="1" manualBreakCount="1">
    <brk id="43" min="1" max="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0"/>
  <sheetViews>
    <sheetView view="pageBreakPreview" topLeftCell="A39" zoomScale="60" zoomScaleNormal="100" workbookViewId="0">
      <selection activeCell="C75" sqref="C75"/>
    </sheetView>
  </sheetViews>
  <sheetFormatPr defaultRowHeight="15.75" x14ac:dyDescent="0.2"/>
  <cols>
    <col min="1" max="1" width="2.44140625" style="34" customWidth="1"/>
    <col min="2" max="2" width="31.109375" style="34" customWidth="1"/>
    <col min="3" max="4" width="15.77734375" style="34" customWidth="1"/>
    <col min="5" max="5" width="16.33203125" style="34" customWidth="1"/>
    <col min="6" max="6" width="8.109375" style="34" customWidth="1"/>
    <col min="7" max="7" width="10.21875" style="34" customWidth="1"/>
    <col min="8" max="8" width="8.88671875" style="34"/>
    <col min="9" max="9" width="5" style="34" customWidth="1"/>
    <col min="10" max="10" width="10" style="34" customWidth="1"/>
    <col min="11" max="16384" width="8.88671875" style="34"/>
  </cols>
  <sheetData>
    <row r="1" spans="2:5" x14ac:dyDescent="0.2">
      <c r="B1" s="188" t="str">
        <f>(inputPrYr!D2)</f>
        <v>City of Osawatomie</v>
      </c>
      <c r="C1" s="36"/>
      <c r="D1" s="36"/>
      <c r="E1" s="238">
        <f>inputPrYr!C5</f>
        <v>2014</v>
      </c>
    </row>
    <row r="2" spans="2:5" x14ac:dyDescent="0.2">
      <c r="B2" s="36"/>
      <c r="C2" s="36"/>
      <c r="D2" s="36"/>
      <c r="E2" s="160"/>
    </row>
    <row r="3" spans="2:5" x14ac:dyDescent="0.2">
      <c r="B3" s="239" t="s">
        <v>917</v>
      </c>
      <c r="C3" s="193"/>
      <c r="D3" s="193"/>
      <c r="E3" s="279"/>
    </row>
    <row r="4" spans="2:5" x14ac:dyDescent="0.2">
      <c r="B4" s="41" t="s">
        <v>850</v>
      </c>
      <c r="C4" s="418" t="s">
        <v>662</v>
      </c>
      <c r="D4" s="417" t="s">
        <v>663</v>
      </c>
      <c r="E4" s="394" t="s">
        <v>664</v>
      </c>
    </row>
    <row r="5" spans="2:5" x14ac:dyDescent="0.2">
      <c r="B5" s="544" t="str">
        <f>inputPrYr!B23</f>
        <v>Public Safety Equipment</v>
      </c>
      <c r="C5" s="419" t="str">
        <f>CONCATENATE("Actual for ",E1-2,"")</f>
        <v>Actual for 2012</v>
      </c>
      <c r="D5" s="419" t="str">
        <f>CONCATENATE("Estimate for ",E1-1,"")</f>
        <v>Estimate for 2013</v>
      </c>
      <c r="E5" s="403" t="str">
        <f>CONCATENATE("Year for ",E1,"")</f>
        <v>Year for 2014</v>
      </c>
    </row>
    <row r="6" spans="2:5" x14ac:dyDescent="0.2">
      <c r="B6" s="244" t="s">
        <v>971</v>
      </c>
      <c r="C6" s="249">
        <v>9772</v>
      </c>
      <c r="D6" s="247">
        <f>C31</f>
        <v>9847</v>
      </c>
      <c r="E6" s="218">
        <f>D31</f>
        <v>9847</v>
      </c>
    </row>
    <row r="7" spans="2:5" x14ac:dyDescent="0.2">
      <c r="B7" s="248" t="s">
        <v>973</v>
      </c>
      <c r="C7" s="247"/>
      <c r="D7" s="247"/>
      <c r="E7" s="218"/>
    </row>
    <row r="8" spans="2:5" x14ac:dyDescent="0.2">
      <c r="B8" s="141" t="s">
        <v>851</v>
      </c>
      <c r="C8" s="249"/>
      <c r="D8" s="247">
        <f>IF(inputPrYr!H16&gt;0,inputPrYr!G23,inputPrYr!E23)</f>
        <v>0</v>
      </c>
      <c r="E8" s="277" t="s">
        <v>839</v>
      </c>
    </row>
    <row r="9" spans="2:5" x14ac:dyDescent="0.2">
      <c r="B9" s="141" t="s">
        <v>852</v>
      </c>
      <c r="C9" s="249">
        <v>75</v>
      </c>
      <c r="D9" s="249"/>
      <c r="E9" s="56"/>
    </row>
    <row r="10" spans="2:5" x14ac:dyDescent="0.2">
      <c r="B10" s="141" t="s">
        <v>853</v>
      </c>
      <c r="C10" s="249"/>
      <c r="D10" s="249"/>
      <c r="E10" s="218" t="str">
        <f>mvalloc!D12</f>
        <v xml:space="preserve">  </v>
      </c>
    </row>
    <row r="11" spans="2:5" x14ac:dyDescent="0.2">
      <c r="B11" s="141" t="s">
        <v>854</v>
      </c>
      <c r="C11" s="249"/>
      <c r="D11" s="249"/>
      <c r="E11" s="218" t="str">
        <f>mvalloc!E12</f>
        <v xml:space="preserve"> </v>
      </c>
    </row>
    <row r="12" spans="2:5" hidden="1" x14ac:dyDescent="0.2">
      <c r="B12" s="150" t="s">
        <v>949</v>
      </c>
      <c r="C12" s="249"/>
      <c r="D12" s="249"/>
      <c r="E12" s="218" t="str">
        <f>mvalloc!F12</f>
        <v xml:space="preserve"> </v>
      </c>
    </row>
    <row r="13" spans="2:5" hidden="1" x14ac:dyDescent="0.2">
      <c r="B13" s="265"/>
      <c r="C13" s="249"/>
      <c r="D13" s="249"/>
      <c r="E13" s="56"/>
    </row>
    <row r="14" spans="2:5" hidden="1" x14ac:dyDescent="0.2">
      <c r="B14" s="253" t="s">
        <v>858</v>
      </c>
      <c r="C14" s="249"/>
      <c r="D14" s="249"/>
      <c r="E14" s="56"/>
    </row>
    <row r="15" spans="2:5" hidden="1" x14ac:dyDescent="0.2">
      <c r="B15" s="150" t="s">
        <v>730</v>
      </c>
      <c r="C15" s="249"/>
      <c r="D15" s="249"/>
      <c r="E15" s="56"/>
    </row>
    <row r="16" spans="2:5" hidden="1" x14ac:dyDescent="0.2">
      <c r="B16" s="244" t="s">
        <v>638</v>
      </c>
      <c r="C16" s="254" t="str">
        <f>IF(C17*0.1&lt;C15,"Exceed 10% Rule","")</f>
        <v/>
      </c>
      <c r="D16" s="254" t="str">
        <f>IF(D17*0.1&lt;D15,"Exceed 10% Rule","")</f>
        <v/>
      </c>
      <c r="E16" s="291" t="str">
        <f>IF(E17*0.1+E37&lt;E15,"Exceed 10% Rule","")</f>
        <v/>
      </c>
    </row>
    <row r="17" spans="2:11" x14ac:dyDescent="0.2">
      <c r="B17" s="256" t="s">
        <v>859</v>
      </c>
      <c r="C17" s="258">
        <f>SUM(C8:C15)</f>
        <v>75</v>
      </c>
      <c r="D17" s="258">
        <f>SUM(D8:D15)</f>
        <v>0</v>
      </c>
      <c r="E17" s="259">
        <f>SUM(E8:E15)</f>
        <v>0</v>
      </c>
    </row>
    <row r="18" spans="2:11" x14ac:dyDescent="0.2">
      <c r="B18" s="256" t="s">
        <v>860</v>
      </c>
      <c r="C18" s="258">
        <f>C6+C17</f>
        <v>9847</v>
      </c>
      <c r="D18" s="258">
        <f>D6+D17</f>
        <v>9847</v>
      </c>
      <c r="E18" s="259">
        <f>E6+E17</f>
        <v>9847</v>
      </c>
    </row>
    <row r="19" spans="2:11" x14ac:dyDescent="0.2">
      <c r="B19" s="141" t="s">
        <v>862</v>
      </c>
      <c r="C19" s="266"/>
      <c r="D19" s="266"/>
      <c r="E19" s="54"/>
      <c r="F19" s="282"/>
    </row>
    <row r="20" spans="2:11" x14ac:dyDescent="0.2">
      <c r="B20" s="265" t="s">
        <v>160</v>
      </c>
      <c r="C20" s="249"/>
      <c r="D20" s="249"/>
      <c r="E20" s="92">
        <v>9847</v>
      </c>
    </row>
    <row r="21" spans="2:11" hidden="1" x14ac:dyDescent="0.2">
      <c r="B21" s="283"/>
      <c r="C21" s="249"/>
      <c r="D21" s="249"/>
      <c r="E21" s="92"/>
      <c r="G21" s="995" t="str">
        <f>CONCATENATE("Desired Carryover Into ",E1+1,"")</f>
        <v>Desired Carryover Into 2015</v>
      </c>
      <c r="H21" s="972"/>
      <c r="I21" s="972"/>
      <c r="J21" s="973"/>
    </row>
    <row r="22" spans="2:11" hidden="1" x14ac:dyDescent="0.2">
      <c r="B22" s="283"/>
      <c r="C22" s="249"/>
      <c r="D22" s="249"/>
      <c r="E22" s="92"/>
      <c r="G22" s="804"/>
      <c r="H22" s="805"/>
      <c r="I22" s="806"/>
      <c r="J22" s="807"/>
    </row>
    <row r="23" spans="2:11" hidden="1" x14ac:dyDescent="0.2">
      <c r="B23" s="265"/>
      <c r="C23" s="249"/>
      <c r="D23" s="249"/>
      <c r="E23" s="56"/>
      <c r="G23" s="808" t="s">
        <v>626</v>
      </c>
      <c r="H23" s="806"/>
      <c r="I23" s="806"/>
      <c r="J23" s="809">
        <v>0</v>
      </c>
    </row>
    <row r="24" spans="2:11" hidden="1" x14ac:dyDescent="0.2">
      <c r="B24" s="265"/>
      <c r="C24" s="249"/>
      <c r="D24" s="249"/>
      <c r="E24" s="56"/>
      <c r="G24" s="804" t="s">
        <v>627</v>
      </c>
      <c r="H24" s="805"/>
      <c r="I24" s="805"/>
      <c r="J24" s="810" t="str">
        <f>IF(J23=0,"",ROUND((J23+E37-G36)/inputOth!E9*1000,3)-G41)</f>
        <v/>
      </c>
    </row>
    <row r="25" spans="2:11" hidden="1" x14ac:dyDescent="0.2">
      <c r="B25" s="265"/>
      <c r="C25" s="249"/>
      <c r="D25" s="249"/>
      <c r="E25" s="56"/>
      <c r="G25" s="811" t="str">
        <f>CONCATENATE("",E1," Tot Exp/Non-Appr Must Be:")</f>
        <v>2014 Tot Exp/Non-Appr Must Be:</v>
      </c>
      <c r="H25" s="812"/>
      <c r="I25" s="813"/>
      <c r="J25" s="814">
        <f>IF(J23&gt;0,IF(E34&lt;E18,IF(J23=G36,E34,((J23-G36)*(1-D36))+E18),E34+(J23-G36)),0)</f>
        <v>0</v>
      </c>
    </row>
    <row r="26" spans="2:11" hidden="1" x14ac:dyDescent="0.2">
      <c r="B26" s="265"/>
      <c r="C26" s="249"/>
      <c r="D26" s="249"/>
      <c r="E26" s="56"/>
      <c r="G26" s="815" t="s">
        <v>665</v>
      </c>
      <c r="H26" s="816"/>
      <c r="I26" s="816"/>
      <c r="J26" s="783">
        <f>IF(J23&gt;0,J25-E34,0)</f>
        <v>0</v>
      </c>
    </row>
    <row r="27" spans="2:11" hidden="1" x14ac:dyDescent="0.25">
      <c r="B27" s="266" t="s">
        <v>729</v>
      </c>
      <c r="C27" s="249"/>
      <c r="D27" s="249"/>
      <c r="E27" s="71" t="str">
        <f>nhood!E11</f>
        <v/>
      </c>
      <c r="J27" s="2"/>
    </row>
    <row r="28" spans="2:11" hidden="1" x14ac:dyDescent="0.2">
      <c r="B28" s="266" t="s">
        <v>730</v>
      </c>
      <c r="C28" s="249"/>
      <c r="D28" s="249"/>
      <c r="E28" s="56"/>
      <c r="G28" s="995" t="str">
        <f>CONCATENATE("Projected Carryover Into ",E1+1,"")</f>
        <v>Projected Carryover Into 2015</v>
      </c>
      <c r="H28" s="999"/>
      <c r="I28" s="999"/>
      <c r="J28" s="998"/>
    </row>
    <row r="29" spans="2:11" hidden="1" x14ac:dyDescent="0.25">
      <c r="B29" s="266" t="s">
        <v>639</v>
      </c>
      <c r="C29" s="254" t="str">
        <f>IF(C30*0.1&lt;C28,"Exceed 10% Rule","")</f>
        <v/>
      </c>
      <c r="D29" s="254" t="str">
        <f>IF(D30*0.1&lt;D28,"Exceed 10% Rule","")</f>
        <v/>
      </c>
      <c r="E29" s="291" t="str">
        <f>IF(E30*0.1&lt;E28,"Exceed 10% Rule","")</f>
        <v/>
      </c>
      <c r="G29" s="804"/>
      <c r="H29" s="806"/>
      <c r="I29" s="806"/>
      <c r="J29" s="830"/>
    </row>
    <row r="30" spans="2:11" x14ac:dyDescent="0.25">
      <c r="B30" s="256" t="s">
        <v>866</v>
      </c>
      <c r="C30" s="258">
        <f>SUM(C20:C28)</f>
        <v>0</v>
      </c>
      <c r="D30" s="258">
        <f>SUM(D20:D28)</f>
        <v>0</v>
      </c>
      <c r="E30" s="259">
        <f>SUM(E20:E28)</f>
        <v>9847</v>
      </c>
      <c r="G30" s="831">
        <f>D31</f>
        <v>9847</v>
      </c>
      <c r="H30" s="795" t="str">
        <f>CONCATENATE("",E1-1," Ending Cash Balance (est.)")</f>
        <v>2013 Ending Cash Balance (est.)</v>
      </c>
      <c r="I30" s="832"/>
      <c r="J30" s="830"/>
    </row>
    <row r="31" spans="2:11" x14ac:dyDescent="0.25">
      <c r="B31" s="141" t="s">
        <v>972</v>
      </c>
      <c r="C31" s="262">
        <f>C18-C30</f>
        <v>9847</v>
      </c>
      <c r="D31" s="262">
        <f>D18-D30</f>
        <v>9847</v>
      </c>
      <c r="E31" s="277" t="s">
        <v>839</v>
      </c>
      <c r="G31" s="831">
        <f>E17</f>
        <v>0</v>
      </c>
      <c r="H31" s="806" t="str">
        <f>CONCATENATE("",E1," Non-AV Receipts (est.)")</f>
        <v>2014 Non-AV Receipts (est.)</v>
      </c>
      <c r="I31" s="832"/>
      <c r="J31" s="830"/>
    </row>
    <row r="32" spans="2:11" x14ac:dyDescent="0.2">
      <c r="B32" s="127" t="str">
        <f>CONCATENATE("",E1-2,"/",E1-1," Budget Authority Amount:")</f>
        <v>2012/2013 Budget Authority Amount:</v>
      </c>
      <c r="C32" s="231">
        <f>inputOth!B68</f>
        <v>9520</v>
      </c>
      <c r="D32" s="231" t="str">
        <f>inputPrYr!D23</f>
        <v xml:space="preserve">  </v>
      </c>
      <c r="E32" s="277" t="s">
        <v>839</v>
      </c>
      <c r="F32" s="268"/>
      <c r="G32" s="833">
        <f>IF(E36&gt;0,E35,E37)</f>
        <v>0</v>
      </c>
      <c r="H32" s="806" t="str">
        <f>CONCATENATE("",E1," Ad Valorem Tax (est.)")</f>
        <v>2014 Ad Valorem Tax (est.)</v>
      </c>
      <c r="I32" s="832"/>
      <c r="J32" s="818"/>
      <c r="K32" s="788" t="str">
        <f>IF(G32=E37,"","Note: Does not include Delinquent Taxes")</f>
        <v/>
      </c>
    </row>
    <row r="33" spans="2:10" x14ac:dyDescent="0.25">
      <c r="B33" s="127"/>
      <c r="C33" s="977" t="s">
        <v>483</v>
      </c>
      <c r="D33" s="978"/>
      <c r="E33" s="56">
        <v>0</v>
      </c>
      <c r="F33" s="891" t="str">
        <f>IF(E30/0.95-E30&lt;E33,"Exceeds 5%","")</f>
        <v/>
      </c>
      <c r="G33" s="831">
        <f>SUM(G30:G32)</f>
        <v>9847</v>
      </c>
      <c r="H33" s="806" t="str">
        <f>CONCATENATE("Total ",E1," Resources Available")</f>
        <v>Total 2014 Resources Available</v>
      </c>
      <c r="I33" s="832"/>
      <c r="J33" s="830"/>
    </row>
    <row r="34" spans="2:10" x14ac:dyDescent="0.25">
      <c r="B34" s="540" t="str">
        <f>CONCATENATE(C87,"     ",D87)</f>
        <v xml:space="preserve">     </v>
      </c>
      <c r="C34" s="979" t="s">
        <v>484</v>
      </c>
      <c r="D34" s="980"/>
      <c r="E34" s="218">
        <f>E30+E33</f>
        <v>9847</v>
      </c>
      <c r="G34" s="850"/>
      <c r="H34" s="806"/>
      <c r="I34" s="806"/>
      <c r="J34" s="830"/>
    </row>
    <row r="35" spans="2:10" x14ac:dyDescent="0.25">
      <c r="B35" s="540" t="str">
        <f>CONCATENATE(C88,"     ",D88)</f>
        <v xml:space="preserve">     </v>
      </c>
      <c r="C35" s="269"/>
      <c r="D35" s="160" t="s">
        <v>867</v>
      </c>
      <c r="E35" s="71">
        <f>IF(E34-E18&gt;0,E34-E18,0)</f>
        <v>0</v>
      </c>
      <c r="G35" s="833">
        <f>ROUND(C30*0.05+C30,0)</f>
        <v>0</v>
      </c>
      <c r="H35" s="806" t="str">
        <f>CONCATENATE("Less ",E1-2," Expenditures + 5%")</f>
        <v>Less 2012 Expenditures + 5%</v>
      </c>
      <c r="I35" s="832"/>
      <c r="J35" s="830"/>
    </row>
    <row r="36" spans="2:10" x14ac:dyDescent="0.25">
      <c r="B36" s="160"/>
      <c r="C36" s="381" t="s">
        <v>482</v>
      </c>
      <c r="D36" s="751">
        <f>inputOth!$E$50</f>
        <v>0.05</v>
      </c>
      <c r="E36" s="218">
        <f>ROUND(IF(D36&gt;0,(E35*D36),0),0)</f>
        <v>0</v>
      </c>
      <c r="G36" s="851">
        <f>G33-G35</f>
        <v>9847</v>
      </c>
      <c r="H36" s="852" t="str">
        <f>CONCATENATE("Projected ",E1+1," carryover (est.)")</f>
        <v>Projected 2015 carryover (est.)</v>
      </c>
      <c r="I36" s="853"/>
      <c r="J36" s="843"/>
    </row>
    <row r="37" spans="2:10" ht="16.5" thickBot="1" x14ac:dyDescent="0.3">
      <c r="B37" s="160"/>
      <c r="C37" s="981" t="str">
        <f>CONCATENATE("Amount of  ",$E$1-1," Ad Valorem Tax")</f>
        <v>Amount of  2013 Ad Valorem Tax</v>
      </c>
      <c r="D37" s="982"/>
      <c r="E37" s="754">
        <f>E35+E36</f>
        <v>0</v>
      </c>
      <c r="G37" s="2"/>
      <c r="H37" s="2"/>
      <c r="I37" s="2"/>
      <c r="J37" s="2"/>
    </row>
    <row r="38" spans="2:10" ht="16.5" thickTop="1" x14ac:dyDescent="0.2">
      <c r="B38" s="36"/>
      <c r="C38" s="981"/>
      <c r="D38" s="1000"/>
      <c r="E38" s="65"/>
      <c r="G38" s="974" t="s">
        <v>666</v>
      </c>
      <c r="H38" s="975"/>
      <c r="I38" s="975"/>
      <c r="J38" s="976"/>
    </row>
    <row r="39" spans="2:10" x14ac:dyDescent="0.2">
      <c r="B39" s="41"/>
      <c r="C39" s="280"/>
      <c r="D39" s="280"/>
      <c r="E39" s="280"/>
      <c r="G39" s="794"/>
      <c r="H39" s="795"/>
      <c r="I39" s="796"/>
      <c r="J39" s="797"/>
    </row>
    <row r="40" spans="2:10" x14ac:dyDescent="0.2">
      <c r="B40" s="41" t="s">
        <v>850</v>
      </c>
      <c r="C40" s="418" t="s">
        <v>662</v>
      </c>
      <c r="D40" s="417" t="s">
        <v>663</v>
      </c>
      <c r="E40" s="394" t="s">
        <v>664</v>
      </c>
      <c r="G40" s="798" t="str">
        <f>summ!H20</f>
        <v xml:space="preserve">  </v>
      </c>
      <c r="H40" s="795" t="str">
        <f>CONCATENATE("",E1," Fund Mill Rate")</f>
        <v>2014 Fund Mill Rate</v>
      </c>
      <c r="I40" s="796"/>
      <c r="J40" s="797"/>
    </row>
    <row r="41" spans="2:10" x14ac:dyDescent="0.2">
      <c r="B41" s="544" t="str">
        <f>inputPrYr!B24</f>
        <v>Recreation Employee Benefits</v>
      </c>
      <c r="C41" s="419" t="str">
        <f>CONCATENATE("Actual for ",E1-2,"")</f>
        <v>Actual for 2012</v>
      </c>
      <c r="D41" s="419" t="str">
        <f>CONCATENATE("Estimate for ",E1-1,"")</f>
        <v>Estimate for 2013</v>
      </c>
      <c r="E41" s="403" t="str">
        <f>CONCATENATE("Year for ",E1,"")</f>
        <v>Year for 2014</v>
      </c>
      <c r="G41" s="799" t="str">
        <f>summ!E20</f>
        <v xml:space="preserve">  </v>
      </c>
      <c r="H41" s="795" t="str">
        <f>CONCATENATE("",E1-1," Fund Mill Rate")</f>
        <v>2013 Fund Mill Rate</v>
      </c>
      <c r="I41" s="796"/>
      <c r="J41" s="797"/>
    </row>
    <row r="42" spans="2:10" x14ac:dyDescent="0.2">
      <c r="B42" s="244" t="s">
        <v>971</v>
      </c>
      <c r="C42" s="249">
        <v>0</v>
      </c>
      <c r="D42" s="247">
        <f>C67</f>
        <v>0</v>
      </c>
      <c r="E42" s="218">
        <f>D67</f>
        <v>0</v>
      </c>
      <c r="G42" s="800">
        <f>summ!H52</f>
        <v>59.936</v>
      </c>
      <c r="H42" s="795" t="str">
        <f>CONCATENATE("Total ",E1," Mill Rate")</f>
        <v>Total 2014 Mill Rate</v>
      </c>
      <c r="I42" s="796"/>
      <c r="J42" s="797"/>
    </row>
    <row r="43" spans="2:10" x14ac:dyDescent="0.2">
      <c r="B43" s="248" t="s">
        <v>973</v>
      </c>
      <c r="C43" s="150"/>
      <c r="D43" s="150"/>
      <c r="E43" s="76"/>
      <c r="G43" s="799">
        <f>summ!E52</f>
        <v>58.256999999999998</v>
      </c>
      <c r="H43" s="801" t="str">
        <f>CONCATENATE("Total ",E1-1," Mill Rate")</f>
        <v>Total 2013 Mill Rate</v>
      </c>
      <c r="I43" s="802"/>
      <c r="J43" s="803"/>
    </row>
    <row r="44" spans="2:10" x14ac:dyDescent="0.2">
      <c r="B44" s="141" t="s">
        <v>851</v>
      </c>
      <c r="C44" s="249">
        <v>10936</v>
      </c>
      <c r="D44" s="247">
        <f>IF(inputPrYr!H16&gt;0,inputPrYr!G24,inputPrYr!E24)</f>
        <v>0</v>
      </c>
      <c r="E44" s="277" t="s">
        <v>839</v>
      </c>
    </row>
    <row r="45" spans="2:10" x14ac:dyDescent="0.2">
      <c r="B45" s="141" t="s">
        <v>852</v>
      </c>
      <c r="C45" s="249">
        <v>560</v>
      </c>
      <c r="D45" s="249">
        <v>1300</v>
      </c>
      <c r="E45" s="56">
        <v>80</v>
      </c>
    </row>
    <row r="46" spans="2:10" x14ac:dyDescent="0.2">
      <c r="B46" s="141" t="s">
        <v>853</v>
      </c>
      <c r="C46" s="249">
        <v>1139</v>
      </c>
      <c r="D46" s="249">
        <v>1098</v>
      </c>
      <c r="E46" s="218" t="str">
        <f>mvalloc!D13</f>
        <v xml:space="preserve">  </v>
      </c>
    </row>
    <row r="47" spans="2:10" x14ac:dyDescent="0.2">
      <c r="B47" s="141" t="s">
        <v>854</v>
      </c>
      <c r="C47" s="249">
        <v>18</v>
      </c>
      <c r="D47" s="249">
        <v>15</v>
      </c>
      <c r="E47" s="218" t="str">
        <f>mvalloc!E13</f>
        <v xml:space="preserve"> </v>
      </c>
    </row>
    <row r="48" spans="2:10" x14ac:dyDescent="0.2">
      <c r="B48" s="150" t="s">
        <v>949</v>
      </c>
      <c r="C48" s="249"/>
      <c r="D48" s="249">
        <v>6</v>
      </c>
      <c r="E48" s="218" t="str">
        <f>mvalloc!F13</f>
        <v xml:space="preserve"> </v>
      </c>
    </row>
    <row r="49" spans="2:10" hidden="1" x14ac:dyDescent="0.2">
      <c r="B49" s="265"/>
      <c r="C49" s="249"/>
      <c r="D49" s="249"/>
      <c r="E49" s="56"/>
    </row>
    <row r="50" spans="2:10" hidden="1" x14ac:dyDescent="0.2">
      <c r="B50" s="253" t="s">
        <v>858</v>
      </c>
      <c r="C50" s="249"/>
      <c r="D50" s="249"/>
      <c r="E50" s="56"/>
    </row>
    <row r="51" spans="2:10" hidden="1" x14ac:dyDescent="0.2">
      <c r="B51" s="150" t="s">
        <v>730</v>
      </c>
      <c r="C51" s="249"/>
      <c r="D51" s="249"/>
      <c r="E51" s="56"/>
    </row>
    <row r="52" spans="2:10" hidden="1" x14ac:dyDescent="0.2">
      <c r="B52" s="244" t="s">
        <v>638</v>
      </c>
      <c r="C52" s="254" t="str">
        <f>IF(C53*0.1&lt;C51,"Exceed 10% Rule","")</f>
        <v/>
      </c>
      <c r="D52" s="254" t="str">
        <f>IF(D53*0.1&lt;D51,"Exceed 10% Rule","")</f>
        <v/>
      </c>
      <c r="E52" s="291" t="str">
        <f>IF(E53*0.1+E73&lt;E51,"Exceed 10% Rule","")</f>
        <v/>
      </c>
    </row>
    <row r="53" spans="2:10" x14ac:dyDescent="0.2">
      <c r="B53" s="256" t="s">
        <v>859</v>
      </c>
      <c r="C53" s="258">
        <f>SUM(C44:C51)</f>
        <v>12653</v>
      </c>
      <c r="D53" s="258">
        <f>SUM(D44:D51)</f>
        <v>2419</v>
      </c>
      <c r="E53" s="259">
        <f>SUM(E45:E51)</f>
        <v>80</v>
      </c>
    </row>
    <row r="54" spans="2:10" x14ac:dyDescent="0.2">
      <c r="B54" s="256" t="s">
        <v>860</v>
      </c>
      <c r="C54" s="258">
        <f>C42+C53</f>
        <v>12653</v>
      </c>
      <c r="D54" s="258">
        <f>D42+D53</f>
        <v>2419</v>
      </c>
      <c r="E54" s="259">
        <f>E42+E53</f>
        <v>80</v>
      </c>
    </row>
    <row r="55" spans="2:10" x14ac:dyDescent="0.2">
      <c r="B55" s="141" t="s">
        <v>862</v>
      </c>
      <c r="C55" s="266"/>
      <c r="D55" s="266"/>
      <c r="E55" s="54"/>
    </row>
    <row r="56" spans="2:10" x14ac:dyDescent="0.2">
      <c r="B56" s="265" t="s">
        <v>155</v>
      </c>
      <c r="C56" s="249"/>
      <c r="D56" s="249"/>
      <c r="E56" s="56"/>
    </row>
    <row r="57" spans="2:10" x14ac:dyDescent="0.2">
      <c r="B57" s="265" t="s">
        <v>161</v>
      </c>
      <c r="C57" s="249">
        <v>12653</v>
      </c>
      <c r="D57" s="249">
        <v>2419</v>
      </c>
      <c r="E57" s="56">
        <v>80</v>
      </c>
      <c r="G57" s="995" t="str">
        <f>CONCATENATE("Desired Carryover Into ",E1+1,"")</f>
        <v>Desired Carryover Into 2015</v>
      </c>
      <c r="H57" s="972"/>
      <c r="I57" s="972"/>
      <c r="J57" s="973"/>
    </row>
    <row r="58" spans="2:10" hidden="1" x14ac:dyDescent="0.2">
      <c r="B58" s="265"/>
      <c r="C58" s="249"/>
      <c r="D58" s="249"/>
      <c r="E58" s="56"/>
      <c r="G58" s="804"/>
      <c r="H58" s="805"/>
      <c r="I58" s="806"/>
      <c r="J58" s="807"/>
    </row>
    <row r="59" spans="2:10" hidden="1" x14ac:dyDescent="0.2">
      <c r="B59" s="265"/>
      <c r="C59" s="249"/>
      <c r="D59" s="249"/>
      <c r="E59" s="56"/>
      <c r="G59" s="808" t="s">
        <v>626</v>
      </c>
      <c r="H59" s="806"/>
      <c r="I59" s="806"/>
      <c r="J59" s="809">
        <v>0</v>
      </c>
    </row>
    <row r="60" spans="2:10" hidden="1" x14ac:dyDescent="0.2">
      <c r="B60" s="265"/>
      <c r="C60" s="249"/>
      <c r="D60" s="249"/>
      <c r="E60" s="56"/>
      <c r="G60" s="804" t="s">
        <v>627</v>
      </c>
      <c r="H60" s="805"/>
      <c r="I60" s="805"/>
      <c r="J60" s="810" t="str">
        <f>IF(J59=0,"",ROUND((J59+E73-G72)/inputOth!E9*1000,3)-G77)</f>
        <v/>
      </c>
    </row>
    <row r="61" spans="2:10" hidden="1" x14ac:dyDescent="0.2">
      <c r="B61" s="265"/>
      <c r="C61" s="249"/>
      <c r="D61" s="249"/>
      <c r="E61" s="56"/>
      <c r="G61" s="811" t="str">
        <f>CONCATENATE("",E1," Tot Exp/Non-Appr Must Be:")</f>
        <v>2014 Tot Exp/Non-Appr Must Be:</v>
      </c>
      <c r="H61" s="812"/>
      <c r="I61" s="813"/>
      <c r="J61" s="814">
        <f>IF(J59&gt;0,IF(E70&lt;E54,IF(J59=G72,E70,((J59-G72)*(1-D72))+E54),E70+(J59-G72)),0)</f>
        <v>0</v>
      </c>
    </row>
    <row r="62" spans="2:10" hidden="1" x14ac:dyDescent="0.2">
      <c r="B62" s="265"/>
      <c r="C62" s="249"/>
      <c r="D62" s="249"/>
      <c r="E62" s="56"/>
      <c r="G62" s="815" t="s">
        <v>665</v>
      </c>
      <c r="H62" s="816"/>
      <c r="I62" s="816"/>
      <c r="J62" s="783">
        <f>IF(J59&gt;0,J61-E70,0)</f>
        <v>0</v>
      </c>
    </row>
    <row r="63" spans="2:10" hidden="1" x14ac:dyDescent="0.25">
      <c r="B63" s="266" t="s">
        <v>729</v>
      </c>
      <c r="C63" s="249"/>
      <c r="D63" s="249"/>
      <c r="E63" s="71" t="str">
        <f>nhood!E12</f>
        <v/>
      </c>
      <c r="J63" s="2"/>
    </row>
    <row r="64" spans="2:10" hidden="1" x14ac:dyDescent="0.2">
      <c r="B64" s="266" t="s">
        <v>730</v>
      </c>
      <c r="C64" s="249"/>
      <c r="D64" s="249"/>
      <c r="E64" s="56"/>
      <c r="G64" s="995" t="str">
        <f>CONCATENATE("Projected Carryover Into ",E1+1,"")</f>
        <v>Projected Carryover Into 2015</v>
      </c>
      <c r="H64" s="997"/>
      <c r="I64" s="997"/>
      <c r="J64" s="998"/>
    </row>
    <row r="65" spans="2:11" hidden="1" x14ac:dyDescent="0.2">
      <c r="B65" s="266" t="s">
        <v>639</v>
      </c>
      <c r="C65" s="254" t="str">
        <f>IF(C66*0.1&lt;C64,"Exceed 10% Rule","")</f>
        <v/>
      </c>
      <c r="D65" s="254" t="str">
        <f>IF(D66*0.1&lt;D64,"Exceed 10% Rule","")</f>
        <v/>
      </c>
      <c r="E65" s="291" t="str">
        <f>IF(E66*0.1&lt;E64,"Exceed 10% Rule","")</f>
        <v/>
      </c>
      <c r="G65" s="829"/>
      <c r="H65" s="805"/>
      <c r="I65" s="805"/>
      <c r="J65" s="836"/>
    </row>
    <row r="66" spans="2:11" x14ac:dyDescent="0.2">
      <c r="B66" s="256" t="s">
        <v>866</v>
      </c>
      <c r="C66" s="258">
        <f>SUM(C56:C64)</f>
        <v>12653</v>
      </c>
      <c r="D66" s="258">
        <f>SUM(D56:D64)</f>
        <v>2419</v>
      </c>
      <c r="E66" s="259">
        <f>SUM(E56:E64)</f>
        <v>80</v>
      </c>
      <c r="G66" s="831">
        <f>D67</f>
        <v>0</v>
      </c>
      <c r="H66" s="795" t="str">
        <f>CONCATENATE("",E1-1," Ending Cash Balance (est.)")</f>
        <v>2013 Ending Cash Balance (est.)</v>
      </c>
      <c r="I66" s="832"/>
      <c r="J66" s="836"/>
    </row>
    <row r="67" spans="2:11" x14ac:dyDescent="0.2">
      <c r="B67" s="141" t="s">
        <v>972</v>
      </c>
      <c r="C67" s="262">
        <f>C54-C66</f>
        <v>0</v>
      </c>
      <c r="D67" s="262">
        <f>D54-D66</f>
        <v>0</v>
      </c>
      <c r="E67" s="277" t="s">
        <v>839</v>
      </c>
      <c r="G67" s="831">
        <f>E53</f>
        <v>80</v>
      </c>
      <c r="H67" s="806" t="str">
        <f>CONCATENATE("",E1," Non-AV Receipts (est.)")</f>
        <v>2014 Non-AV Receipts (est.)</v>
      </c>
      <c r="I67" s="832"/>
      <c r="J67" s="836"/>
    </row>
    <row r="68" spans="2:11" x14ac:dyDescent="0.2">
      <c r="B68" s="127" t="str">
        <f>CONCATENATE("",E1-2,"/",E1-1," Budget Authority Amount:")</f>
        <v>2012/2013 Budget Authority Amount:</v>
      </c>
      <c r="C68" s="231">
        <f>inputOth!B69</f>
        <v>13500</v>
      </c>
      <c r="D68" s="231">
        <f>inputPrYr!D24</f>
        <v>2419</v>
      </c>
      <c r="E68" s="277" t="s">
        <v>839</v>
      </c>
      <c r="F68" s="268"/>
      <c r="G68" s="833">
        <f>IF(D72&gt;0,E71,E73)</f>
        <v>0</v>
      </c>
      <c r="H68" s="806" t="str">
        <f>CONCATENATE("",E1," Ad Valorem Tax (est.)")</f>
        <v>2014 Ad Valorem Tax (est.)</v>
      </c>
      <c r="I68" s="832"/>
      <c r="J68" s="836"/>
      <c r="K68" s="788" t="str">
        <f>IF(G68=E73,"","Note: Does not include Delinquent Taxes")</f>
        <v/>
      </c>
    </row>
    <row r="69" spans="2:11" x14ac:dyDescent="0.2">
      <c r="B69" s="127"/>
      <c r="C69" s="977" t="s">
        <v>483</v>
      </c>
      <c r="D69" s="978"/>
      <c r="E69" s="56">
        <v>0</v>
      </c>
      <c r="F69" s="891" t="str">
        <f>IF(E66/0.95-E66&lt;E69,"Exceeds 5%","")</f>
        <v/>
      </c>
      <c r="G69" s="835">
        <f>SUM(G66:G68)</f>
        <v>80</v>
      </c>
      <c r="H69" s="806" t="str">
        <f>CONCATENATE("Total ",E1," Resources Available")</f>
        <v>Total 2014 Resources Available</v>
      </c>
      <c r="I69" s="836"/>
      <c r="J69" s="836"/>
    </row>
    <row r="70" spans="2:11" x14ac:dyDescent="0.2">
      <c r="B70" s="540" t="str">
        <f>CONCATENATE(C89,"     ",D89)</f>
        <v xml:space="preserve">     </v>
      </c>
      <c r="C70" s="979" t="s">
        <v>484</v>
      </c>
      <c r="D70" s="980"/>
      <c r="E70" s="218">
        <f>E66+E69</f>
        <v>80</v>
      </c>
      <c r="G70" s="837"/>
      <c r="H70" s="838"/>
      <c r="I70" s="805"/>
      <c r="J70" s="836"/>
    </row>
    <row r="71" spans="2:11" x14ac:dyDescent="0.2">
      <c r="B71" s="540" t="str">
        <f>CONCATENATE(C90,"     ",D90)</f>
        <v xml:space="preserve">     </v>
      </c>
      <c r="C71" s="269"/>
      <c r="D71" s="160" t="s">
        <v>867</v>
      </c>
      <c r="E71" s="71">
        <f>IF(E70-E54&gt;0,E70-E54,0)</f>
        <v>0</v>
      </c>
      <c r="G71" s="839">
        <f>ROUND(C66*0.05+C66,0)</f>
        <v>13286</v>
      </c>
      <c r="H71" s="838" t="str">
        <f>CONCATENATE("Less ",E1-2," Expenditures + 5%")</f>
        <v>Less 2012 Expenditures + 5%</v>
      </c>
      <c r="I71" s="836"/>
      <c r="J71" s="836"/>
    </row>
    <row r="72" spans="2:11" x14ac:dyDescent="0.25">
      <c r="B72" s="160"/>
      <c r="C72" s="381" t="s">
        <v>482</v>
      </c>
      <c r="D72" s="751">
        <f>inputOth!$E$50</f>
        <v>0.05</v>
      </c>
      <c r="E72" s="218">
        <f>ROUND(IF(D72&gt;0,(E71*D72),0),0)</f>
        <v>0</v>
      </c>
      <c r="G72" s="840">
        <f>G69-G71</f>
        <v>-13206</v>
      </c>
      <c r="H72" s="841" t="str">
        <f>CONCATENATE("Projected ",E1+1," carryover (est.)")</f>
        <v>Projected 2015 carryover (est.)</v>
      </c>
      <c r="I72" s="842"/>
      <c r="J72" s="843"/>
    </row>
    <row r="73" spans="2:11" ht="16.5" thickBot="1" x14ac:dyDescent="0.3">
      <c r="B73" s="36"/>
      <c r="C73" s="981" t="str">
        <f>CONCATENATE("Amount of  ",$E$1-1," Ad Valorem Tax")</f>
        <v>Amount of  2013 Ad Valorem Tax</v>
      </c>
      <c r="D73" s="982"/>
      <c r="E73" s="754">
        <f>E71+E72</f>
        <v>0</v>
      </c>
      <c r="G73" s="2"/>
      <c r="H73" s="2"/>
      <c r="I73" s="2"/>
    </row>
    <row r="74" spans="2:11" ht="16.5" thickTop="1" x14ac:dyDescent="0.2">
      <c r="B74" s="36"/>
      <c r="C74" s="36"/>
      <c r="D74" s="36"/>
      <c r="E74" s="36"/>
      <c r="G74" s="974" t="s">
        <v>666</v>
      </c>
      <c r="H74" s="975"/>
      <c r="I74" s="975"/>
      <c r="J74" s="976"/>
    </row>
    <row r="75" spans="2:11" x14ac:dyDescent="0.2">
      <c r="B75" s="160" t="s">
        <v>869</v>
      </c>
      <c r="C75" s="273">
        <v>16</v>
      </c>
      <c r="D75" s="36"/>
      <c r="E75" s="36"/>
      <c r="G75" s="794"/>
      <c r="H75" s="795"/>
      <c r="I75" s="796"/>
      <c r="J75" s="797"/>
    </row>
    <row r="76" spans="2:11" x14ac:dyDescent="0.2">
      <c r="G76" s="798" t="str">
        <f>summ!H21</f>
        <v xml:space="preserve">  </v>
      </c>
      <c r="H76" s="795" t="str">
        <f>CONCATENATE("",E1," Fund Mill Rate")</f>
        <v>2014 Fund Mill Rate</v>
      </c>
      <c r="I76" s="796"/>
      <c r="J76" s="797"/>
    </row>
    <row r="77" spans="2:11" x14ac:dyDescent="0.2">
      <c r="G77" s="799" t="str">
        <f>summ!E21</f>
        <v xml:space="preserve">  </v>
      </c>
      <c r="H77" s="795" t="str">
        <f>CONCATENATE("",E1-1," Fund Mill Rate")</f>
        <v>2013 Fund Mill Rate</v>
      </c>
      <c r="I77" s="796"/>
      <c r="J77" s="797"/>
    </row>
    <row r="78" spans="2:11" x14ac:dyDescent="0.2">
      <c r="G78" s="800">
        <f>summ!H52</f>
        <v>59.936</v>
      </c>
      <c r="H78" s="795" t="str">
        <f>CONCATENATE("Total ",E1," Mill Rate")</f>
        <v>Total 2014 Mill Rate</v>
      </c>
      <c r="I78" s="796"/>
      <c r="J78" s="797"/>
    </row>
    <row r="79" spans="2:11" x14ac:dyDescent="0.2">
      <c r="G79" s="799">
        <f>summ!E52</f>
        <v>58.256999999999998</v>
      </c>
      <c r="H79" s="801" t="str">
        <f>CONCATENATE("Total ",E1-1," Mill Rate")</f>
        <v>Total 2013 Mill Rate</v>
      </c>
      <c r="I79" s="802"/>
      <c r="J79" s="803"/>
    </row>
    <row r="87" spans="3:4" hidden="1" x14ac:dyDescent="0.2">
      <c r="C87" s="539" t="str">
        <f>IF(C30&gt;C32,"See Tab A","")</f>
        <v/>
      </c>
      <c r="D87" s="539" t="str">
        <f>IF(D28&gt;D32,"See Tab C","")</f>
        <v/>
      </c>
    </row>
    <row r="88" spans="3:4" hidden="1" x14ac:dyDescent="0.2">
      <c r="C88" s="539" t="str">
        <f>IF(C31&lt;0,"See Tab B","")</f>
        <v/>
      </c>
      <c r="D88" s="539" t="str">
        <f>IF(D31&lt;0,"See Tab D","")</f>
        <v/>
      </c>
    </row>
    <row r="89" spans="3:4" hidden="1" x14ac:dyDescent="0.2">
      <c r="C89" s="539" t="str">
        <f>IF(C64&gt;C68,"See Tab A","")</f>
        <v/>
      </c>
      <c r="D89" s="539" t="str">
        <f>IF(D64&gt;D68,"See Tab C","")</f>
        <v/>
      </c>
    </row>
    <row r="90" spans="3:4" hidden="1" x14ac:dyDescent="0.2">
      <c r="C90" s="539" t="str">
        <f>IF(C67&lt;0,"See Tab B","")</f>
        <v/>
      </c>
      <c r="D90" s="539" t="str">
        <f>IF(D67&lt;0,"See Tab D","")</f>
        <v/>
      </c>
    </row>
  </sheetData>
  <mergeCells count="13">
    <mergeCell ref="C73:D73"/>
    <mergeCell ref="C69:D69"/>
    <mergeCell ref="C70:D70"/>
    <mergeCell ref="C33:D33"/>
    <mergeCell ref="C34:D34"/>
    <mergeCell ref="C38:D38"/>
    <mergeCell ref="C37:D37"/>
    <mergeCell ref="G74:J74"/>
    <mergeCell ref="G21:J21"/>
    <mergeCell ref="G28:J28"/>
    <mergeCell ref="G38:J38"/>
    <mergeCell ref="G57:J57"/>
    <mergeCell ref="G64:J64"/>
  </mergeCells>
  <phoneticPr fontId="0" type="noConversion"/>
  <conditionalFormatting sqref="E64">
    <cfRule type="cellIs" dxfId="265" priority="3" stopIfTrue="1" operator="greaterThan">
      <formula>$E$66*0.1</formula>
    </cfRule>
  </conditionalFormatting>
  <conditionalFormatting sqref="E69">
    <cfRule type="cellIs" dxfId="264" priority="4" stopIfTrue="1" operator="greaterThan">
      <formula>$E$66/0.95-$E$66</formula>
    </cfRule>
  </conditionalFormatting>
  <conditionalFormatting sqref="E28">
    <cfRule type="cellIs" dxfId="263" priority="5" stopIfTrue="1" operator="greaterThan">
      <formula>$E$30*0.1</formula>
    </cfRule>
  </conditionalFormatting>
  <conditionalFormatting sqref="E33">
    <cfRule type="cellIs" dxfId="262" priority="6" stopIfTrue="1" operator="greaterThan">
      <formula>$E$30/0.95-$E$30</formula>
    </cfRule>
  </conditionalFormatting>
  <conditionalFormatting sqref="C28">
    <cfRule type="cellIs" dxfId="261" priority="7" stopIfTrue="1" operator="greaterThan">
      <formula>$C$30*0.1</formula>
    </cfRule>
  </conditionalFormatting>
  <conditionalFormatting sqref="D28">
    <cfRule type="cellIs" dxfId="260" priority="8" stopIfTrue="1" operator="greaterThan">
      <formula>$D$30*0.1</formula>
    </cfRule>
  </conditionalFormatting>
  <conditionalFormatting sqref="D30">
    <cfRule type="cellIs" dxfId="259" priority="9" stopIfTrue="1" operator="greaterThan">
      <formula>$C$32</formula>
    </cfRule>
  </conditionalFormatting>
  <conditionalFormatting sqref="C30">
    <cfRule type="cellIs" dxfId="258" priority="10" stopIfTrue="1" operator="greaterThan">
      <formula>$C$32</formula>
    </cfRule>
  </conditionalFormatting>
  <conditionalFormatting sqref="C31 C67">
    <cfRule type="cellIs" dxfId="257" priority="11" stopIfTrue="1" operator="lessThan">
      <formula>0</formula>
    </cfRule>
  </conditionalFormatting>
  <conditionalFormatting sqref="C64">
    <cfRule type="cellIs" dxfId="256" priority="12" stopIfTrue="1" operator="greaterThan">
      <formula>$C$66*0.1</formula>
    </cfRule>
  </conditionalFormatting>
  <conditionalFormatting sqref="D64">
    <cfRule type="cellIs" dxfId="255" priority="13" stopIfTrue="1" operator="greaterThan">
      <formula>$D$66*0.1</formula>
    </cfRule>
  </conditionalFormatting>
  <conditionalFormatting sqref="D66">
    <cfRule type="cellIs" dxfId="254" priority="14" stopIfTrue="1" operator="greaterThan">
      <formula>$C$68</formula>
    </cfRule>
  </conditionalFormatting>
  <conditionalFormatting sqref="C66">
    <cfRule type="cellIs" dxfId="253" priority="15" stopIfTrue="1" operator="greaterThan">
      <formula>$C$68</formula>
    </cfRule>
  </conditionalFormatting>
  <conditionalFormatting sqref="D15">
    <cfRule type="cellIs" dxfId="252" priority="16" stopIfTrue="1" operator="greaterThan">
      <formula>$D$17*0.1</formula>
    </cfRule>
  </conditionalFormatting>
  <conditionalFormatting sqref="C15">
    <cfRule type="cellIs" dxfId="251" priority="17" stopIfTrue="1" operator="greaterThan">
      <formula>$C$17*0.1</formula>
    </cfRule>
  </conditionalFormatting>
  <conditionalFormatting sqref="D51">
    <cfRule type="cellIs" dxfId="250" priority="18" stopIfTrue="1" operator="greaterThan">
      <formula>$D$53*0.1</formula>
    </cfRule>
  </conditionalFormatting>
  <conditionalFormatting sqref="C51">
    <cfRule type="cellIs" dxfId="249" priority="19" stopIfTrue="1" operator="greaterThan">
      <formula>$C$53*0.1</formula>
    </cfRule>
  </conditionalFormatting>
  <conditionalFormatting sqref="E51">
    <cfRule type="cellIs" dxfId="248" priority="20" stopIfTrue="1" operator="greaterThan">
      <formula>$E$53*0.1+E73</formula>
    </cfRule>
  </conditionalFormatting>
  <conditionalFormatting sqref="E15">
    <cfRule type="cellIs" dxfId="247" priority="21" stopIfTrue="1" operator="greaterThan">
      <formula>$E$17*0.1+E37</formula>
    </cfRule>
  </conditionalFormatting>
  <conditionalFormatting sqref="D67 D31">
    <cfRule type="cellIs" dxfId="246" priority="2" stopIfTrue="1" operator="lessThan">
      <formula>0</formula>
    </cfRule>
  </conditionalFormatting>
  <printOptions horizontalCentered="1"/>
  <pageMargins left="0.5" right="0.5" top="0.5" bottom="0.5" header="0.3" footer="0.3"/>
  <pageSetup scale="89" orientation="portrait" blackAndWhite="1" horizontalDpi="120" verticalDpi="144"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9"/>
  <sheetViews>
    <sheetView view="pageBreakPreview" topLeftCell="A22" zoomScale="60" zoomScaleNormal="100" workbookViewId="0">
      <selection activeCell="C59" sqref="C59"/>
    </sheetView>
  </sheetViews>
  <sheetFormatPr defaultRowHeight="15.75" x14ac:dyDescent="0.2"/>
  <cols>
    <col min="1" max="1" width="2.44140625" style="34" customWidth="1"/>
    <col min="2" max="2" width="31.109375" style="34" customWidth="1"/>
    <col min="3" max="4" width="15.77734375" style="34" customWidth="1"/>
    <col min="5" max="5" width="16.21875" style="34" customWidth="1"/>
    <col min="6" max="16384" width="8.88671875" style="34"/>
  </cols>
  <sheetData>
    <row r="1" spans="2:5" x14ac:dyDescent="0.2">
      <c r="B1" s="188" t="str">
        <f>(inputPrYr!D2)</f>
        <v>City of Osawatomie</v>
      </c>
      <c r="C1" s="36"/>
      <c r="D1" s="36"/>
      <c r="E1" s="238">
        <f>inputPrYr!C5</f>
        <v>2014</v>
      </c>
    </row>
    <row r="2" spans="2:5" x14ac:dyDescent="0.2">
      <c r="B2" s="36"/>
      <c r="C2" s="36"/>
      <c r="D2" s="36"/>
      <c r="E2" s="160"/>
    </row>
    <row r="3" spans="2:5" x14ac:dyDescent="0.2">
      <c r="B3" s="239" t="s">
        <v>918</v>
      </c>
      <c r="C3" s="280"/>
      <c r="D3" s="280"/>
      <c r="E3" s="280"/>
    </row>
    <row r="4" spans="2:5" x14ac:dyDescent="0.2">
      <c r="B4" s="41" t="s">
        <v>850</v>
      </c>
      <c r="C4" s="418" t="s">
        <v>662</v>
      </c>
      <c r="D4" s="417" t="s">
        <v>663</v>
      </c>
      <c r="E4" s="394" t="s">
        <v>664</v>
      </c>
    </row>
    <row r="5" spans="2:5" x14ac:dyDescent="0.2">
      <c r="B5" s="544" t="str">
        <f>(inputPrYr!B36)</f>
        <v>Street Improvements</v>
      </c>
      <c r="C5" s="419" t="str">
        <f>CONCATENATE("Actual for ",E1-2,"")</f>
        <v>Actual for 2012</v>
      </c>
      <c r="D5" s="419" t="str">
        <f>CONCATENATE("Estimate for ",E1-1,"")</f>
        <v>Estimate for 2013</v>
      </c>
      <c r="E5" s="403" t="str">
        <f>CONCATENATE("Year for ",E1,"")</f>
        <v>Year for 2014</v>
      </c>
    </row>
    <row r="6" spans="2:5" x14ac:dyDescent="0.2">
      <c r="B6" s="244" t="s">
        <v>971</v>
      </c>
      <c r="C6" s="56">
        <v>4662</v>
      </c>
      <c r="D6" s="218">
        <f>C30</f>
        <v>99272</v>
      </c>
      <c r="E6" s="218">
        <f>D30</f>
        <v>93952</v>
      </c>
    </row>
    <row r="7" spans="2:5" x14ac:dyDescent="0.2">
      <c r="B7" s="248" t="s">
        <v>973</v>
      </c>
      <c r="C7" s="76"/>
      <c r="D7" s="76"/>
      <c r="E7" s="76"/>
    </row>
    <row r="8" spans="2:5" x14ac:dyDescent="0.2">
      <c r="B8" s="266" t="s">
        <v>951</v>
      </c>
      <c r="C8" s="56">
        <v>115076</v>
      </c>
      <c r="D8" s="284">
        <f>inputOth!E55</f>
        <v>111580</v>
      </c>
      <c r="E8" s="218">
        <f>inputOth!E53</f>
        <v>115590</v>
      </c>
    </row>
    <row r="9" spans="2:5" x14ac:dyDescent="0.2">
      <c r="B9" s="285" t="s">
        <v>1021</v>
      </c>
      <c r="C9" s="56"/>
      <c r="D9" s="284">
        <f>inputOth!E56</f>
        <v>0</v>
      </c>
      <c r="E9" s="284">
        <f>inputOth!E54</f>
        <v>0</v>
      </c>
    </row>
    <row r="10" spans="2:5" x14ac:dyDescent="0.2">
      <c r="B10" s="265" t="s">
        <v>162</v>
      </c>
      <c r="C10" s="56">
        <v>5100</v>
      </c>
      <c r="D10" s="56">
        <v>5100</v>
      </c>
      <c r="E10" s="56">
        <v>5100</v>
      </c>
    </row>
    <row r="11" spans="2:5" x14ac:dyDescent="0.2">
      <c r="B11" s="265" t="s">
        <v>253</v>
      </c>
      <c r="C11" s="56">
        <v>65786</v>
      </c>
      <c r="D11" s="56"/>
      <c r="E11" s="56"/>
    </row>
    <row r="12" spans="2:5" hidden="1" x14ac:dyDescent="0.2">
      <c r="B12" s="265"/>
      <c r="C12" s="56"/>
      <c r="D12" s="56"/>
      <c r="E12" s="56"/>
    </row>
    <row r="13" spans="2:5" hidden="1" x14ac:dyDescent="0.2">
      <c r="B13" s="253" t="s">
        <v>858</v>
      </c>
      <c r="C13" s="56"/>
      <c r="D13" s="56"/>
      <c r="E13" s="56"/>
    </row>
    <row r="14" spans="2:5" hidden="1" x14ac:dyDescent="0.2">
      <c r="B14" s="150" t="s">
        <v>730</v>
      </c>
      <c r="C14" s="56"/>
      <c r="D14" s="250"/>
      <c r="E14" s="250"/>
    </row>
    <row r="15" spans="2:5" hidden="1" x14ac:dyDescent="0.2">
      <c r="B15" s="244" t="s">
        <v>638</v>
      </c>
      <c r="C15" s="291" t="str">
        <f>IF(C16*0.1&lt;C14,"Exceed 10% Rule","")</f>
        <v/>
      </c>
      <c r="D15" s="255" t="str">
        <f>IF(D16*0.1&lt;D14,"Exceed 10% Rule","")</f>
        <v/>
      </c>
      <c r="E15" s="255" t="str">
        <f>IF(E16*0.1&lt;E14,"Exceed 10% Rule","")</f>
        <v/>
      </c>
    </row>
    <row r="16" spans="2:5" x14ac:dyDescent="0.2">
      <c r="B16" s="256" t="s">
        <v>859</v>
      </c>
      <c r="C16" s="259">
        <f>SUM(C8:C14)</f>
        <v>185962</v>
      </c>
      <c r="D16" s="259">
        <f>SUM(D8:D14)</f>
        <v>116680</v>
      </c>
      <c r="E16" s="259">
        <f>SUM(E8:E14)</f>
        <v>120690</v>
      </c>
    </row>
    <row r="17" spans="2:5" x14ac:dyDescent="0.2">
      <c r="B17" s="256" t="s">
        <v>860</v>
      </c>
      <c r="C17" s="259">
        <f>C6+C16</f>
        <v>190624</v>
      </c>
      <c r="D17" s="259">
        <f>D6+D16</f>
        <v>215952</v>
      </c>
      <c r="E17" s="259">
        <f>E6+E16</f>
        <v>214642</v>
      </c>
    </row>
    <row r="18" spans="2:5" x14ac:dyDescent="0.2">
      <c r="B18" s="141" t="s">
        <v>862</v>
      </c>
      <c r="C18" s="218"/>
      <c r="D18" s="218"/>
      <c r="E18" s="218"/>
    </row>
    <row r="19" spans="2:5" x14ac:dyDescent="0.2">
      <c r="B19" s="265" t="s">
        <v>164</v>
      </c>
      <c r="C19" s="56">
        <v>8134</v>
      </c>
      <c r="D19" s="56"/>
      <c r="E19" s="56"/>
    </row>
    <row r="20" spans="2:5" x14ac:dyDescent="0.2">
      <c r="B20" s="265" t="s">
        <v>165</v>
      </c>
      <c r="C20" s="56">
        <v>11851</v>
      </c>
      <c r="D20" s="56">
        <v>5000</v>
      </c>
      <c r="E20" s="56">
        <v>5000</v>
      </c>
    </row>
    <row r="21" spans="2:5" x14ac:dyDescent="0.2">
      <c r="B21" s="265" t="s">
        <v>166</v>
      </c>
      <c r="C21" s="56">
        <v>53437</v>
      </c>
      <c r="D21" s="56">
        <v>55000</v>
      </c>
      <c r="E21" s="56">
        <v>55000</v>
      </c>
    </row>
    <row r="22" spans="2:5" x14ac:dyDescent="0.2">
      <c r="B22" s="265" t="s">
        <v>167</v>
      </c>
      <c r="C22" s="56">
        <v>17930</v>
      </c>
      <c r="D22" s="56"/>
      <c r="E22" s="56">
        <v>0</v>
      </c>
    </row>
    <row r="23" spans="2:5" x14ac:dyDescent="0.2">
      <c r="B23" s="265" t="s">
        <v>159</v>
      </c>
      <c r="C23" s="56"/>
      <c r="D23" s="56">
        <v>2000</v>
      </c>
      <c r="E23" s="56">
        <v>2000</v>
      </c>
    </row>
    <row r="24" spans="2:5" x14ac:dyDescent="0.2">
      <c r="B24" s="265" t="s">
        <v>168</v>
      </c>
      <c r="C24" s="56"/>
      <c r="D24" s="56"/>
      <c r="E24" s="56">
        <v>30000</v>
      </c>
    </row>
    <row r="25" spans="2:5" x14ac:dyDescent="0.2">
      <c r="B25" s="265" t="s">
        <v>169</v>
      </c>
      <c r="C25" s="56"/>
      <c r="D25" s="56">
        <v>60000</v>
      </c>
      <c r="E25" s="56">
        <v>70000</v>
      </c>
    </row>
    <row r="26" spans="2:5" x14ac:dyDescent="0.2">
      <c r="B26" s="265" t="s">
        <v>254</v>
      </c>
      <c r="C26" s="56"/>
      <c r="D26" s="56"/>
      <c r="E26" s="56">
        <v>20000</v>
      </c>
    </row>
    <row r="27" spans="2:5" hidden="1" x14ac:dyDescent="0.2">
      <c r="B27" s="266" t="s">
        <v>730</v>
      </c>
      <c r="C27" s="56"/>
      <c r="D27" s="250"/>
      <c r="E27" s="250"/>
    </row>
    <row r="28" spans="2:5" hidden="1" x14ac:dyDescent="0.2">
      <c r="B28" s="266" t="s">
        <v>639</v>
      </c>
      <c r="C28" s="291" t="str">
        <f>IF(C29*0.1&lt;C27,"Exceed 10% Rule","")</f>
        <v/>
      </c>
      <c r="D28" s="255" t="str">
        <f>IF(D29*0.1&lt;D27,"Exceed 10% Rule","")</f>
        <v/>
      </c>
      <c r="E28" s="255" t="str">
        <f>IF(E29*0.1&lt;E27,"Exceed 10% Rule","")</f>
        <v/>
      </c>
    </row>
    <row r="29" spans="2:5" x14ac:dyDescent="0.2">
      <c r="B29" s="256" t="s">
        <v>866</v>
      </c>
      <c r="C29" s="259">
        <f>SUM(C19:C27)</f>
        <v>91352</v>
      </c>
      <c r="D29" s="259">
        <f>SUM(D19:D27)</f>
        <v>122000</v>
      </c>
      <c r="E29" s="259">
        <f>SUM(E19:E27)</f>
        <v>182000</v>
      </c>
    </row>
    <row r="30" spans="2:5" x14ac:dyDescent="0.2">
      <c r="B30" s="141" t="s">
        <v>972</v>
      </c>
      <c r="C30" s="71">
        <f>C17-C29</f>
        <v>99272</v>
      </c>
      <c r="D30" s="71">
        <f>D17-D29</f>
        <v>93952</v>
      </c>
      <c r="E30" s="71">
        <f>E17-E29</f>
        <v>32642</v>
      </c>
    </row>
    <row r="31" spans="2:5" x14ac:dyDescent="0.2">
      <c r="B31" s="127" t="str">
        <f>CONCATENATE("",E1-2,"/",E1-1," Budget Authority Amount:")</f>
        <v>2012/2013 Budget Authority Amount:</v>
      </c>
      <c r="C31" s="231">
        <f>inputOth!B77</f>
        <v>120500</v>
      </c>
      <c r="D31" s="231">
        <f>inputPrYr!D36</f>
        <v>129000</v>
      </c>
      <c r="E31" s="373" t="str">
        <f>IF(E30&lt;0,"See Tab E","")</f>
        <v/>
      </c>
    </row>
    <row r="32" spans="2:5" x14ac:dyDescent="0.2">
      <c r="B32" s="127"/>
      <c r="C32" s="269" t="str">
        <f>IF(C29&gt;C31,"See Tab A","")</f>
        <v/>
      </c>
      <c r="D32" s="269" t="str">
        <f>IF(D29&gt;D31,"See Tab C","")</f>
        <v/>
      </c>
      <c r="E32" s="86"/>
    </row>
    <row r="33" spans="2:5" hidden="1" x14ac:dyDescent="0.2">
      <c r="B33" s="127"/>
      <c r="C33" s="269" t="str">
        <f>IF(C30&lt;0,"See Tab B","")</f>
        <v/>
      </c>
      <c r="D33" s="269" t="str">
        <f>IF(D30&lt;0,"See Tab D","")</f>
        <v/>
      </c>
      <c r="E33" s="86"/>
    </row>
    <row r="34" spans="2:5" x14ac:dyDescent="0.2">
      <c r="B34" s="36"/>
      <c r="C34" s="86"/>
      <c r="D34" s="86"/>
      <c r="E34" s="86"/>
    </row>
    <row r="35" spans="2:5" x14ac:dyDescent="0.2">
      <c r="B35" s="41"/>
      <c r="C35" s="286"/>
      <c r="D35" s="286"/>
      <c r="E35" s="286"/>
    </row>
    <row r="36" spans="2:5" x14ac:dyDescent="0.2">
      <c r="B36" s="41" t="s">
        <v>850</v>
      </c>
      <c r="C36" s="271" t="s">
        <v>662</v>
      </c>
      <c r="D36" s="135" t="s">
        <v>663</v>
      </c>
      <c r="E36" s="135" t="s">
        <v>664</v>
      </c>
    </row>
    <row r="37" spans="2:5" x14ac:dyDescent="0.2">
      <c r="B37" s="544" t="str">
        <f>(inputPrYr!B37)</f>
        <v>Refuse</v>
      </c>
      <c r="C37" s="243" t="str">
        <f>C5</f>
        <v>Actual for 2012</v>
      </c>
      <c r="D37" s="243" t="str">
        <f>D5</f>
        <v>Estimate for 2013</v>
      </c>
      <c r="E37" s="243" t="str">
        <f>E5</f>
        <v>Year for 2014</v>
      </c>
    </row>
    <row r="38" spans="2:5" x14ac:dyDescent="0.2">
      <c r="B38" s="244" t="s">
        <v>971</v>
      </c>
      <c r="C38" s="56">
        <v>4725</v>
      </c>
      <c r="D38" s="218">
        <f>C54</f>
        <v>6252</v>
      </c>
      <c r="E38" s="218">
        <f>D54</f>
        <v>6552</v>
      </c>
    </row>
    <row r="39" spans="2:5" x14ac:dyDescent="0.2">
      <c r="B39" s="248" t="s">
        <v>973</v>
      </c>
      <c r="C39" s="76"/>
      <c r="D39" s="76"/>
      <c r="E39" s="76"/>
    </row>
    <row r="40" spans="2:5" x14ac:dyDescent="0.2">
      <c r="B40" s="265" t="s">
        <v>176</v>
      </c>
      <c r="C40" s="56">
        <v>374736</v>
      </c>
      <c r="D40" s="56">
        <v>377000</v>
      </c>
      <c r="E40" s="56">
        <v>380000</v>
      </c>
    </row>
    <row r="41" spans="2:5" hidden="1" x14ac:dyDescent="0.2">
      <c r="B41" s="265"/>
      <c r="C41" s="56"/>
      <c r="D41" s="56"/>
      <c r="E41" s="56"/>
    </row>
    <row r="42" spans="2:5" hidden="1" x14ac:dyDescent="0.2">
      <c r="B42" s="253" t="s">
        <v>858</v>
      </c>
      <c r="C42" s="56"/>
      <c r="D42" s="56"/>
      <c r="E42" s="56"/>
    </row>
    <row r="43" spans="2:5" x14ac:dyDescent="0.2">
      <c r="B43" s="150" t="s">
        <v>730</v>
      </c>
      <c r="C43" s="56">
        <v>180</v>
      </c>
      <c r="D43" s="250"/>
      <c r="E43" s="250"/>
    </row>
    <row r="44" spans="2:5" x14ac:dyDescent="0.2">
      <c r="B44" s="244" t="s">
        <v>638</v>
      </c>
      <c r="C44" s="291" t="str">
        <f>IF(C45*0.1&lt;C43,"Exceed 10% Rule","")</f>
        <v/>
      </c>
      <c r="D44" s="255" t="str">
        <f>IF(D45*0.1&lt;D43,"Exceed 10% Rule","")</f>
        <v/>
      </c>
      <c r="E44" s="255" t="str">
        <f>IF(E45*0.1&lt;E43,"Exceed 10% Rule","")</f>
        <v/>
      </c>
    </row>
    <row r="45" spans="2:5" x14ac:dyDescent="0.2">
      <c r="B45" s="256" t="s">
        <v>859</v>
      </c>
      <c r="C45" s="259">
        <f>SUM(C40:C43)</f>
        <v>374916</v>
      </c>
      <c r="D45" s="259">
        <f>SUM(D40:D43)</f>
        <v>377000</v>
      </c>
      <c r="E45" s="259">
        <f>SUM(E40:E43)</f>
        <v>380000</v>
      </c>
    </row>
    <row r="46" spans="2:5" x14ac:dyDescent="0.2">
      <c r="B46" s="256" t="s">
        <v>860</v>
      </c>
      <c r="C46" s="259">
        <f>C38+C45</f>
        <v>379641</v>
      </c>
      <c r="D46" s="259">
        <f>D38+D45</f>
        <v>383252</v>
      </c>
      <c r="E46" s="259">
        <f>E38+E45</f>
        <v>386552</v>
      </c>
    </row>
    <row r="47" spans="2:5" x14ac:dyDescent="0.2">
      <c r="B47" s="141" t="s">
        <v>862</v>
      </c>
      <c r="C47" s="218"/>
      <c r="D47" s="218"/>
      <c r="E47" s="218"/>
    </row>
    <row r="48" spans="2:5" x14ac:dyDescent="0.2">
      <c r="B48" s="265" t="s">
        <v>177</v>
      </c>
      <c r="C48" s="56">
        <v>372705</v>
      </c>
      <c r="D48" s="56">
        <v>375000</v>
      </c>
      <c r="E48" s="56">
        <v>378000</v>
      </c>
    </row>
    <row r="49" spans="2:5" x14ac:dyDescent="0.2">
      <c r="B49" s="265" t="s">
        <v>255</v>
      </c>
      <c r="C49" s="56">
        <v>575</v>
      </c>
      <c r="D49" s="56">
        <v>1000</v>
      </c>
      <c r="E49" s="56">
        <v>1000</v>
      </c>
    </row>
    <row r="50" spans="2:5" x14ac:dyDescent="0.2">
      <c r="B50" s="265" t="s">
        <v>145</v>
      </c>
      <c r="C50" s="56">
        <v>109</v>
      </c>
      <c r="D50" s="56">
        <v>700</v>
      </c>
      <c r="E50" s="56">
        <v>700</v>
      </c>
    </row>
    <row r="51" spans="2:5" hidden="1" x14ac:dyDescent="0.2">
      <c r="B51" s="266" t="s">
        <v>730</v>
      </c>
      <c r="C51" s="56"/>
      <c r="D51" s="250"/>
      <c r="E51" s="250"/>
    </row>
    <row r="52" spans="2:5" hidden="1" x14ac:dyDescent="0.2">
      <c r="B52" s="266" t="s">
        <v>639</v>
      </c>
      <c r="C52" s="291" t="str">
        <f>IF(C53*0.1&lt;C51,"Exceed 10% Rule","")</f>
        <v/>
      </c>
      <c r="D52" s="255" t="str">
        <f>IF(D53*0.1&lt;D51,"Exceed 10% Rule","")</f>
        <v/>
      </c>
      <c r="E52" s="255" t="str">
        <f>IF(E53*0.1&lt;E51,"Exceed 10% Rule","")</f>
        <v/>
      </c>
    </row>
    <row r="53" spans="2:5" x14ac:dyDescent="0.2">
      <c r="B53" s="256" t="s">
        <v>866</v>
      </c>
      <c r="C53" s="259">
        <f>SUM(C48:C51)</f>
        <v>373389</v>
      </c>
      <c r="D53" s="259">
        <f>SUM(D48:D51)</f>
        <v>376700</v>
      </c>
      <c r="E53" s="259">
        <f>SUM(E48:E51)</f>
        <v>379700</v>
      </c>
    </row>
    <row r="54" spans="2:5" x14ac:dyDescent="0.2">
      <c r="B54" s="141" t="s">
        <v>972</v>
      </c>
      <c r="C54" s="71">
        <f>C46-C53</f>
        <v>6252</v>
      </c>
      <c r="D54" s="71">
        <f>D46-D53</f>
        <v>6552</v>
      </c>
      <c r="E54" s="71">
        <f>E46-E53</f>
        <v>6852</v>
      </c>
    </row>
    <row r="55" spans="2:5" x14ac:dyDescent="0.2">
      <c r="B55" s="127" t="str">
        <f>CONCATENATE("",E1-2,"/",E1-1," Budget Authority Amount:")</f>
        <v>2012/2013 Budget Authority Amount:</v>
      </c>
      <c r="C55" s="231">
        <f>inputOth!B78</f>
        <v>376700</v>
      </c>
      <c r="D55" s="231">
        <f>inputPrYr!D37</f>
        <v>376700</v>
      </c>
      <c r="E55" s="373" t="str">
        <f>IF(E54&lt;0,"See Tab E","")</f>
        <v/>
      </c>
    </row>
    <row r="56" spans="2:5" x14ac:dyDescent="0.2">
      <c r="B56" s="127"/>
      <c r="C56" s="269" t="str">
        <f>IF(C53&gt;C55,"See Tab A","")</f>
        <v/>
      </c>
      <c r="D56" s="269" t="str">
        <f>IF(D53&gt;D55,"See Tab C","")</f>
        <v/>
      </c>
      <c r="E56" s="36"/>
    </row>
    <row r="57" spans="2:5" x14ac:dyDescent="0.2">
      <c r="B57" s="127"/>
      <c r="C57" s="269" t="str">
        <f>IF(C54&lt;0,"See Tab B","")</f>
        <v/>
      </c>
      <c r="D57" s="269" t="str">
        <f>IF(D54&lt;0,"See Tab D","")</f>
        <v/>
      </c>
      <c r="E57" s="36"/>
    </row>
    <row r="58" spans="2:5" x14ac:dyDescent="0.2">
      <c r="B58" s="36"/>
      <c r="C58" s="36"/>
      <c r="D58" s="36"/>
      <c r="E58" s="36"/>
    </row>
    <row r="59" spans="2:5" x14ac:dyDescent="0.2">
      <c r="B59" s="160" t="s">
        <v>869</v>
      </c>
      <c r="C59" s="273">
        <v>17</v>
      </c>
      <c r="D59" s="36"/>
      <c r="E59" s="36"/>
    </row>
  </sheetData>
  <phoneticPr fontId="0" type="noConversion"/>
  <conditionalFormatting sqref="C14">
    <cfRule type="cellIs" dxfId="245" priority="3" stopIfTrue="1" operator="greaterThan">
      <formula>$C$16*0.1</formula>
    </cfRule>
  </conditionalFormatting>
  <conditionalFormatting sqref="D14">
    <cfRule type="cellIs" dxfId="244" priority="4" stopIfTrue="1" operator="greaterThan">
      <formula>$D$16*0.1</formula>
    </cfRule>
  </conditionalFormatting>
  <conditionalFormatting sqref="E14">
    <cfRule type="cellIs" dxfId="243" priority="5" stopIfTrue="1" operator="greaterThan">
      <formula>$E$16*0.1</formula>
    </cfRule>
  </conditionalFormatting>
  <conditionalFormatting sqref="C27">
    <cfRule type="cellIs" dxfId="242" priority="6" stopIfTrue="1" operator="greaterThan">
      <formula>$C$29*0.1</formula>
    </cfRule>
  </conditionalFormatting>
  <conditionalFormatting sqref="D27">
    <cfRule type="cellIs" dxfId="241" priority="7" stopIfTrue="1" operator="greaterThan">
      <formula>$D$29*0.1</formula>
    </cfRule>
  </conditionalFormatting>
  <conditionalFormatting sqref="E27">
    <cfRule type="cellIs" dxfId="240" priority="8" stopIfTrue="1" operator="greaterThan">
      <formula>$E$29*0.1</formula>
    </cfRule>
  </conditionalFormatting>
  <conditionalFormatting sqref="C43">
    <cfRule type="cellIs" dxfId="239" priority="9" stopIfTrue="1" operator="greaterThan">
      <formula>$C$45*0.1</formula>
    </cfRule>
  </conditionalFormatting>
  <conditionalFormatting sqref="D43">
    <cfRule type="cellIs" dxfId="238" priority="10" stopIfTrue="1" operator="greaterThan">
      <formula>$D$45*0.1</formula>
    </cfRule>
  </conditionalFormatting>
  <conditionalFormatting sqref="E43">
    <cfRule type="cellIs" dxfId="237" priority="11" stopIfTrue="1" operator="greaterThan">
      <formula>$E$45*0.1</formula>
    </cfRule>
  </conditionalFormatting>
  <conditionalFormatting sqref="C51">
    <cfRule type="cellIs" dxfId="236" priority="12" stopIfTrue="1" operator="greaterThan">
      <formula>$C$53*0.1</formula>
    </cfRule>
  </conditionalFormatting>
  <conditionalFormatting sqref="D51">
    <cfRule type="cellIs" dxfId="235" priority="13" stopIfTrue="1" operator="greaterThan">
      <formula>$D$53*0.1</formula>
    </cfRule>
  </conditionalFormatting>
  <conditionalFormatting sqref="E51">
    <cfRule type="cellIs" dxfId="234" priority="14" stopIfTrue="1" operator="greaterThan">
      <formula>$E$53*0.1</formula>
    </cfRule>
  </conditionalFormatting>
  <conditionalFormatting sqref="D53">
    <cfRule type="cellIs" dxfId="233" priority="15" stopIfTrue="1" operator="greaterThan">
      <formula>$D$55</formula>
    </cfRule>
  </conditionalFormatting>
  <conditionalFormatting sqref="C53">
    <cfRule type="cellIs" dxfId="232" priority="16" stopIfTrue="1" operator="greaterThan">
      <formula>$C$55</formula>
    </cfRule>
  </conditionalFormatting>
  <conditionalFormatting sqref="C54 E54 C30 E30">
    <cfRule type="cellIs" dxfId="231" priority="17" stopIfTrue="1" operator="lessThan">
      <formula>0</formula>
    </cfRule>
  </conditionalFormatting>
  <conditionalFormatting sqref="D29">
    <cfRule type="cellIs" dxfId="230" priority="18" stopIfTrue="1" operator="greaterThan">
      <formula>$D$31</formula>
    </cfRule>
  </conditionalFormatting>
  <conditionalFormatting sqref="C29">
    <cfRule type="cellIs" dxfId="229" priority="19" stopIfTrue="1" operator="greaterThan">
      <formula>$C$31</formula>
    </cfRule>
  </conditionalFormatting>
  <conditionalFormatting sqref="D30">
    <cfRule type="cellIs" dxfId="228" priority="2" stopIfTrue="1" operator="lessThan">
      <formula>0</formula>
    </cfRule>
  </conditionalFormatting>
  <conditionalFormatting sqref="D54">
    <cfRule type="cellIs" dxfId="227" priority="1" stopIfTrue="1" operator="lessThan">
      <formula>0</formula>
    </cfRule>
  </conditionalFormatting>
  <printOptions horizontalCentered="1"/>
  <pageMargins left="0.5" right="0.5" top="0.5" bottom="0.5" header="0.3" footer="0.3"/>
  <pageSetup scale="91" orientation="portrait" blackAndWhite="1" horizontalDpi="120" verticalDpi="14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8"/>
  <sheetViews>
    <sheetView topLeftCell="A79" zoomScaleNormal="100" workbookViewId="0">
      <selection activeCell="C5" sqref="C5"/>
    </sheetView>
  </sheetViews>
  <sheetFormatPr defaultRowHeight="15.75" x14ac:dyDescent="0.2"/>
  <cols>
    <col min="1" max="1" width="15.77734375" style="34" customWidth="1"/>
    <col min="2" max="2" width="20.77734375" style="34" customWidth="1"/>
    <col min="3" max="3" width="9.77734375" style="34" customWidth="1"/>
    <col min="4" max="4" width="15.109375" style="34" customWidth="1"/>
    <col min="5" max="5" width="15.77734375" style="34" customWidth="1"/>
    <col min="6" max="6" width="1.88671875" style="34" customWidth="1"/>
    <col min="7" max="7" width="18.6640625" style="34" customWidth="1"/>
    <col min="8" max="16384" width="8.88671875" style="34"/>
  </cols>
  <sheetData>
    <row r="1" spans="1:8" x14ac:dyDescent="0.2">
      <c r="A1" s="927" t="s">
        <v>817</v>
      </c>
      <c r="B1" s="928"/>
      <c r="C1" s="928"/>
      <c r="D1" s="928"/>
      <c r="E1" s="928"/>
    </row>
    <row r="2" spans="1:8" x14ac:dyDescent="0.2">
      <c r="A2" s="35" t="s">
        <v>735</v>
      </c>
      <c r="B2" s="36"/>
      <c r="C2" s="36"/>
      <c r="D2" s="37" t="s">
        <v>78</v>
      </c>
      <c r="E2" s="38"/>
    </row>
    <row r="3" spans="1:8" x14ac:dyDescent="0.2">
      <c r="A3" s="35" t="s">
        <v>736</v>
      </c>
      <c r="B3" s="36"/>
      <c r="C3" s="36"/>
      <c r="D3" s="39" t="s">
        <v>77</v>
      </c>
      <c r="E3" s="40"/>
    </row>
    <row r="4" spans="1:8" x14ac:dyDescent="0.2">
      <c r="A4" s="41"/>
      <c r="B4" s="36"/>
      <c r="C4" s="36"/>
      <c r="D4" s="42"/>
      <c r="E4" s="36"/>
    </row>
    <row r="5" spans="1:8" x14ac:dyDescent="0.2">
      <c r="A5" s="35" t="s">
        <v>1013</v>
      </c>
      <c r="B5" s="36"/>
      <c r="C5" s="43">
        <v>2014</v>
      </c>
      <c r="D5" s="42"/>
      <c r="E5" s="36"/>
    </row>
    <row r="6" spans="1:8" x14ac:dyDescent="0.2">
      <c r="A6" s="36"/>
      <c r="B6" s="36"/>
      <c r="C6" s="36"/>
      <c r="D6" s="36"/>
      <c r="E6" s="36"/>
    </row>
    <row r="7" spans="1:8" x14ac:dyDescent="0.2">
      <c r="A7" s="44" t="s">
        <v>1141</v>
      </c>
      <c r="B7" s="45"/>
      <c r="C7" s="45"/>
      <c r="D7" s="45"/>
      <c r="E7" s="45"/>
    </row>
    <row r="8" spans="1:8" x14ac:dyDescent="0.2">
      <c r="A8" s="44" t="s">
        <v>1140</v>
      </c>
      <c r="B8" s="45"/>
      <c r="C8" s="45"/>
      <c r="D8" s="45"/>
      <c r="E8" s="45"/>
      <c r="F8" s="36"/>
      <c r="G8" s="929" t="s">
        <v>763</v>
      </c>
      <c r="H8" s="930"/>
    </row>
    <row r="9" spans="1:8" x14ac:dyDescent="0.2">
      <c r="A9" s="44"/>
      <c r="B9" s="45"/>
      <c r="C9" s="45"/>
      <c r="D9" s="45"/>
      <c r="E9" s="45"/>
      <c r="F9" s="36"/>
      <c r="G9" s="931"/>
      <c r="H9" s="930"/>
    </row>
    <row r="10" spans="1:8" x14ac:dyDescent="0.2">
      <c r="A10" s="925" t="s">
        <v>1073</v>
      </c>
      <c r="B10" s="926"/>
      <c r="C10" s="926"/>
      <c r="D10" s="926"/>
      <c r="E10" s="926"/>
      <c r="F10" s="36"/>
      <c r="G10" s="931"/>
      <c r="H10" s="930"/>
    </row>
    <row r="11" spans="1:8" x14ac:dyDescent="0.2">
      <c r="A11" s="36"/>
      <c r="B11" s="36"/>
      <c r="C11" s="36"/>
      <c r="D11" s="36"/>
      <c r="E11" s="36"/>
      <c r="F11" s="36"/>
      <c r="G11" s="931"/>
      <c r="H11" s="930"/>
    </row>
    <row r="12" spans="1:8" x14ac:dyDescent="0.2">
      <c r="A12" s="46" t="s">
        <v>1074</v>
      </c>
      <c r="B12" s="47"/>
      <c r="C12" s="36"/>
      <c r="D12" s="36"/>
      <c r="E12" s="36"/>
      <c r="F12" s="36"/>
      <c r="G12" s="931"/>
      <c r="H12" s="930"/>
    </row>
    <row r="13" spans="1:8" x14ac:dyDescent="0.2">
      <c r="A13" s="48" t="str">
        <f>CONCATENATE("the ",C5-1," Budget, Certificate Page:")</f>
        <v>the 2013 Budget, Certificate Page:</v>
      </c>
      <c r="B13" s="49"/>
      <c r="C13" s="36"/>
      <c r="D13" s="36"/>
      <c r="E13" s="36"/>
      <c r="F13" s="36"/>
      <c r="G13" s="931"/>
      <c r="H13" s="930"/>
    </row>
    <row r="14" spans="1:8" x14ac:dyDescent="0.2">
      <c r="A14" s="48" t="s">
        <v>1143</v>
      </c>
      <c r="B14" s="49"/>
      <c r="C14" s="36"/>
      <c r="D14" s="36"/>
      <c r="E14" s="36"/>
      <c r="F14" s="36"/>
      <c r="G14" s="65"/>
      <c r="H14" s="876"/>
    </row>
    <row r="15" spans="1:8" x14ac:dyDescent="0.2">
      <c r="A15" s="36"/>
      <c r="B15" s="36"/>
      <c r="C15" s="36"/>
      <c r="D15" s="50">
        <f>C5-1</f>
        <v>2013</v>
      </c>
      <c r="E15" s="50">
        <f>C5-2</f>
        <v>2012</v>
      </c>
      <c r="G15" s="190" t="s">
        <v>764</v>
      </c>
      <c r="H15" s="147" t="s">
        <v>868</v>
      </c>
    </row>
    <row r="16" spans="1:8" x14ac:dyDescent="0.2">
      <c r="A16" s="41" t="s">
        <v>818</v>
      </c>
      <c r="B16" s="36"/>
      <c r="C16" s="51" t="s">
        <v>819</v>
      </c>
      <c r="D16" s="52" t="s">
        <v>1142</v>
      </c>
      <c r="E16" s="52" t="s">
        <v>809</v>
      </c>
      <c r="G16" s="192" t="str">
        <f>CONCATENATE("",E15," Ad Valorem Tax")</f>
        <v>2012 Ad Valorem Tax</v>
      </c>
      <c r="H16" s="877">
        <v>7.3112999999999997E-2</v>
      </c>
    </row>
    <row r="17" spans="1:9" x14ac:dyDescent="0.2">
      <c r="A17" s="36"/>
      <c r="B17" s="53" t="s">
        <v>820</v>
      </c>
      <c r="C17" s="147" t="s">
        <v>975</v>
      </c>
      <c r="D17" s="55">
        <v>2140661</v>
      </c>
      <c r="E17" s="55">
        <v>576535.32764999964</v>
      </c>
      <c r="G17" s="218">
        <f>IF(H16&gt;0,ROUND(E17-(E17*H16),0),0)</f>
        <v>534383</v>
      </c>
      <c r="I17" s="912"/>
    </row>
    <row r="18" spans="1:9" x14ac:dyDescent="0.2">
      <c r="A18" s="36"/>
      <c r="B18" s="53" t="s">
        <v>79</v>
      </c>
      <c r="C18" s="147" t="s">
        <v>1014</v>
      </c>
      <c r="D18" s="56">
        <v>812788</v>
      </c>
      <c r="E18" s="56">
        <v>237409.65000000002</v>
      </c>
      <c r="G18" s="218">
        <f>IF(H16&gt;0,ROUND(E18-(E18*H16),0),0)</f>
        <v>220052</v>
      </c>
    </row>
    <row r="19" spans="1:9" x14ac:dyDescent="0.2">
      <c r="A19" s="36"/>
      <c r="B19" s="53" t="s">
        <v>646</v>
      </c>
      <c r="C19" s="147" t="s">
        <v>647</v>
      </c>
      <c r="D19" s="56">
        <v>126000</v>
      </c>
      <c r="E19" s="56"/>
      <c r="G19" s="218">
        <f>IF(H16&gt;0,ROUND(E19-(E19*H16),0),0)</f>
        <v>0</v>
      </c>
    </row>
    <row r="20" spans="1:9" x14ac:dyDescent="0.2">
      <c r="A20" s="41" t="s">
        <v>821</v>
      </c>
      <c r="B20" s="36"/>
      <c r="C20" s="36"/>
      <c r="D20" s="36"/>
      <c r="E20" s="57"/>
    </row>
    <row r="21" spans="1:9" x14ac:dyDescent="0.25">
      <c r="A21" s="36"/>
      <c r="B21" s="895" t="s">
        <v>81</v>
      </c>
      <c r="C21" s="895" t="s">
        <v>86</v>
      </c>
      <c r="D21" s="56">
        <v>41500</v>
      </c>
      <c r="E21" s="56"/>
      <c r="G21" s="218">
        <f>IF(H16&gt;0,ROUND(E21-(E21*H16),0),0)</f>
        <v>0</v>
      </c>
    </row>
    <row r="22" spans="1:9" x14ac:dyDescent="0.25">
      <c r="A22" s="36"/>
      <c r="B22" s="896" t="s">
        <v>739</v>
      </c>
      <c r="C22" s="896" t="s">
        <v>87</v>
      </c>
      <c r="D22" s="56">
        <v>665752</v>
      </c>
      <c r="E22" s="56">
        <v>509687.6248220228</v>
      </c>
      <c r="G22" s="218">
        <f>IF(H16&gt;0,ROUND(E22-(E22*H16),0),0)</f>
        <v>472423</v>
      </c>
    </row>
    <row r="23" spans="1:9" x14ac:dyDescent="0.25">
      <c r="A23" s="36"/>
      <c r="B23" s="896" t="s">
        <v>82</v>
      </c>
      <c r="C23" s="897" t="s">
        <v>88</v>
      </c>
      <c r="D23" s="56" t="s">
        <v>237</v>
      </c>
      <c r="E23" s="56"/>
      <c r="G23" s="218">
        <f>IF(H16&gt;0,ROUND(E23-(E23*H16),0),0)</f>
        <v>0</v>
      </c>
    </row>
    <row r="24" spans="1:9" x14ac:dyDescent="0.25">
      <c r="A24" s="36"/>
      <c r="B24" s="896" t="s">
        <v>80</v>
      </c>
      <c r="C24" s="897" t="s">
        <v>87</v>
      </c>
      <c r="D24" s="56">
        <v>2419</v>
      </c>
      <c r="E24" s="56"/>
      <c r="G24" s="218">
        <f>IF(H16&gt;0,ROUND(E24-(E24*H16),0),0)</f>
        <v>0</v>
      </c>
    </row>
    <row r="25" spans="1:9" x14ac:dyDescent="0.25">
      <c r="A25" s="36"/>
      <c r="B25" s="896"/>
      <c r="C25" s="380"/>
      <c r="D25" s="56"/>
      <c r="E25" s="56"/>
      <c r="G25" s="218">
        <f>IF(H16&gt;0,ROUND(E25-(E25*H16),0),0)</f>
        <v>0</v>
      </c>
    </row>
    <row r="26" spans="1:9" x14ac:dyDescent="0.25">
      <c r="A26" s="36"/>
      <c r="B26" s="896"/>
      <c r="C26" s="380"/>
      <c r="D26" s="56"/>
      <c r="E26" s="56"/>
      <c r="G26" s="218">
        <f>IF(H16&gt;0,ROUND(E26-(E26*H16),0),0)</f>
        <v>0</v>
      </c>
    </row>
    <row r="27" spans="1:9" x14ac:dyDescent="0.2">
      <c r="A27" s="36"/>
      <c r="B27" s="58"/>
      <c r="C27" s="380"/>
      <c r="D27" s="56"/>
      <c r="E27" s="56"/>
      <c r="G27" s="218">
        <f>IF(H16&gt;0,ROUND(E27-(E27*H16),0),0)</f>
        <v>0</v>
      </c>
    </row>
    <row r="28" spans="1:9" x14ac:dyDescent="0.2">
      <c r="A28" s="36"/>
      <c r="B28" s="58"/>
      <c r="C28" s="380"/>
      <c r="D28" s="56"/>
      <c r="E28" s="56"/>
      <c r="G28" s="218">
        <f>IF(H16&gt;0,ROUND(E28-(E28*H16),0),0)</f>
        <v>0</v>
      </c>
    </row>
    <row r="29" spans="1:9" x14ac:dyDescent="0.2">
      <c r="A29" s="36"/>
      <c r="B29" s="58"/>
      <c r="C29" s="380"/>
      <c r="D29" s="56"/>
      <c r="E29" s="56"/>
      <c r="G29" s="218">
        <f>IF(H16&gt;0,ROUND(E29-(E29*H16),0),0)</f>
        <v>0</v>
      </c>
    </row>
    <row r="30" spans="1:9" x14ac:dyDescent="0.2">
      <c r="A30" s="36"/>
      <c r="B30" s="58"/>
      <c r="C30" s="380"/>
      <c r="D30" s="56"/>
      <c r="E30" s="56"/>
      <c r="G30" s="218">
        <f>IF(H16&gt;0,ROUND(E30-(E30*H16),0),0)</f>
        <v>0</v>
      </c>
    </row>
    <row r="31" spans="1:9" x14ac:dyDescent="0.2">
      <c r="A31" s="59" t="str">
        <f>CONCATENATE("Total Tax Levy Funds for ",C5-1," Budgeted Year")</f>
        <v>Total Tax Levy Funds for 2013 Budgeted Year</v>
      </c>
      <c r="B31" s="60"/>
      <c r="C31" s="61"/>
      <c r="D31" s="62"/>
      <c r="E31" s="63">
        <f>SUM(E17:E30)</f>
        <v>1323632.6024720224</v>
      </c>
    </row>
    <row r="32" spans="1:9" x14ac:dyDescent="0.2">
      <c r="A32" s="429" t="str">
        <f>CONCATENATE("Fund Not Considered Part of the Max Levy Computation for ",C5," Budgeted Year:")</f>
        <v>Fund Not Considered Part of the Max Levy Computation for 2014 Budgeted Year:</v>
      </c>
      <c r="B32" s="65"/>
      <c r="C32" s="65"/>
      <c r="D32" s="66"/>
      <c r="E32" s="57"/>
    </row>
    <row r="33" spans="1:7" x14ac:dyDescent="0.2">
      <c r="A33" s="64"/>
      <c r="B33" s="430" t="s">
        <v>488</v>
      </c>
      <c r="C33" s="432" t="s">
        <v>489</v>
      </c>
      <c r="D33" s="431">
        <v>13456</v>
      </c>
      <c r="E33" s="431">
        <v>0</v>
      </c>
      <c r="G33" s="218">
        <f>IF(H16&gt;0,ROUND(E33-(E33*H16),0),0)</f>
        <v>0</v>
      </c>
    </row>
    <row r="34" spans="1:7" x14ac:dyDescent="0.2">
      <c r="A34" s="64"/>
      <c r="B34" s="65"/>
      <c r="C34" s="65"/>
      <c r="D34" s="66"/>
      <c r="E34" s="57"/>
    </row>
    <row r="35" spans="1:7" x14ac:dyDescent="0.2">
      <c r="A35" s="41" t="s">
        <v>1019</v>
      </c>
      <c r="B35" s="36"/>
      <c r="C35" s="36"/>
      <c r="D35" s="36"/>
      <c r="E35" s="36"/>
    </row>
    <row r="36" spans="1:7" x14ac:dyDescent="0.2">
      <c r="A36" s="36"/>
      <c r="B36" s="54" t="s">
        <v>101</v>
      </c>
      <c r="C36" s="36"/>
      <c r="D36" s="56">
        <v>129000</v>
      </c>
      <c r="E36" s="36"/>
    </row>
    <row r="37" spans="1:7" x14ac:dyDescent="0.25">
      <c r="A37" s="36"/>
      <c r="B37" s="895" t="s">
        <v>91</v>
      </c>
      <c r="C37" s="36"/>
      <c r="D37" s="56">
        <v>376700</v>
      </c>
      <c r="E37" s="36"/>
    </row>
    <row r="38" spans="1:7" x14ac:dyDescent="0.2">
      <c r="A38" s="36"/>
      <c r="B38" s="67" t="s">
        <v>95</v>
      </c>
      <c r="C38" s="36"/>
      <c r="D38" s="56">
        <v>249090</v>
      </c>
      <c r="E38" s="36"/>
    </row>
    <row r="39" spans="1:7" x14ac:dyDescent="0.2">
      <c r="A39" s="36"/>
      <c r="B39" s="67" t="s">
        <v>96</v>
      </c>
      <c r="C39" s="36"/>
      <c r="D39" s="56">
        <v>9897</v>
      </c>
      <c r="E39" s="36"/>
    </row>
    <row r="40" spans="1:7" x14ac:dyDescent="0.25">
      <c r="A40" s="36"/>
      <c r="B40" s="895" t="s">
        <v>85</v>
      </c>
      <c r="C40" s="36"/>
      <c r="D40" s="56">
        <v>46250</v>
      </c>
      <c r="E40" s="36"/>
    </row>
    <row r="41" spans="1:7" x14ac:dyDescent="0.25">
      <c r="A41" s="36"/>
      <c r="B41" s="895"/>
      <c r="C41" s="36"/>
      <c r="D41" s="56"/>
      <c r="E41" s="36"/>
    </row>
    <row r="42" spans="1:7" x14ac:dyDescent="0.25">
      <c r="A42" s="36"/>
      <c r="B42" s="895"/>
      <c r="C42" s="36"/>
      <c r="D42" s="56"/>
      <c r="E42" s="36"/>
    </row>
    <row r="43" spans="1:7" x14ac:dyDescent="0.2">
      <c r="A43" s="36"/>
      <c r="B43" s="67"/>
      <c r="C43" s="36"/>
      <c r="D43" s="56"/>
      <c r="E43" s="36"/>
    </row>
    <row r="44" spans="1:7" x14ac:dyDescent="0.2">
      <c r="A44" s="36"/>
      <c r="B44" s="67"/>
      <c r="C44" s="36"/>
      <c r="D44" s="56"/>
      <c r="E44" s="36"/>
    </row>
    <row r="45" spans="1:7" x14ac:dyDescent="0.2">
      <c r="A45" s="36"/>
      <c r="B45" s="67"/>
      <c r="C45" s="36"/>
      <c r="D45" s="56"/>
      <c r="E45" s="36"/>
    </row>
    <row r="46" spans="1:7" x14ac:dyDescent="0.2">
      <c r="A46" s="36"/>
      <c r="B46" s="67"/>
      <c r="C46" s="36"/>
      <c r="D46" s="56"/>
      <c r="E46" s="36"/>
    </row>
    <row r="47" spans="1:7" x14ac:dyDescent="0.2">
      <c r="A47" s="36"/>
      <c r="B47" s="67"/>
      <c r="C47" s="36"/>
      <c r="D47" s="56"/>
      <c r="E47" s="36"/>
    </row>
    <row r="48" spans="1:7" x14ac:dyDescent="0.2">
      <c r="A48" s="36"/>
      <c r="B48" s="67"/>
      <c r="C48" s="36"/>
      <c r="D48" s="56"/>
      <c r="E48" s="36"/>
    </row>
    <row r="49" spans="1:5" x14ac:dyDescent="0.2">
      <c r="A49" s="36"/>
      <c r="B49" s="67"/>
      <c r="C49" s="36"/>
      <c r="D49" s="56"/>
      <c r="E49" s="36"/>
    </row>
    <row r="50" spans="1:5" x14ac:dyDescent="0.25">
      <c r="A50" s="36"/>
      <c r="B50" s="895"/>
      <c r="C50" s="36"/>
      <c r="D50" s="56"/>
      <c r="E50" s="36"/>
    </row>
    <row r="51" spans="1:5" x14ac:dyDescent="0.2">
      <c r="A51" s="36"/>
      <c r="B51" s="67"/>
      <c r="C51" s="36"/>
      <c r="D51" s="56"/>
      <c r="E51" s="36"/>
    </row>
    <row r="52" spans="1:5" x14ac:dyDescent="0.2">
      <c r="A52" s="36" t="s">
        <v>1045</v>
      </c>
      <c r="B52" s="68"/>
      <c r="C52" s="36"/>
      <c r="D52" s="36"/>
      <c r="E52" s="36"/>
    </row>
    <row r="53" spans="1:5" x14ac:dyDescent="0.25">
      <c r="A53" s="36">
        <v>1</v>
      </c>
      <c r="B53" s="898" t="s">
        <v>89</v>
      </c>
      <c r="C53" s="36"/>
      <c r="D53" s="56">
        <v>814796</v>
      </c>
      <c r="E53" s="36"/>
    </row>
    <row r="54" spans="1:5" x14ac:dyDescent="0.25">
      <c r="A54" s="36">
        <v>2</v>
      </c>
      <c r="B54" s="898" t="s">
        <v>90</v>
      </c>
      <c r="C54" s="36"/>
      <c r="D54" s="56">
        <v>4017520</v>
      </c>
      <c r="E54" s="36"/>
    </row>
    <row r="55" spans="1:5" x14ac:dyDescent="0.25">
      <c r="A55" s="36">
        <v>3</v>
      </c>
      <c r="B55" s="895" t="s">
        <v>92</v>
      </c>
      <c r="C55" s="36"/>
      <c r="D55" s="56">
        <v>836249</v>
      </c>
      <c r="E55" s="36"/>
    </row>
    <row r="56" spans="1:5" x14ac:dyDescent="0.25">
      <c r="A56" s="36">
        <v>4</v>
      </c>
      <c r="B56" s="898" t="s">
        <v>84</v>
      </c>
      <c r="C56" s="36"/>
      <c r="D56" s="56">
        <v>240278</v>
      </c>
      <c r="E56" s="36"/>
    </row>
    <row r="57" spans="1:5" x14ac:dyDescent="0.2">
      <c r="A57" s="59" t="str">
        <f>CONCATENATE("Total Expenditures for ",C5-1," Budgeted Year")</f>
        <v>Total Expenditures for 2013 Budgeted Year</v>
      </c>
      <c r="B57" s="69"/>
      <c r="C57" s="70"/>
      <c r="D57" s="71">
        <f>SUM(D17:D19,D21:D30,D36:D51,D53:D56)</f>
        <v>10508900</v>
      </c>
      <c r="E57" s="36"/>
    </row>
    <row r="58" spans="1:5" x14ac:dyDescent="0.2">
      <c r="A58" s="36" t="s">
        <v>1046</v>
      </c>
      <c r="B58" s="72"/>
      <c r="C58" s="36"/>
      <c r="D58" s="36"/>
      <c r="E58" s="36"/>
    </row>
    <row r="59" spans="1:5" x14ac:dyDescent="0.25">
      <c r="A59" s="36">
        <v>1</v>
      </c>
      <c r="B59" s="895" t="s">
        <v>97</v>
      </c>
      <c r="C59" s="36"/>
      <c r="D59" s="36"/>
      <c r="E59" s="36"/>
    </row>
    <row r="60" spans="1:5" x14ac:dyDescent="0.25">
      <c r="A60" s="36">
        <v>2</v>
      </c>
      <c r="B60" s="895" t="s">
        <v>99</v>
      </c>
      <c r="C60" s="36"/>
      <c r="D60" s="36"/>
      <c r="E60" s="36"/>
    </row>
    <row r="61" spans="1:5" x14ac:dyDescent="0.25">
      <c r="A61" s="36">
        <v>3</v>
      </c>
      <c r="B61" s="895" t="s">
        <v>98</v>
      </c>
      <c r="C61" s="36"/>
      <c r="D61" s="36"/>
      <c r="E61" s="36"/>
    </row>
    <row r="62" spans="1:5" x14ac:dyDescent="0.25">
      <c r="A62" s="36">
        <v>4</v>
      </c>
      <c r="B62" s="895" t="s">
        <v>100</v>
      </c>
      <c r="C62" s="36"/>
      <c r="D62" s="36"/>
      <c r="E62" s="36"/>
    </row>
    <row r="63" spans="1:5" x14ac:dyDescent="0.25">
      <c r="A63" s="36">
        <v>5</v>
      </c>
      <c r="B63" s="895"/>
      <c r="C63" s="36"/>
      <c r="D63" s="36"/>
      <c r="E63" s="36"/>
    </row>
    <row r="64" spans="1:5" x14ac:dyDescent="0.2">
      <c r="A64" s="36" t="s">
        <v>1047</v>
      </c>
      <c r="B64" s="68"/>
      <c r="C64" s="36"/>
      <c r="D64" s="36"/>
      <c r="E64" s="36"/>
    </row>
    <row r="65" spans="1:5" x14ac:dyDescent="0.25">
      <c r="A65" s="36">
        <v>1</v>
      </c>
      <c r="B65" s="898" t="s">
        <v>83</v>
      </c>
      <c r="C65" s="36"/>
      <c r="D65" s="36"/>
      <c r="E65" s="36"/>
    </row>
    <row r="66" spans="1:5" x14ac:dyDescent="0.2">
      <c r="A66" s="36">
        <v>2</v>
      </c>
      <c r="B66" s="67" t="s">
        <v>93</v>
      </c>
      <c r="C66" s="36"/>
      <c r="D66" s="36"/>
      <c r="E66" s="36"/>
    </row>
    <row r="67" spans="1:5" x14ac:dyDescent="0.2">
      <c r="A67" s="36">
        <v>3</v>
      </c>
      <c r="B67" s="67" t="s">
        <v>94</v>
      </c>
      <c r="C67" s="36"/>
      <c r="D67" s="36"/>
      <c r="E67" s="36"/>
    </row>
    <row r="68" spans="1:5" x14ac:dyDescent="0.2">
      <c r="A68" s="36">
        <v>4</v>
      </c>
      <c r="B68" s="67" t="s">
        <v>106</v>
      </c>
      <c r="C68" s="36"/>
      <c r="D68" s="36"/>
      <c r="E68" s="36"/>
    </row>
    <row r="69" spans="1:5" x14ac:dyDescent="0.2">
      <c r="A69" s="36">
        <v>5</v>
      </c>
      <c r="B69" s="67" t="s">
        <v>239</v>
      </c>
      <c r="C69" s="36"/>
      <c r="D69" s="36"/>
      <c r="E69" s="36"/>
    </row>
    <row r="70" spans="1:5" x14ac:dyDescent="0.2">
      <c r="A70" s="36" t="s">
        <v>1048</v>
      </c>
      <c r="B70" s="68"/>
      <c r="C70" s="36"/>
      <c r="D70" s="36"/>
      <c r="E70" s="36"/>
    </row>
    <row r="71" spans="1:5" x14ac:dyDescent="0.2">
      <c r="A71" s="36">
        <v>1</v>
      </c>
      <c r="B71" s="67" t="s">
        <v>102</v>
      </c>
      <c r="C71" s="36"/>
      <c r="D71" s="36"/>
      <c r="E71" s="36"/>
    </row>
    <row r="72" spans="1:5" x14ac:dyDescent="0.2">
      <c r="A72" s="36">
        <v>2</v>
      </c>
      <c r="B72" s="67" t="s">
        <v>103</v>
      </c>
      <c r="C72" s="36"/>
      <c r="D72" s="36"/>
      <c r="E72" s="36"/>
    </row>
    <row r="73" spans="1:5" x14ac:dyDescent="0.2">
      <c r="A73" s="36">
        <v>3</v>
      </c>
      <c r="B73" s="67" t="s">
        <v>104</v>
      </c>
      <c r="C73" s="36"/>
      <c r="D73" s="36"/>
      <c r="E73" s="36"/>
    </row>
    <row r="74" spans="1:5" x14ac:dyDescent="0.2">
      <c r="A74" s="36">
        <v>4</v>
      </c>
      <c r="B74" s="67" t="s">
        <v>105</v>
      </c>
      <c r="C74" s="36"/>
      <c r="D74" s="36"/>
      <c r="E74" s="36"/>
    </row>
    <row r="75" spans="1:5" x14ac:dyDescent="0.2">
      <c r="A75" s="36">
        <v>5</v>
      </c>
      <c r="B75" s="67" t="s">
        <v>310</v>
      </c>
      <c r="C75" s="36"/>
      <c r="D75" s="36"/>
      <c r="E75" s="36"/>
    </row>
    <row r="76" spans="1:5" x14ac:dyDescent="0.2">
      <c r="A76" s="36" t="s">
        <v>1049</v>
      </c>
      <c r="B76" s="68"/>
      <c r="C76" s="36"/>
      <c r="D76" s="36"/>
      <c r="E76" s="36"/>
    </row>
    <row r="77" spans="1:5" x14ac:dyDescent="0.25">
      <c r="A77" s="36">
        <v>1</v>
      </c>
      <c r="B77" s="895"/>
      <c r="C77" s="36"/>
      <c r="D77" s="36"/>
      <c r="E77" s="36"/>
    </row>
    <row r="78" spans="1:5" x14ac:dyDescent="0.2">
      <c r="A78" s="36">
        <v>2</v>
      </c>
      <c r="B78" s="67"/>
      <c r="C78" s="36"/>
      <c r="D78" s="36"/>
      <c r="E78" s="36"/>
    </row>
    <row r="79" spans="1:5" x14ac:dyDescent="0.2">
      <c r="A79" s="36">
        <v>3</v>
      </c>
      <c r="B79" s="67"/>
      <c r="C79" s="36"/>
      <c r="D79" s="36"/>
      <c r="E79" s="36"/>
    </row>
    <row r="80" spans="1:5" x14ac:dyDescent="0.2">
      <c r="A80" s="36">
        <v>4</v>
      </c>
      <c r="B80" s="67"/>
      <c r="C80" s="36"/>
      <c r="D80" s="36"/>
      <c r="E80" s="36"/>
    </row>
    <row r="81" spans="1:5" x14ac:dyDescent="0.2">
      <c r="A81" s="36">
        <v>5</v>
      </c>
      <c r="B81" s="67"/>
      <c r="C81" s="36"/>
      <c r="D81" s="36"/>
      <c r="E81" s="36"/>
    </row>
    <row r="82" spans="1:5" x14ac:dyDescent="0.2">
      <c r="A82" s="64"/>
      <c r="B82" s="65"/>
      <c r="C82" s="65"/>
      <c r="D82" s="65"/>
      <c r="E82" s="73"/>
    </row>
    <row r="83" spans="1:5" x14ac:dyDescent="0.2">
      <c r="A83" s="36"/>
      <c r="B83" s="36"/>
      <c r="C83" s="36"/>
      <c r="D83" s="36"/>
      <c r="E83" s="36"/>
    </row>
    <row r="84" spans="1:5" x14ac:dyDescent="0.2">
      <c r="A84" s="36"/>
      <c r="B84" s="36"/>
      <c r="C84" s="36"/>
      <c r="D84" s="74" t="str">
        <f>CONCATENATE("",C5-3," Tax Rate")</f>
        <v>2011 Tax Rate</v>
      </c>
      <c r="E84" s="36"/>
    </row>
    <row r="85" spans="1:5" x14ac:dyDescent="0.2">
      <c r="A85" s="48" t="str">
        <f>CONCATENATE("From the ",C5-1," Budget, Budget Summary Page")</f>
        <v>From the 2013 Budget, Budget Summary Page</v>
      </c>
      <c r="B85" s="49"/>
      <c r="C85" s="36"/>
      <c r="D85" s="75" t="str">
        <f>CONCATENATE("(",C5-2," Column)")</f>
        <v>(2012 Column)</v>
      </c>
      <c r="E85" s="36"/>
    </row>
    <row r="86" spans="1:5" x14ac:dyDescent="0.2">
      <c r="A86" s="36"/>
      <c r="B86" s="76" t="str">
        <f>B17</f>
        <v>General</v>
      </c>
      <c r="C86" s="36"/>
      <c r="D86" s="67">
        <v>22.364999999999998</v>
      </c>
      <c r="E86" s="36"/>
    </row>
    <row r="87" spans="1:5" x14ac:dyDescent="0.2">
      <c r="A87" s="36"/>
      <c r="B87" s="76" t="str">
        <f>B18</f>
        <v>Bond &amp; Interest</v>
      </c>
      <c r="C87" s="36"/>
      <c r="D87" s="67">
        <v>10.945</v>
      </c>
      <c r="E87" s="36"/>
    </row>
    <row r="88" spans="1:5" x14ac:dyDescent="0.2">
      <c r="A88" s="36"/>
      <c r="B88" s="76" t="str">
        <f>B19</f>
        <v>Library</v>
      </c>
      <c r="C88" s="36"/>
      <c r="D88" s="67"/>
      <c r="E88" s="36"/>
    </row>
    <row r="89" spans="1:5" x14ac:dyDescent="0.2">
      <c r="A89" s="36"/>
      <c r="B89" s="76" t="str">
        <f>B21</f>
        <v>Industrial</v>
      </c>
      <c r="C89" s="36"/>
      <c r="D89" s="67"/>
      <c r="E89" s="36"/>
    </row>
    <row r="90" spans="1:5" x14ac:dyDescent="0.2">
      <c r="A90" s="36"/>
      <c r="B90" s="76" t="str">
        <f t="shared" ref="B90:B98" si="0">B22</f>
        <v>Employee Benefits</v>
      </c>
      <c r="C90" s="36"/>
      <c r="D90" s="67">
        <v>19.922999999999998</v>
      </c>
      <c r="E90" s="36"/>
    </row>
    <row r="91" spans="1:5" x14ac:dyDescent="0.2">
      <c r="A91" s="36"/>
      <c r="B91" s="76" t="str">
        <f t="shared" si="0"/>
        <v>Public Safety Equipment</v>
      </c>
      <c r="C91" s="36"/>
      <c r="D91" s="67"/>
      <c r="E91" s="36"/>
    </row>
    <row r="92" spans="1:5" x14ac:dyDescent="0.2">
      <c r="A92" s="36"/>
      <c r="B92" s="76" t="str">
        <f t="shared" si="0"/>
        <v>Recreation Employee Benefits</v>
      </c>
      <c r="C92" s="36"/>
      <c r="D92" s="67">
        <v>0.501</v>
      </c>
      <c r="E92" s="36"/>
    </row>
    <row r="93" spans="1:5" x14ac:dyDescent="0.2">
      <c r="A93" s="36"/>
      <c r="B93" s="76">
        <f t="shared" si="0"/>
        <v>0</v>
      </c>
      <c r="C93" s="36"/>
      <c r="D93" s="67"/>
      <c r="E93" s="36"/>
    </row>
    <row r="94" spans="1:5" x14ac:dyDescent="0.2">
      <c r="A94" s="36"/>
      <c r="B94" s="76">
        <f t="shared" si="0"/>
        <v>0</v>
      </c>
      <c r="C94" s="36"/>
      <c r="D94" s="67"/>
      <c r="E94" s="36"/>
    </row>
    <row r="95" spans="1:5" x14ac:dyDescent="0.2">
      <c r="A95" s="36"/>
      <c r="B95" s="76">
        <f t="shared" si="0"/>
        <v>0</v>
      </c>
      <c r="C95" s="36"/>
      <c r="D95" s="67"/>
      <c r="E95" s="36"/>
    </row>
    <row r="96" spans="1:5" x14ac:dyDescent="0.2">
      <c r="A96" s="36"/>
      <c r="B96" s="76">
        <f t="shared" si="0"/>
        <v>0</v>
      </c>
      <c r="C96" s="36"/>
      <c r="D96" s="67"/>
      <c r="E96" s="36"/>
    </row>
    <row r="97" spans="1:5" x14ac:dyDescent="0.2">
      <c r="A97" s="36"/>
      <c r="B97" s="76">
        <f t="shared" si="0"/>
        <v>0</v>
      </c>
      <c r="C97" s="36"/>
      <c r="D97" s="67"/>
      <c r="E97" s="36"/>
    </row>
    <row r="98" spans="1:5" x14ac:dyDescent="0.2">
      <c r="A98" s="36"/>
      <c r="B98" s="76">
        <f t="shared" si="0"/>
        <v>0</v>
      </c>
      <c r="C98" s="36"/>
      <c r="D98" s="67"/>
      <c r="E98" s="36"/>
    </row>
    <row r="99" spans="1:5" x14ac:dyDescent="0.2">
      <c r="A99" s="36"/>
      <c r="B99" s="150" t="str">
        <f>B33</f>
        <v>Recreation</v>
      </c>
      <c r="C99" s="144"/>
      <c r="D99" s="67">
        <v>4</v>
      </c>
      <c r="E99" s="36"/>
    </row>
    <row r="100" spans="1:5" x14ac:dyDescent="0.2">
      <c r="A100" s="59" t="s">
        <v>822</v>
      </c>
      <c r="B100" s="60"/>
      <c r="C100" s="70"/>
      <c r="D100" s="77">
        <f>SUM(D86:D99)</f>
        <v>57.734000000000002</v>
      </c>
      <c r="E100" s="36"/>
    </row>
    <row r="101" spans="1:5" x14ac:dyDescent="0.2">
      <c r="A101" s="36"/>
      <c r="B101" s="36"/>
      <c r="C101" s="36"/>
      <c r="D101" s="36"/>
      <c r="E101" s="36"/>
    </row>
    <row r="102" spans="1:5" x14ac:dyDescent="0.2">
      <c r="A102" s="78" t="str">
        <f>CONCATENATE("Total Tax Levied (",C5-2," budget column)")</f>
        <v>Total Tax Levied (2012 budget column)</v>
      </c>
      <c r="B102" s="79"/>
      <c r="C102" s="60"/>
      <c r="D102" s="70"/>
      <c r="E102" s="56">
        <v>1236166</v>
      </c>
    </row>
    <row r="103" spans="1:5" x14ac:dyDescent="0.2">
      <c r="A103" s="80" t="str">
        <f>CONCATENATE("Assessed Valuation  (",C5-2," budget column)")</f>
        <v>Assessed Valuation  (2012 budget column)</v>
      </c>
      <c r="B103" s="81"/>
      <c r="C103" s="61"/>
      <c r="D103" s="82"/>
      <c r="E103" s="56">
        <v>23005714</v>
      </c>
    </row>
    <row r="104" spans="1:5" x14ac:dyDescent="0.2">
      <c r="A104" s="64"/>
      <c r="B104" s="65"/>
      <c r="C104" s="65"/>
      <c r="D104" s="65"/>
      <c r="E104" s="73"/>
    </row>
    <row r="105" spans="1:5" x14ac:dyDescent="0.2">
      <c r="A105" s="83" t="str">
        <f>CONCATENATE("From the ",C5-1," Budget, Budget Summary Page")</f>
        <v>From the 2013 Budget, Budget Summary Page</v>
      </c>
      <c r="B105" s="84"/>
      <c r="C105" s="36"/>
      <c r="D105" s="85"/>
      <c r="E105" s="86"/>
    </row>
    <row r="106" spans="1:5" x14ac:dyDescent="0.2">
      <c r="A106" s="47" t="s">
        <v>720</v>
      </c>
      <c r="B106" s="47"/>
      <c r="C106" s="87"/>
      <c r="D106" s="88">
        <f>C5-3</f>
        <v>2011</v>
      </c>
      <c r="E106" s="89">
        <f>C5-2</f>
        <v>2012</v>
      </c>
    </row>
    <row r="107" spans="1:5" x14ac:dyDescent="0.2">
      <c r="A107" s="90" t="s">
        <v>1015</v>
      </c>
      <c r="B107" s="90"/>
      <c r="C107" s="91"/>
      <c r="D107" s="92">
        <v>6121000</v>
      </c>
      <c r="E107" s="92">
        <v>6055000</v>
      </c>
    </row>
    <row r="108" spans="1:5" x14ac:dyDescent="0.2">
      <c r="A108" s="93" t="s">
        <v>1016</v>
      </c>
      <c r="B108" s="93"/>
      <c r="C108" s="94"/>
      <c r="D108" s="92">
        <v>0</v>
      </c>
      <c r="E108" s="92">
        <v>0</v>
      </c>
    </row>
    <row r="109" spans="1:5" x14ac:dyDescent="0.2">
      <c r="A109" s="93" t="s">
        <v>1017</v>
      </c>
      <c r="B109" s="93"/>
      <c r="C109" s="94"/>
      <c r="D109" s="92">
        <v>2336772</v>
      </c>
      <c r="E109" s="92">
        <v>2101171.04</v>
      </c>
    </row>
    <row r="110" spans="1:5" x14ac:dyDescent="0.2">
      <c r="A110" s="93" t="s">
        <v>1018</v>
      </c>
      <c r="B110" s="93"/>
      <c r="C110" s="94"/>
      <c r="D110" s="92">
        <v>192452</v>
      </c>
      <c r="E110" s="92">
        <v>156849</v>
      </c>
    </row>
    <row r="111" spans="1:5" x14ac:dyDescent="0.2">
      <c r="A111" s="95"/>
      <c r="B111" s="95"/>
      <c r="C111" s="95"/>
      <c r="D111" s="95"/>
      <c r="E111" s="95"/>
    </row>
    <row r="112" spans="1:5" x14ac:dyDescent="0.2">
      <c r="A112" s="95"/>
      <c r="B112" s="95"/>
      <c r="C112" s="95"/>
      <c r="D112" s="95"/>
      <c r="E112" s="95"/>
    </row>
    <row r="113" spans="1:5" x14ac:dyDescent="0.2">
      <c r="A113" s="95"/>
      <c r="B113" s="95"/>
      <c r="C113" s="95"/>
      <c r="D113" s="95"/>
      <c r="E113" s="95"/>
    </row>
    <row r="114" spans="1:5" x14ac:dyDescent="0.2">
      <c r="A114" s="95"/>
      <c r="B114" s="95"/>
      <c r="C114" s="95"/>
      <c r="D114" s="95"/>
      <c r="E114" s="95"/>
    </row>
    <row r="115" spans="1:5" x14ac:dyDescent="0.2">
      <c r="A115" s="95"/>
      <c r="B115" s="95"/>
      <c r="C115" s="95"/>
      <c r="D115" s="95"/>
      <c r="E115" s="95"/>
    </row>
    <row r="116" spans="1:5" x14ac:dyDescent="0.2">
      <c r="A116" s="95"/>
      <c r="B116" s="95"/>
      <c r="C116" s="95"/>
      <c r="D116" s="95"/>
      <c r="E116" s="95"/>
    </row>
    <row r="117" spans="1:5" s="95" customFormat="1" ht="15" x14ac:dyDescent="0.2"/>
    <row r="118" spans="1:5" x14ac:dyDescent="0.2">
      <c r="A118" s="95"/>
      <c r="B118" s="95"/>
      <c r="C118" s="95"/>
      <c r="D118" s="95"/>
      <c r="E118" s="95"/>
    </row>
    <row r="119" spans="1:5" x14ac:dyDescent="0.2">
      <c r="A119" s="95"/>
      <c r="B119" s="95"/>
      <c r="C119" s="95"/>
      <c r="D119" s="95"/>
      <c r="E119" s="95"/>
    </row>
    <row r="120" spans="1:5" x14ac:dyDescent="0.2">
      <c r="A120" s="95"/>
      <c r="B120" s="95"/>
      <c r="C120" s="95"/>
      <c r="D120" s="95"/>
      <c r="E120" s="95"/>
    </row>
    <row r="121" spans="1:5" x14ac:dyDescent="0.2">
      <c r="A121" s="95"/>
      <c r="B121" s="95"/>
      <c r="C121" s="95"/>
      <c r="D121" s="95"/>
      <c r="E121" s="95"/>
    </row>
    <row r="122" spans="1:5" x14ac:dyDescent="0.2">
      <c r="A122" s="95"/>
      <c r="B122" s="95"/>
      <c r="C122" s="95"/>
      <c r="D122" s="95"/>
      <c r="E122" s="95"/>
    </row>
    <row r="123" spans="1:5" x14ac:dyDescent="0.2">
      <c r="A123" s="95"/>
      <c r="B123" s="95"/>
      <c r="C123" s="95"/>
      <c r="D123" s="95"/>
      <c r="E123" s="95"/>
    </row>
    <row r="124" spans="1:5" x14ac:dyDescent="0.2">
      <c r="A124" s="95"/>
      <c r="B124" s="95"/>
      <c r="C124" s="95"/>
      <c r="D124" s="95"/>
      <c r="E124" s="95"/>
    </row>
    <row r="125" spans="1:5" x14ac:dyDescent="0.2">
      <c r="A125" s="95"/>
      <c r="B125" s="95"/>
      <c r="C125" s="95"/>
      <c r="D125" s="95"/>
      <c r="E125" s="95"/>
    </row>
    <row r="126" spans="1:5" x14ac:dyDescent="0.2">
      <c r="A126" s="95"/>
      <c r="B126" s="95"/>
      <c r="C126" s="95"/>
      <c r="D126" s="95"/>
      <c r="E126" s="95"/>
    </row>
    <row r="127" spans="1:5" x14ac:dyDescent="0.2">
      <c r="A127" s="95"/>
      <c r="B127" s="95"/>
      <c r="C127" s="95"/>
      <c r="D127" s="95"/>
      <c r="E127" s="95"/>
    </row>
    <row r="128" spans="1:5" x14ac:dyDescent="0.2">
      <c r="A128" s="95"/>
      <c r="B128" s="95"/>
      <c r="C128" s="95"/>
      <c r="D128" s="95"/>
      <c r="E128" s="95"/>
    </row>
  </sheetData>
  <sheetProtection sheet="1"/>
  <mergeCells count="3">
    <mergeCell ref="A10:E10"/>
    <mergeCell ref="A1:E1"/>
    <mergeCell ref="G8:H13"/>
  </mergeCells>
  <phoneticPr fontId="0" type="noConversion"/>
  <pageMargins left="0.5" right="0.5" top="1" bottom="0.5" header="0.5" footer="0.25"/>
  <pageSetup scale="69" fitToHeight="2"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1"/>
  <sheetViews>
    <sheetView view="pageBreakPreview" topLeftCell="A13" zoomScale="60" zoomScaleNormal="100" workbookViewId="0">
      <selection activeCell="C61" sqref="C61"/>
    </sheetView>
  </sheetViews>
  <sheetFormatPr defaultRowHeight="15.75" x14ac:dyDescent="0.2"/>
  <cols>
    <col min="1" max="1" width="2.44140625" style="34" customWidth="1"/>
    <col min="2" max="2" width="31.109375" style="34" customWidth="1"/>
    <col min="3" max="4" width="15.77734375" style="34" customWidth="1"/>
    <col min="5" max="5" width="16.33203125" style="34" customWidth="1"/>
    <col min="6" max="16384" width="8.88671875" style="34"/>
  </cols>
  <sheetData>
    <row r="1" spans="2:5" x14ac:dyDescent="0.2">
      <c r="B1" s="188" t="str">
        <f>(inputPrYr!D2)</f>
        <v>City of Osawatomie</v>
      </c>
      <c r="C1" s="36"/>
      <c r="D1" s="36"/>
      <c r="E1" s="238">
        <f>inputPrYr!C5</f>
        <v>2014</v>
      </c>
    </row>
    <row r="2" spans="2:5" x14ac:dyDescent="0.2">
      <c r="B2" s="36"/>
      <c r="C2" s="36"/>
      <c r="D2" s="36"/>
      <c r="E2" s="160"/>
    </row>
    <row r="3" spans="2:5" x14ac:dyDescent="0.2">
      <c r="B3" s="239" t="s">
        <v>918</v>
      </c>
      <c r="C3" s="280"/>
      <c r="D3" s="280"/>
      <c r="E3" s="280"/>
    </row>
    <row r="4" spans="2:5" x14ac:dyDescent="0.2">
      <c r="B4" s="41" t="s">
        <v>850</v>
      </c>
      <c r="C4" s="418" t="s">
        <v>662</v>
      </c>
      <c r="D4" s="417" t="s">
        <v>663</v>
      </c>
      <c r="E4" s="394" t="s">
        <v>664</v>
      </c>
    </row>
    <row r="5" spans="2:5" x14ac:dyDescent="0.2">
      <c r="B5" s="544" t="str">
        <f>(inputPrYr!B38)</f>
        <v>Golf Course</v>
      </c>
      <c r="C5" s="419" t="str">
        <f>CONCATENATE("Actual for ",E1-2,"")</f>
        <v>Actual for 2012</v>
      </c>
      <c r="D5" s="419" t="str">
        <f>CONCATENATE("Estimate for ",E1-1,"")</f>
        <v>Estimate for 2013</v>
      </c>
      <c r="E5" s="403" t="str">
        <f>CONCATENATE("Year for ",E1,"")</f>
        <v>Year for 2014</v>
      </c>
    </row>
    <row r="6" spans="2:5" x14ac:dyDescent="0.2">
      <c r="B6" s="244" t="s">
        <v>971</v>
      </c>
      <c r="C6" s="56">
        <v>3328</v>
      </c>
      <c r="D6" s="218">
        <f>C33</f>
        <v>4804</v>
      </c>
      <c r="E6" s="218">
        <f>D33</f>
        <v>2347.8400000000256</v>
      </c>
    </row>
    <row r="7" spans="2:5" x14ac:dyDescent="0.2">
      <c r="B7" s="248" t="s">
        <v>973</v>
      </c>
      <c r="C7" s="76"/>
      <c r="D7" s="76"/>
      <c r="E7" s="76"/>
    </row>
    <row r="8" spans="2:5" x14ac:dyDescent="0.2">
      <c r="B8" s="265" t="s">
        <v>179</v>
      </c>
      <c r="C8" s="56">
        <v>57133</v>
      </c>
      <c r="D8" s="56">
        <v>58684</v>
      </c>
      <c r="E8" s="56">
        <v>58684</v>
      </c>
    </row>
    <row r="9" spans="2:5" x14ac:dyDescent="0.2">
      <c r="B9" s="265" t="s">
        <v>180</v>
      </c>
      <c r="C9" s="56">
        <v>70046</v>
      </c>
      <c r="D9" s="56">
        <v>72993</v>
      </c>
      <c r="E9" s="56">
        <v>78728</v>
      </c>
    </row>
    <row r="10" spans="2:5" x14ac:dyDescent="0.2">
      <c r="B10" s="265" t="s">
        <v>181</v>
      </c>
      <c r="C10" s="56">
        <v>23488</v>
      </c>
      <c r="D10" s="56">
        <v>25618</v>
      </c>
      <c r="E10" s="56">
        <v>25618</v>
      </c>
    </row>
    <row r="11" spans="2:5" x14ac:dyDescent="0.2">
      <c r="B11" s="265" t="s">
        <v>182</v>
      </c>
      <c r="C11" s="56">
        <v>39338</v>
      </c>
      <c r="D11" s="56">
        <v>42876</v>
      </c>
      <c r="E11" s="56">
        <v>42877</v>
      </c>
    </row>
    <row r="12" spans="2:5" x14ac:dyDescent="0.2">
      <c r="B12" s="265" t="s">
        <v>730</v>
      </c>
      <c r="C12" s="56">
        <v>21189</v>
      </c>
      <c r="D12" s="56">
        <v>9700</v>
      </c>
      <c r="E12" s="56">
        <v>9700</v>
      </c>
    </row>
    <row r="13" spans="2:5" x14ac:dyDescent="0.2">
      <c r="B13" s="265" t="s">
        <v>163</v>
      </c>
      <c r="C13" s="56">
        <v>45000</v>
      </c>
      <c r="D13" s="56">
        <v>45000</v>
      </c>
      <c r="E13" s="56">
        <v>45000</v>
      </c>
    </row>
    <row r="14" spans="2:5" x14ac:dyDescent="0.2">
      <c r="B14" s="265" t="s">
        <v>256</v>
      </c>
      <c r="C14" s="56"/>
      <c r="D14" s="56">
        <v>41000</v>
      </c>
      <c r="E14" s="56"/>
    </row>
    <row r="15" spans="2:5" hidden="1" x14ac:dyDescent="0.2">
      <c r="B15" s="253" t="s">
        <v>858</v>
      </c>
      <c r="C15" s="56"/>
      <c r="D15" s="56"/>
      <c r="E15" s="56"/>
    </row>
    <row r="16" spans="2:5" hidden="1" x14ac:dyDescent="0.2">
      <c r="B16" s="150" t="s">
        <v>730</v>
      </c>
      <c r="C16" s="56"/>
      <c r="D16" s="250"/>
      <c r="E16" s="250"/>
    </row>
    <row r="17" spans="2:5" hidden="1" x14ac:dyDescent="0.2">
      <c r="B17" s="244" t="s">
        <v>638</v>
      </c>
      <c r="C17" s="291" t="str">
        <f>IF(C18*0.1&lt;C16,"Exceed 10% Rule","")</f>
        <v/>
      </c>
      <c r="D17" s="255" t="str">
        <f>IF(D18*0.1&lt;D16,"Exceed 10% Rule","")</f>
        <v/>
      </c>
      <c r="E17" s="255" t="str">
        <f>IF(E18*0.1&lt;E16,"Exceed 10% Rule","")</f>
        <v/>
      </c>
    </row>
    <row r="18" spans="2:5" x14ac:dyDescent="0.2">
      <c r="B18" s="256" t="s">
        <v>859</v>
      </c>
      <c r="C18" s="259">
        <f>SUM(C8:C16)</f>
        <v>256194</v>
      </c>
      <c r="D18" s="259">
        <f>SUM(D8:D16)</f>
        <v>295871</v>
      </c>
      <c r="E18" s="259">
        <f>SUM(E8:E16)</f>
        <v>260607</v>
      </c>
    </row>
    <row r="19" spans="2:5" x14ac:dyDescent="0.2">
      <c r="B19" s="256" t="s">
        <v>860</v>
      </c>
      <c r="C19" s="259">
        <f>C6+C18</f>
        <v>259522</v>
      </c>
      <c r="D19" s="259">
        <f>D6+D18</f>
        <v>300675</v>
      </c>
      <c r="E19" s="259">
        <f>E6+E18</f>
        <v>262954.84000000003</v>
      </c>
    </row>
    <row r="20" spans="2:5" x14ac:dyDescent="0.2">
      <c r="B20" s="141" t="s">
        <v>862</v>
      </c>
      <c r="C20" s="218"/>
      <c r="D20" s="218"/>
      <c r="E20" s="218"/>
    </row>
    <row r="21" spans="2:5" x14ac:dyDescent="0.2">
      <c r="B21" s="265" t="s">
        <v>1020</v>
      </c>
      <c r="C21" s="56">
        <v>120680</v>
      </c>
      <c r="D21" s="56">
        <v>121453.15999999999</v>
      </c>
      <c r="E21" s="56">
        <v>122584.78599999999</v>
      </c>
    </row>
    <row r="22" spans="2:5" x14ac:dyDescent="0.2">
      <c r="B22" s="265" t="s">
        <v>183</v>
      </c>
      <c r="C22" s="56">
        <v>15998</v>
      </c>
      <c r="D22" s="56">
        <v>17253</v>
      </c>
      <c r="E22" s="56">
        <v>18116</v>
      </c>
    </row>
    <row r="23" spans="2:5" x14ac:dyDescent="0.2">
      <c r="B23" s="265" t="s">
        <v>184</v>
      </c>
      <c r="C23" s="56">
        <v>5292</v>
      </c>
      <c r="D23" s="56">
        <v>5250</v>
      </c>
      <c r="E23" s="56">
        <v>5250</v>
      </c>
    </row>
    <row r="24" spans="2:5" x14ac:dyDescent="0.2">
      <c r="B24" s="265" t="s">
        <v>185</v>
      </c>
      <c r="C24" s="56">
        <v>14970</v>
      </c>
      <c r="D24" s="56">
        <v>15000</v>
      </c>
      <c r="E24" s="56">
        <v>14000</v>
      </c>
    </row>
    <row r="25" spans="2:5" x14ac:dyDescent="0.2">
      <c r="B25" s="265" t="s">
        <v>186</v>
      </c>
      <c r="C25" s="56">
        <v>12675</v>
      </c>
      <c r="D25" s="56">
        <v>13000</v>
      </c>
      <c r="E25" s="56">
        <v>13000</v>
      </c>
    </row>
    <row r="26" spans="2:5" x14ac:dyDescent="0.2">
      <c r="B26" s="265" t="s">
        <v>182</v>
      </c>
      <c r="C26" s="56">
        <v>20169</v>
      </c>
      <c r="D26" s="56">
        <v>20000</v>
      </c>
      <c r="E26" s="56">
        <v>20000</v>
      </c>
    </row>
    <row r="27" spans="2:5" hidden="1" x14ac:dyDescent="0.2">
      <c r="B27" s="265" t="s">
        <v>187</v>
      </c>
      <c r="C27" s="56"/>
      <c r="D27" s="56"/>
      <c r="E27" s="56"/>
    </row>
    <row r="28" spans="2:5" x14ac:dyDescent="0.2">
      <c r="B28" s="265" t="s">
        <v>791</v>
      </c>
      <c r="C28" s="56">
        <v>28188</v>
      </c>
      <c r="D28" s="56">
        <v>17312</v>
      </c>
      <c r="E28" s="56">
        <v>22772</v>
      </c>
    </row>
    <row r="29" spans="2:5" x14ac:dyDescent="0.2">
      <c r="B29" s="265" t="s">
        <v>188</v>
      </c>
      <c r="C29" s="56">
        <v>36746</v>
      </c>
      <c r="D29" s="56">
        <v>89059</v>
      </c>
      <c r="E29" s="56">
        <v>39400</v>
      </c>
    </row>
    <row r="30" spans="2:5" hidden="1" x14ac:dyDescent="0.2">
      <c r="B30" s="266" t="s">
        <v>730</v>
      </c>
      <c r="C30" s="56"/>
      <c r="D30" s="250"/>
      <c r="E30" s="250"/>
    </row>
    <row r="31" spans="2:5" hidden="1" x14ac:dyDescent="0.2">
      <c r="B31" s="266" t="s">
        <v>639</v>
      </c>
      <c r="C31" s="291" t="str">
        <f>IF(C32*0.1&lt;C30,"Exceed 10% Rule","")</f>
        <v/>
      </c>
      <c r="D31" s="255" t="str">
        <f>IF(D32*0.1&lt;D30,"Exceed 10% Rule","")</f>
        <v/>
      </c>
      <c r="E31" s="255" t="str">
        <f>IF(E32*0.1&lt;E30,"Exceed 10% Rule","")</f>
        <v/>
      </c>
    </row>
    <row r="32" spans="2:5" x14ac:dyDescent="0.2">
      <c r="B32" s="256" t="s">
        <v>866</v>
      </c>
      <c r="C32" s="259">
        <f>SUM(C21:C30)</f>
        <v>254718</v>
      </c>
      <c r="D32" s="259">
        <f>SUM(D21:D30)</f>
        <v>298327.15999999997</v>
      </c>
      <c r="E32" s="259">
        <f>SUM(E21:E30)</f>
        <v>255122.78599999999</v>
      </c>
    </row>
    <row r="33" spans="2:5" x14ac:dyDescent="0.2">
      <c r="B33" s="141" t="s">
        <v>972</v>
      </c>
      <c r="C33" s="71">
        <f>C19-C32</f>
        <v>4804</v>
      </c>
      <c r="D33" s="71">
        <f>D19-D32</f>
        <v>2347.8400000000256</v>
      </c>
      <c r="E33" s="71">
        <f>E19-E32</f>
        <v>7832.0540000000328</v>
      </c>
    </row>
    <row r="34" spans="2:5" x14ac:dyDescent="0.2">
      <c r="B34" s="127" t="str">
        <f>CONCATENATE("",E1-2,"/",E1-1," Budget Authority Amount:")</f>
        <v>2012/2013 Budget Authority Amount:</v>
      </c>
      <c r="C34" s="231">
        <f>inputOth!B79</f>
        <v>282892</v>
      </c>
      <c r="D34" s="231">
        <f>inputPrYr!D38</f>
        <v>249090</v>
      </c>
      <c r="E34" s="373" t="str">
        <f>IF(E33&lt;0,"See Tab E","")</f>
        <v/>
      </c>
    </row>
    <row r="35" spans="2:5" x14ac:dyDescent="0.2">
      <c r="B35" s="127"/>
      <c r="C35" s="269" t="str">
        <f>IF(C32&gt;C34,"See Tab A","")</f>
        <v/>
      </c>
      <c r="D35" s="269" t="str">
        <f>IF(D32&gt;D34,"See Tab C","")</f>
        <v>See Tab C</v>
      </c>
      <c r="E35" s="86"/>
    </row>
    <row r="36" spans="2:5" x14ac:dyDescent="0.2">
      <c r="B36" s="127"/>
      <c r="C36" s="269" t="str">
        <f>IF(C33&lt;0,"See Tab B","")</f>
        <v/>
      </c>
      <c r="D36" s="269" t="str">
        <f>IF(D33&lt;0,"See Tab D","")</f>
        <v/>
      </c>
      <c r="E36" s="86"/>
    </row>
    <row r="37" spans="2:5" hidden="1" x14ac:dyDescent="0.2">
      <c r="B37" s="36"/>
      <c r="C37" s="86"/>
      <c r="D37" s="86"/>
      <c r="E37" s="86"/>
    </row>
    <row r="38" spans="2:5" x14ac:dyDescent="0.2">
      <c r="B38" s="41"/>
      <c r="C38" s="286"/>
      <c r="D38" s="286"/>
      <c r="E38" s="286"/>
    </row>
    <row r="39" spans="2:5" x14ac:dyDescent="0.2">
      <c r="B39" s="41" t="s">
        <v>850</v>
      </c>
      <c r="C39" s="271" t="s">
        <v>662</v>
      </c>
      <c r="D39" s="135" t="s">
        <v>663</v>
      </c>
      <c r="E39" s="135" t="s">
        <v>664</v>
      </c>
    </row>
    <row r="40" spans="2:5" x14ac:dyDescent="0.2">
      <c r="B40" s="544" t="str">
        <f>(inputPrYr!B39)</f>
        <v>Special Revenue (911)</v>
      </c>
      <c r="C40" s="243" t="str">
        <f>C5</f>
        <v>Actual for 2012</v>
      </c>
      <c r="D40" s="243" t="str">
        <f>D5</f>
        <v>Estimate for 2013</v>
      </c>
      <c r="E40" s="243" t="str">
        <f>E5</f>
        <v>Year for 2014</v>
      </c>
    </row>
    <row r="41" spans="2:5" x14ac:dyDescent="0.2">
      <c r="B41" s="244" t="s">
        <v>971</v>
      </c>
      <c r="C41" s="56">
        <v>9897</v>
      </c>
      <c r="D41" s="218">
        <f>C56</f>
        <v>9897</v>
      </c>
      <c r="E41" s="218">
        <f>D56</f>
        <v>9897</v>
      </c>
    </row>
    <row r="42" spans="2:5" x14ac:dyDescent="0.2">
      <c r="B42" s="248" t="s">
        <v>973</v>
      </c>
      <c r="C42" s="76"/>
      <c r="D42" s="76"/>
      <c r="E42" s="76"/>
    </row>
    <row r="43" spans="2:5" x14ac:dyDescent="0.2">
      <c r="B43" s="265"/>
      <c r="C43" s="56"/>
      <c r="D43" s="56"/>
      <c r="E43" s="56"/>
    </row>
    <row r="44" spans="2:5" hidden="1" x14ac:dyDescent="0.2">
      <c r="B44" s="265"/>
      <c r="C44" s="56"/>
      <c r="D44" s="56"/>
      <c r="E44" s="56"/>
    </row>
    <row r="45" spans="2:5" hidden="1" x14ac:dyDescent="0.2">
      <c r="B45" s="253" t="s">
        <v>858</v>
      </c>
      <c r="C45" s="56"/>
      <c r="D45" s="56"/>
      <c r="E45" s="56"/>
    </row>
    <row r="46" spans="2:5" hidden="1" x14ac:dyDescent="0.2">
      <c r="B46" s="150" t="s">
        <v>730</v>
      </c>
      <c r="C46" s="56"/>
      <c r="D46" s="250"/>
      <c r="E46" s="250"/>
    </row>
    <row r="47" spans="2:5" hidden="1" x14ac:dyDescent="0.2">
      <c r="B47" s="244" t="s">
        <v>638</v>
      </c>
      <c r="C47" s="291" t="str">
        <f>IF(C48*0.1&lt;C46,"Exceed 10% Rule","")</f>
        <v/>
      </c>
      <c r="D47" s="255" t="str">
        <f>IF(D48*0.1&lt;D46,"Exceed 10% Rule","")</f>
        <v/>
      </c>
      <c r="E47" s="255" t="str">
        <f>IF(E48*0.1&lt;E46,"Exceed 10% Rule","")</f>
        <v/>
      </c>
    </row>
    <row r="48" spans="2:5" x14ac:dyDescent="0.2">
      <c r="B48" s="256" t="s">
        <v>859</v>
      </c>
      <c r="C48" s="259">
        <f>SUM(C43:C46)</f>
        <v>0</v>
      </c>
      <c r="D48" s="259">
        <f>SUM(D43:D46)</f>
        <v>0</v>
      </c>
      <c r="E48" s="259">
        <f>SUM(E43:E46)</f>
        <v>0</v>
      </c>
    </row>
    <row r="49" spans="2:5" x14ac:dyDescent="0.2">
      <c r="B49" s="256" t="s">
        <v>860</v>
      </c>
      <c r="C49" s="259">
        <f>C41+C48</f>
        <v>9897</v>
      </c>
      <c r="D49" s="259">
        <f>D41+D48</f>
        <v>9897</v>
      </c>
      <c r="E49" s="259">
        <f>E41+E48</f>
        <v>9897</v>
      </c>
    </row>
    <row r="50" spans="2:5" x14ac:dyDescent="0.2">
      <c r="B50" s="141" t="s">
        <v>862</v>
      </c>
      <c r="C50" s="218"/>
      <c r="D50" s="218"/>
      <c r="E50" s="218"/>
    </row>
    <row r="51" spans="2:5" x14ac:dyDescent="0.2">
      <c r="B51" s="265" t="s">
        <v>189</v>
      </c>
      <c r="C51" s="56">
        <v>0</v>
      </c>
      <c r="D51" s="56">
        <v>0</v>
      </c>
      <c r="E51" s="56">
        <v>9897</v>
      </c>
    </row>
    <row r="52" spans="2:5" x14ac:dyDescent="0.2">
      <c r="B52" s="265"/>
      <c r="C52" s="56"/>
      <c r="D52" s="56"/>
      <c r="E52" s="56"/>
    </row>
    <row r="53" spans="2:5" hidden="1" x14ac:dyDescent="0.2">
      <c r="B53" s="266" t="s">
        <v>730</v>
      </c>
      <c r="C53" s="56"/>
      <c r="D53" s="250"/>
      <c r="E53" s="250"/>
    </row>
    <row r="54" spans="2:5" hidden="1" x14ac:dyDescent="0.2">
      <c r="B54" s="266" t="s">
        <v>639</v>
      </c>
      <c r="C54" s="291" t="str">
        <f>IF(C55*0.1&lt;C53,"Exceed 10% Rule","")</f>
        <v/>
      </c>
      <c r="D54" s="255" t="str">
        <f>IF(D55*0.1&lt;D53,"Exceed 10% Rule","")</f>
        <v/>
      </c>
      <c r="E54" s="255" t="str">
        <f>IF(E55*0.1&lt;E53,"Exceed 10% Rule","")</f>
        <v/>
      </c>
    </row>
    <row r="55" spans="2:5" x14ac:dyDescent="0.2">
      <c r="B55" s="256" t="s">
        <v>866</v>
      </c>
      <c r="C55" s="259">
        <f>SUM(C51:C53)</f>
        <v>0</v>
      </c>
      <c r="D55" s="259">
        <f>SUM(D51:D53)</f>
        <v>0</v>
      </c>
      <c r="E55" s="259">
        <f>SUM(E51:E53)</f>
        <v>9897</v>
      </c>
    </row>
    <row r="56" spans="2:5" x14ac:dyDescent="0.2">
      <c r="B56" s="141" t="s">
        <v>972</v>
      </c>
      <c r="C56" s="71">
        <f>C49-C55</f>
        <v>9897</v>
      </c>
      <c r="D56" s="71">
        <f>D49-D55</f>
        <v>9897</v>
      </c>
      <c r="E56" s="71">
        <f>E49-E55</f>
        <v>0</v>
      </c>
    </row>
    <row r="57" spans="2:5" x14ac:dyDescent="0.2">
      <c r="B57" s="127" t="str">
        <f>CONCATENATE("",E1-2,"/",E1-1," Budget Authority Amount:")</f>
        <v>2012/2013 Budget Authority Amount:</v>
      </c>
      <c r="C57" s="231">
        <f>inputOth!B80</f>
        <v>9897</v>
      </c>
      <c r="D57" s="231">
        <f>inputPrYr!D39</f>
        <v>9897</v>
      </c>
      <c r="E57" s="373" t="str">
        <f>IF(E56&lt;0,"See Tab E","")</f>
        <v/>
      </c>
    </row>
    <row r="58" spans="2:5" x14ac:dyDescent="0.2">
      <c r="B58" s="127"/>
      <c r="C58" s="269" t="str">
        <f>IF(C55&gt;C57,"See Tab A","")</f>
        <v/>
      </c>
      <c r="D58" s="269" t="str">
        <f>IF(D55&gt;D57,"See Tab C","")</f>
        <v/>
      </c>
      <c r="E58" s="36"/>
    </row>
    <row r="59" spans="2:5" x14ac:dyDescent="0.2">
      <c r="B59" s="127"/>
      <c r="C59" s="269" t="str">
        <f>IF(C56&lt;0,"See Tab B","")</f>
        <v/>
      </c>
      <c r="D59" s="269" t="str">
        <f>IF(D56&lt;0,"See Tab D","")</f>
        <v/>
      </c>
      <c r="E59" s="36"/>
    </row>
    <row r="60" spans="2:5" x14ac:dyDescent="0.2">
      <c r="B60" s="36"/>
      <c r="C60" s="36"/>
      <c r="D60" s="36"/>
      <c r="E60" s="36"/>
    </row>
    <row r="61" spans="2:5" x14ac:dyDescent="0.2">
      <c r="B61" s="160" t="s">
        <v>869</v>
      </c>
      <c r="C61" s="273">
        <v>18</v>
      </c>
      <c r="D61" s="36"/>
      <c r="E61" s="36"/>
    </row>
  </sheetData>
  <phoneticPr fontId="0" type="noConversion"/>
  <conditionalFormatting sqref="C16">
    <cfRule type="cellIs" dxfId="226" priority="3" stopIfTrue="1" operator="greaterThan">
      <formula>$C$18*0.1</formula>
    </cfRule>
  </conditionalFormatting>
  <conditionalFormatting sqref="D16">
    <cfRule type="cellIs" dxfId="225" priority="4" stopIfTrue="1" operator="greaterThan">
      <formula>$D$18*0.1</formula>
    </cfRule>
  </conditionalFormatting>
  <conditionalFormatting sqref="E16">
    <cfRule type="cellIs" dxfId="224" priority="5" stopIfTrue="1" operator="greaterThan">
      <formula>$E$18*0.1</formula>
    </cfRule>
  </conditionalFormatting>
  <conditionalFormatting sqref="C30">
    <cfRule type="cellIs" dxfId="223" priority="6" stopIfTrue="1" operator="greaterThan">
      <formula>$C$32*0.1</formula>
    </cfRule>
  </conditionalFormatting>
  <conditionalFormatting sqref="D30">
    <cfRule type="cellIs" dxfId="222" priority="7" stopIfTrue="1" operator="greaterThan">
      <formula>$D$32*0.1</formula>
    </cfRule>
  </conditionalFormatting>
  <conditionalFormatting sqref="E30">
    <cfRule type="cellIs" dxfId="221" priority="8" stopIfTrue="1" operator="greaterThan">
      <formula>$E$32*0.1</formula>
    </cfRule>
  </conditionalFormatting>
  <conditionalFormatting sqref="C46">
    <cfRule type="cellIs" dxfId="220" priority="9" stopIfTrue="1" operator="greaterThan">
      <formula>$C$48*0.1</formula>
    </cfRule>
  </conditionalFormatting>
  <conditionalFormatting sqref="D46">
    <cfRule type="cellIs" dxfId="219" priority="10" stopIfTrue="1" operator="greaterThan">
      <formula>$D$48*0.1</formula>
    </cfRule>
  </conditionalFormatting>
  <conditionalFormatting sqref="E46">
    <cfRule type="cellIs" dxfId="218" priority="11" stopIfTrue="1" operator="greaterThan">
      <formula>$E$48*0.1</formula>
    </cfRule>
  </conditionalFormatting>
  <conditionalFormatting sqref="C53">
    <cfRule type="cellIs" dxfId="217" priority="12" stopIfTrue="1" operator="greaterThan">
      <formula>$C$55*0.1</formula>
    </cfRule>
  </conditionalFormatting>
  <conditionalFormatting sqref="D53">
    <cfRule type="cellIs" dxfId="216" priority="13" stopIfTrue="1" operator="greaterThan">
      <formula>$D$55*0.1</formula>
    </cfRule>
  </conditionalFormatting>
  <conditionalFormatting sqref="E53">
    <cfRule type="cellIs" dxfId="215" priority="14" stopIfTrue="1" operator="greaterThan">
      <formula>$E$55*0.1</formula>
    </cfRule>
  </conditionalFormatting>
  <conditionalFormatting sqref="D55">
    <cfRule type="cellIs" dxfId="214" priority="15" stopIfTrue="1" operator="greaterThan">
      <formula>$D$57</formula>
    </cfRule>
  </conditionalFormatting>
  <conditionalFormatting sqref="C55">
    <cfRule type="cellIs" dxfId="213" priority="16" stopIfTrue="1" operator="greaterThan">
      <formula>$C$57</formula>
    </cfRule>
  </conditionalFormatting>
  <conditionalFormatting sqref="C56 E56 C33 E33">
    <cfRule type="cellIs" dxfId="212" priority="17" stopIfTrue="1" operator="lessThan">
      <formula>0</formula>
    </cfRule>
  </conditionalFormatting>
  <conditionalFormatting sqref="D32">
    <cfRule type="cellIs" dxfId="211" priority="18" stopIfTrue="1" operator="greaterThan">
      <formula>$D$34</formula>
    </cfRule>
  </conditionalFormatting>
  <conditionalFormatting sqref="C32">
    <cfRule type="cellIs" dxfId="210" priority="19" stopIfTrue="1" operator="greaterThan">
      <formula>$C$34</formula>
    </cfRule>
  </conditionalFormatting>
  <conditionalFormatting sqref="D56">
    <cfRule type="cellIs" dxfId="209" priority="2" stopIfTrue="1" operator="lessThan">
      <formula>0</formula>
    </cfRule>
  </conditionalFormatting>
  <conditionalFormatting sqref="D33">
    <cfRule type="cellIs" dxfId="208" priority="1" stopIfTrue="1" operator="lessThan">
      <formula>0</formula>
    </cfRule>
  </conditionalFormatting>
  <printOptions horizontalCentered="1"/>
  <pageMargins left="0.5" right="0.5" top="0.5" bottom="0.5" header="0.3" footer="0.3"/>
  <pageSetup scale="91" orientation="portrait" blackAndWhite="1" horizontalDpi="120" verticalDpi="144"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4"/>
  <sheetViews>
    <sheetView view="pageBreakPreview" zoomScale="60" zoomScaleNormal="100" workbookViewId="0">
      <selection activeCell="C64" sqref="C64"/>
    </sheetView>
  </sheetViews>
  <sheetFormatPr defaultRowHeight="15.75" x14ac:dyDescent="0.2"/>
  <cols>
    <col min="1" max="1" width="2.44140625" style="34" customWidth="1"/>
    <col min="2" max="2" width="31.109375" style="34" customWidth="1"/>
    <col min="3" max="4" width="15.77734375" style="34" customWidth="1"/>
    <col min="5" max="5" width="16.109375" style="34" customWidth="1"/>
    <col min="6" max="16384" width="8.88671875" style="34"/>
  </cols>
  <sheetData>
    <row r="1" spans="2:9" x14ac:dyDescent="0.2">
      <c r="B1" s="188" t="str">
        <f>(inputPrYr!D2)</f>
        <v>City of Osawatomie</v>
      </c>
      <c r="C1" s="36"/>
      <c r="D1" s="36"/>
      <c r="E1" s="238">
        <f>inputPrYr!C5</f>
        <v>2014</v>
      </c>
    </row>
    <row r="2" spans="2:9" x14ac:dyDescent="0.2">
      <c r="B2" s="36"/>
      <c r="C2" s="36"/>
      <c r="D2" s="36"/>
      <c r="E2" s="160"/>
    </row>
    <row r="3" spans="2:9" x14ac:dyDescent="0.2">
      <c r="B3" s="239" t="s">
        <v>918</v>
      </c>
      <c r="C3" s="280"/>
      <c r="D3" s="280"/>
      <c r="E3" s="280"/>
    </row>
    <row r="4" spans="2:9" x14ac:dyDescent="0.2">
      <c r="B4" s="41" t="s">
        <v>850</v>
      </c>
      <c r="C4" s="418" t="s">
        <v>662</v>
      </c>
      <c r="D4" s="417" t="s">
        <v>663</v>
      </c>
      <c r="E4" s="394" t="s">
        <v>664</v>
      </c>
    </row>
    <row r="5" spans="2:9" x14ac:dyDescent="0.2">
      <c r="B5" s="544" t="str">
        <f>(inputPrYr!B40)</f>
        <v>Tourism</v>
      </c>
      <c r="C5" s="419" t="str">
        <f>CONCATENATE("Actual for ",E1-2,"")</f>
        <v>Actual for 2012</v>
      </c>
      <c r="D5" s="419" t="str">
        <f>CONCATENATE("Estimate for ",E1-1,"")</f>
        <v>Estimate for 2013</v>
      </c>
      <c r="E5" s="403" t="str">
        <f>CONCATENATE("Year for ",E1,"")</f>
        <v>Year for 2014</v>
      </c>
    </row>
    <row r="6" spans="2:9" x14ac:dyDescent="0.2">
      <c r="B6" s="244" t="s">
        <v>971</v>
      </c>
      <c r="C6" s="56">
        <v>3723</v>
      </c>
      <c r="D6" s="218">
        <f>C35</f>
        <v>9423</v>
      </c>
      <c r="E6" s="218">
        <f>D35</f>
        <v>7289</v>
      </c>
    </row>
    <row r="7" spans="2:9" x14ac:dyDescent="0.2">
      <c r="B7" s="248" t="s">
        <v>973</v>
      </c>
      <c r="C7" s="76"/>
      <c r="D7" s="76"/>
      <c r="E7" s="76"/>
    </row>
    <row r="8" spans="2:9" x14ac:dyDescent="0.2">
      <c r="B8" s="265" t="s">
        <v>173</v>
      </c>
      <c r="C8" s="56">
        <v>7102</v>
      </c>
      <c r="D8" s="56">
        <v>10000</v>
      </c>
      <c r="E8" s="56">
        <v>9000</v>
      </c>
      <c r="G8" s="912"/>
      <c r="H8" s="912"/>
      <c r="I8" s="912"/>
    </row>
    <row r="9" spans="2:9" x14ac:dyDescent="0.2">
      <c r="B9" s="265" t="s">
        <v>174</v>
      </c>
      <c r="C9" s="56">
        <v>313</v>
      </c>
      <c r="D9" s="56">
        <v>150</v>
      </c>
      <c r="E9" s="56">
        <v>150</v>
      </c>
    </row>
    <row r="10" spans="2:9" x14ac:dyDescent="0.2">
      <c r="B10" s="265" t="s">
        <v>120</v>
      </c>
      <c r="C10" s="56">
        <v>225</v>
      </c>
      <c r="D10" s="56">
        <v>0</v>
      </c>
      <c r="E10" s="56">
        <v>0</v>
      </c>
    </row>
    <row r="11" spans="2:9" x14ac:dyDescent="0.2">
      <c r="B11" s="265" t="s">
        <v>151</v>
      </c>
      <c r="C11" s="56">
        <v>3574</v>
      </c>
      <c r="D11" s="56">
        <v>3500</v>
      </c>
      <c r="E11" s="56">
        <v>3500</v>
      </c>
    </row>
    <row r="12" spans="2:9" x14ac:dyDescent="0.2">
      <c r="B12" s="265" t="s">
        <v>257</v>
      </c>
      <c r="C12" s="56">
        <v>13450</v>
      </c>
      <c r="D12" s="56">
        <v>18250</v>
      </c>
      <c r="E12" s="56">
        <v>18000</v>
      </c>
    </row>
    <row r="13" spans="2:9" x14ac:dyDescent="0.2">
      <c r="B13" s="265" t="s">
        <v>258</v>
      </c>
      <c r="C13" s="56">
        <v>4000</v>
      </c>
      <c r="D13" s="56">
        <v>7960</v>
      </c>
      <c r="E13" s="56">
        <v>11000</v>
      </c>
    </row>
    <row r="14" spans="2:9" x14ac:dyDescent="0.2">
      <c r="B14" s="265" t="s">
        <v>259</v>
      </c>
      <c r="C14" s="56">
        <v>1276</v>
      </c>
      <c r="D14" s="56">
        <v>1565</v>
      </c>
      <c r="E14" s="56">
        <v>1250</v>
      </c>
    </row>
    <row r="15" spans="2:9" x14ac:dyDescent="0.2">
      <c r="B15" s="265" t="s">
        <v>260</v>
      </c>
      <c r="C15" s="56">
        <v>3159</v>
      </c>
      <c r="D15" s="56">
        <v>3702</v>
      </c>
      <c r="E15" s="56">
        <v>2800</v>
      </c>
    </row>
    <row r="16" spans="2:9" x14ac:dyDescent="0.2">
      <c r="B16" s="265" t="s">
        <v>175</v>
      </c>
      <c r="C16" s="56">
        <v>12000</v>
      </c>
      <c r="D16" s="56">
        <v>12195</v>
      </c>
      <c r="E16" s="56">
        <v>12000</v>
      </c>
    </row>
    <row r="17" spans="2:9" x14ac:dyDescent="0.2">
      <c r="B17" s="265" t="s">
        <v>261</v>
      </c>
      <c r="C17" s="56">
        <v>7775</v>
      </c>
      <c r="D17" s="56">
        <v>2827</v>
      </c>
      <c r="E17" s="56">
        <v>12750</v>
      </c>
      <c r="G17" s="912"/>
      <c r="H17" s="912"/>
      <c r="I17" s="912"/>
    </row>
    <row r="18" spans="2:9" ht="15.6" hidden="1" customHeight="1" x14ac:dyDescent="0.2">
      <c r="B18" s="253" t="s">
        <v>858</v>
      </c>
      <c r="C18" s="56"/>
      <c r="D18" s="56"/>
      <c r="E18" s="56"/>
    </row>
    <row r="19" spans="2:9" ht="15.6" hidden="1" customHeight="1" x14ac:dyDescent="0.2">
      <c r="B19" s="150" t="s">
        <v>730</v>
      </c>
      <c r="C19" s="56"/>
      <c r="D19" s="250"/>
      <c r="E19" s="250"/>
    </row>
    <row r="20" spans="2:9" ht="15.6" hidden="1" customHeight="1" x14ac:dyDescent="0.2">
      <c r="B20" s="244" t="s">
        <v>638</v>
      </c>
      <c r="C20" s="291" t="str">
        <f>IF(C21*0.1&lt;C19,"Exceed 10% Rule","")</f>
        <v/>
      </c>
      <c r="D20" s="255" t="str">
        <f>IF(D21*0.1&lt;D19,"Exceed 10% Rule","")</f>
        <v/>
      </c>
      <c r="E20" s="255" t="str">
        <f>IF(E21*0.1&lt;E19,"Exceed 10% Rule","")</f>
        <v/>
      </c>
    </row>
    <row r="21" spans="2:9" x14ac:dyDescent="0.2">
      <c r="B21" s="256" t="s">
        <v>859</v>
      </c>
      <c r="C21" s="259">
        <f>SUM(C8:C19)</f>
        <v>52874</v>
      </c>
      <c r="D21" s="259">
        <f>SUM(D8:D19)</f>
        <v>60149</v>
      </c>
      <c r="E21" s="259">
        <f>SUM(E8:E19)</f>
        <v>70450</v>
      </c>
    </row>
    <row r="22" spans="2:9" x14ac:dyDescent="0.2">
      <c r="B22" s="256" t="s">
        <v>860</v>
      </c>
      <c r="C22" s="259">
        <f>C6+C21</f>
        <v>56597</v>
      </c>
      <c r="D22" s="259">
        <f>D6+D21</f>
        <v>69572</v>
      </c>
      <c r="E22" s="259">
        <f>E6+E21</f>
        <v>77739</v>
      </c>
      <c r="G22" s="912"/>
      <c r="H22" s="912"/>
      <c r="I22" s="912"/>
    </row>
    <row r="23" spans="2:9" x14ac:dyDescent="0.2">
      <c r="B23" s="141" t="s">
        <v>862</v>
      </c>
      <c r="C23" s="218"/>
      <c r="D23" s="218"/>
      <c r="E23" s="218"/>
    </row>
    <row r="24" spans="2:9" x14ac:dyDescent="0.2">
      <c r="B24" s="265" t="s">
        <v>262</v>
      </c>
      <c r="C24" s="56"/>
      <c r="D24" s="56"/>
      <c r="E24" s="56"/>
    </row>
    <row r="25" spans="2:9" x14ac:dyDescent="0.2">
      <c r="B25" s="265" t="s">
        <v>203</v>
      </c>
      <c r="C25" s="56">
        <v>9662</v>
      </c>
      <c r="D25" s="56">
        <v>9850</v>
      </c>
      <c r="E25" s="56">
        <v>9350</v>
      </c>
    </row>
    <row r="26" spans="2:9" x14ac:dyDescent="0.2">
      <c r="B26" s="265" t="s">
        <v>864</v>
      </c>
      <c r="C26" s="56">
        <v>1265</v>
      </c>
      <c r="D26" s="56">
        <v>2400</v>
      </c>
      <c r="E26" s="56">
        <v>2400</v>
      </c>
    </row>
    <row r="27" spans="2:9" x14ac:dyDescent="0.2">
      <c r="B27" s="265" t="s">
        <v>264</v>
      </c>
      <c r="C27" s="56">
        <v>1248</v>
      </c>
      <c r="D27" s="56">
        <v>1000</v>
      </c>
      <c r="E27" s="56">
        <v>1000</v>
      </c>
    </row>
    <row r="28" spans="2:9" x14ac:dyDescent="0.2">
      <c r="B28" s="265" t="s">
        <v>257</v>
      </c>
      <c r="C28" s="56"/>
      <c r="D28" s="56"/>
      <c r="E28" s="56"/>
    </row>
    <row r="29" spans="2:9" x14ac:dyDescent="0.2">
      <c r="B29" s="265" t="s">
        <v>203</v>
      </c>
      <c r="C29" s="56">
        <v>17276</v>
      </c>
      <c r="D29" s="56">
        <v>37882</v>
      </c>
      <c r="E29" s="56">
        <v>40400</v>
      </c>
    </row>
    <row r="30" spans="2:9" x14ac:dyDescent="0.2">
      <c r="B30" s="265" t="s">
        <v>864</v>
      </c>
      <c r="C30" s="56">
        <v>2605</v>
      </c>
      <c r="D30" s="56">
        <v>10255</v>
      </c>
      <c r="E30" s="56">
        <v>20400</v>
      </c>
    </row>
    <row r="31" spans="2:9" x14ac:dyDescent="0.2">
      <c r="B31" s="265" t="s">
        <v>264</v>
      </c>
      <c r="C31" s="56">
        <v>15118</v>
      </c>
      <c r="D31" s="56">
        <v>896</v>
      </c>
      <c r="E31" s="56">
        <v>830</v>
      </c>
    </row>
    <row r="32" spans="2:9" ht="15.6" hidden="1" customHeight="1" x14ac:dyDescent="0.2">
      <c r="B32" s="266" t="s">
        <v>730</v>
      </c>
      <c r="C32" s="56"/>
      <c r="D32" s="250"/>
      <c r="E32" s="250"/>
    </row>
    <row r="33" spans="2:5" ht="15.6" hidden="1" customHeight="1" x14ac:dyDescent="0.2">
      <c r="B33" s="266" t="s">
        <v>639</v>
      </c>
      <c r="C33" s="291" t="str">
        <f>IF(C34*0.1&lt;C32,"Exceed 10% Rule","")</f>
        <v/>
      </c>
      <c r="D33" s="255" t="str">
        <f>IF(D34*0.1&lt;D32,"Exceed 10% Rule","")</f>
        <v/>
      </c>
      <c r="E33" s="255" t="str">
        <f>IF(E34*0.1&lt;E32,"Exceed 10% Rule","")</f>
        <v/>
      </c>
    </row>
    <row r="34" spans="2:5" x14ac:dyDescent="0.2">
      <c r="B34" s="256" t="s">
        <v>866</v>
      </c>
      <c r="C34" s="259">
        <f>SUM(C24:C32)</f>
        <v>47174</v>
      </c>
      <c r="D34" s="259">
        <f>SUM(D24:D32)</f>
        <v>62283</v>
      </c>
      <c r="E34" s="259">
        <f>SUM(E24:E32)</f>
        <v>74380</v>
      </c>
    </row>
    <row r="35" spans="2:5" x14ac:dyDescent="0.2">
      <c r="B35" s="141" t="s">
        <v>972</v>
      </c>
      <c r="C35" s="71">
        <f>C22-C34</f>
        <v>9423</v>
      </c>
      <c r="D35" s="71">
        <f>D22-D34</f>
        <v>7289</v>
      </c>
      <c r="E35" s="71">
        <f>E22-E34</f>
        <v>3359</v>
      </c>
    </row>
    <row r="36" spans="2:5" x14ac:dyDescent="0.2">
      <c r="B36" s="127" t="str">
        <f>CONCATENATE("",E1-2,"/",E1-1," Budget Authority Amount:")</f>
        <v>2012/2013 Budget Authority Amount:</v>
      </c>
      <c r="C36" s="231">
        <f>inputOth!B81</f>
        <v>48000</v>
      </c>
      <c r="D36" s="231">
        <f>inputPrYr!D40</f>
        <v>46250</v>
      </c>
      <c r="E36" s="373" t="str">
        <f>IF(E35&lt;0,"See Tab E","")</f>
        <v/>
      </c>
    </row>
    <row r="37" spans="2:5" x14ac:dyDescent="0.2">
      <c r="B37" s="127"/>
      <c r="C37" s="269" t="str">
        <f>IF(C34&gt;C36,"See Tab A","")</f>
        <v/>
      </c>
      <c r="D37" s="269" t="str">
        <f>IF(D34&gt;D36,"See Tab C","")</f>
        <v>See Tab C</v>
      </c>
      <c r="E37" s="86"/>
    </row>
    <row r="38" spans="2:5" hidden="1" x14ac:dyDescent="0.2">
      <c r="B38" s="127"/>
      <c r="C38" s="269" t="str">
        <f>IF(C35&lt;0,"See Tab B","")</f>
        <v/>
      </c>
      <c r="D38" s="269" t="str">
        <f>IF(D35&lt;0,"See Tab D","")</f>
        <v/>
      </c>
      <c r="E38" s="86"/>
    </row>
    <row r="39" spans="2:5" hidden="1" x14ac:dyDescent="0.2">
      <c r="B39" s="36"/>
      <c r="C39" s="86"/>
      <c r="D39" s="86"/>
      <c r="E39" s="86"/>
    </row>
    <row r="40" spans="2:5" hidden="1" x14ac:dyDescent="0.2">
      <c r="B40" s="41"/>
      <c r="C40" s="286"/>
      <c r="D40" s="286"/>
      <c r="E40" s="286"/>
    </row>
    <row r="41" spans="2:5" hidden="1" x14ac:dyDescent="0.2">
      <c r="B41" s="41" t="s">
        <v>850</v>
      </c>
      <c r="C41" s="271" t="s">
        <v>662</v>
      </c>
      <c r="D41" s="135" t="s">
        <v>663</v>
      </c>
      <c r="E41" s="135" t="s">
        <v>664</v>
      </c>
    </row>
    <row r="42" spans="2:5" hidden="1" x14ac:dyDescent="0.2">
      <c r="B42" s="544">
        <f>(inputPrYr!B41)</f>
        <v>0</v>
      </c>
      <c r="C42" s="243" t="str">
        <f>C5</f>
        <v>Actual for 2012</v>
      </c>
      <c r="D42" s="243" t="str">
        <f>D5</f>
        <v>Estimate for 2013</v>
      </c>
      <c r="E42" s="243" t="str">
        <f>E5</f>
        <v>Year for 2014</v>
      </c>
    </row>
    <row r="43" spans="2:5" hidden="1" x14ac:dyDescent="0.2">
      <c r="B43" s="244" t="s">
        <v>971</v>
      </c>
      <c r="C43" s="56"/>
      <c r="D43" s="218">
        <f>C59</f>
        <v>0</v>
      </c>
      <c r="E43" s="218">
        <f>D59</f>
        <v>0</v>
      </c>
    </row>
    <row r="44" spans="2:5" hidden="1" x14ac:dyDescent="0.2">
      <c r="B44" s="248" t="s">
        <v>973</v>
      </c>
      <c r="C44" s="76"/>
      <c r="D44" s="76"/>
      <c r="E44" s="76"/>
    </row>
    <row r="45" spans="2:5" hidden="1" x14ac:dyDescent="0.2">
      <c r="B45" s="265"/>
      <c r="C45" s="56"/>
      <c r="D45" s="56"/>
      <c r="E45" s="56"/>
    </row>
    <row r="46" spans="2:5" hidden="1" x14ac:dyDescent="0.2">
      <c r="B46" s="265"/>
      <c r="C46" s="56"/>
      <c r="D46" s="56"/>
      <c r="E46" s="56"/>
    </row>
    <row r="47" spans="2:5" hidden="1" x14ac:dyDescent="0.2">
      <c r="B47" s="253" t="s">
        <v>858</v>
      </c>
      <c r="C47" s="56"/>
      <c r="D47" s="56"/>
      <c r="E47" s="56"/>
    </row>
    <row r="48" spans="2:5" hidden="1" x14ac:dyDescent="0.2">
      <c r="B48" s="150" t="s">
        <v>730</v>
      </c>
      <c r="C48" s="56"/>
      <c r="D48" s="250"/>
      <c r="E48" s="250"/>
    </row>
    <row r="49" spans="2:5" hidden="1" x14ac:dyDescent="0.2">
      <c r="B49" s="244" t="s">
        <v>638</v>
      </c>
      <c r="C49" s="291" t="str">
        <f>IF(C50*0.1&lt;C48,"Exceed 10% Rule","")</f>
        <v/>
      </c>
      <c r="D49" s="255" t="str">
        <f>IF(D50*0.1&lt;D48,"Exceed 10% Rule","")</f>
        <v/>
      </c>
      <c r="E49" s="255" t="str">
        <f>IF(E50*0.1&lt;E48,"Exceed 10% Rule","")</f>
        <v/>
      </c>
    </row>
    <row r="50" spans="2:5" hidden="1" x14ac:dyDescent="0.2">
      <c r="B50" s="256" t="s">
        <v>859</v>
      </c>
      <c r="C50" s="259">
        <f>SUM(C45:C48)</f>
        <v>0</v>
      </c>
      <c r="D50" s="259">
        <f>SUM(D45:D48)</f>
        <v>0</v>
      </c>
      <c r="E50" s="259">
        <f>SUM(E45:E48)</f>
        <v>0</v>
      </c>
    </row>
    <row r="51" spans="2:5" hidden="1" x14ac:dyDescent="0.2">
      <c r="B51" s="256" t="s">
        <v>860</v>
      </c>
      <c r="C51" s="259">
        <f>C43+C50</f>
        <v>0</v>
      </c>
      <c r="D51" s="259">
        <f>D43+D50</f>
        <v>0</v>
      </c>
      <c r="E51" s="259">
        <f>E43+E50</f>
        <v>0</v>
      </c>
    </row>
    <row r="52" spans="2:5" hidden="1" x14ac:dyDescent="0.2">
      <c r="B52" s="141" t="s">
        <v>862</v>
      </c>
      <c r="C52" s="218"/>
      <c r="D52" s="218"/>
      <c r="E52" s="218"/>
    </row>
    <row r="53" spans="2:5" hidden="1" x14ac:dyDescent="0.2">
      <c r="B53" s="265"/>
      <c r="C53" s="56"/>
      <c r="D53" s="56"/>
      <c r="E53" s="56"/>
    </row>
    <row r="54" spans="2:5" hidden="1" x14ac:dyDescent="0.2">
      <c r="B54" s="265"/>
      <c r="C54" s="56"/>
      <c r="D54" s="56"/>
      <c r="E54" s="56"/>
    </row>
    <row r="55" spans="2:5" hidden="1" x14ac:dyDescent="0.2">
      <c r="B55" s="265"/>
      <c r="C55" s="56"/>
      <c r="D55" s="56"/>
      <c r="E55" s="56"/>
    </row>
    <row r="56" spans="2:5" hidden="1" x14ac:dyDescent="0.2">
      <c r="B56" s="266" t="s">
        <v>730</v>
      </c>
      <c r="C56" s="56"/>
      <c r="D56" s="250"/>
      <c r="E56" s="250"/>
    </row>
    <row r="57" spans="2:5" hidden="1" x14ac:dyDescent="0.2">
      <c r="B57" s="287" t="s">
        <v>639</v>
      </c>
      <c r="C57" s="291" t="str">
        <f>IF(C58*0.1&lt;C56,"Exceed 10% Rule","")</f>
        <v/>
      </c>
      <c r="D57" s="255" t="str">
        <f>IF(D58*0.1&lt;D56,"Exceed 10% Rule","")</f>
        <v/>
      </c>
      <c r="E57" s="255" t="str">
        <f>IF(E58*0.1&lt;E56,"Exceed 10% Rule","")</f>
        <v/>
      </c>
    </row>
    <row r="58" spans="2:5" hidden="1" x14ac:dyDescent="0.2">
      <c r="B58" s="256" t="s">
        <v>866</v>
      </c>
      <c r="C58" s="259">
        <f>SUM(C53:C56)</f>
        <v>0</v>
      </c>
      <c r="D58" s="259">
        <f>SUM(D53:D56)</f>
        <v>0</v>
      </c>
      <c r="E58" s="259">
        <f>SUM(E53:E56)</f>
        <v>0</v>
      </c>
    </row>
    <row r="59" spans="2:5" hidden="1" x14ac:dyDescent="0.2">
      <c r="B59" s="141" t="s">
        <v>972</v>
      </c>
      <c r="C59" s="71">
        <f>C51-C58</f>
        <v>0</v>
      </c>
      <c r="D59" s="71">
        <f>D51-D58</f>
        <v>0</v>
      </c>
      <c r="E59" s="71">
        <f>E51-E58</f>
        <v>0</v>
      </c>
    </row>
    <row r="60" spans="2:5" hidden="1" x14ac:dyDescent="0.2">
      <c r="B60" s="127" t="str">
        <f>CONCATENATE("",E1-2,"/",E1-1," Budget Authority Amount:")</f>
        <v>2012/2013 Budget Authority Amount:</v>
      </c>
      <c r="C60" s="231">
        <f>inputOth!B82</f>
        <v>0</v>
      </c>
      <c r="D60" s="231">
        <f>inputPrYr!D41</f>
        <v>0</v>
      </c>
      <c r="E60" s="373" t="str">
        <f>IF(E59&lt;0,"See Tab E","")</f>
        <v/>
      </c>
    </row>
    <row r="61" spans="2:5" x14ac:dyDescent="0.2">
      <c r="B61" s="127"/>
      <c r="C61" s="269" t="str">
        <f>IF(C58&gt;C60,"See Tab A","")</f>
        <v/>
      </c>
      <c r="D61" s="269" t="str">
        <f>IF(D58&gt;D60,"See Tab C","")</f>
        <v/>
      </c>
      <c r="E61" s="36"/>
    </row>
    <row r="62" spans="2:5" x14ac:dyDescent="0.2">
      <c r="B62" s="127"/>
      <c r="C62" s="269" t="str">
        <f>IF(C59&lt;0,"See Tab B","")</f>
        <v/>
      </c>
      <c r="D62" s="269" t="str">
        <f>IF(D59&lt;0,"See Tab D","")</f>
        <v/>
      </c>
      <c r="E62" s="36"/>
    </row>
    <row r="63" spans="2:5" x14ac:dyDescent="0.2">
      <c r="B63" s="36"/>
      <c r="C63" s="36"/>
      <c r="D63" s="36"/>
      <c r="E63" s="36"/>
    </row>
    <row r="64" spans="2:5" x14ac:dyDescent="0.2">
      <c r="B64" s="160" t="s">
        <v>869</v>
      </c>
      <c r="C64" s="273">
        <v>19</v>
      </c>
      <c r="D64" s="36"/>
      <c r="E64" s="36"/>
    </row>
  </sheetData>
  <phoneticPr fontId="0" type="noConversion"/>
  <conditionalFormatting sqref="C19">
    <cfRule type="cellIs" dxfId="207" priority="3" stopIfTrue="1" operator="greaterThan">
      <formula>$C$21*0.1</formula>
    </cfRule>
  </conditionalFormatting>
  <conditionalFormatting sqref="D19">
    <cfRule type="cellIs" dxfId="206" priority="4" stopIfTrue="1" operator="greaterThan">
      <formula>$D$21*0.1</formula>
    </cfRule>
  </conditionalFormatting>
  <conditionalFormatting sqref="E19">
    <cfRule type="cellIs" dxfId="205" priority="5" stopIfTrue="1" operator="greaterThan">
      <formula>$E$21*0.1</formula>
    </cfRule>
  </conditionalFormatting>
  <conditionalFormatting sqref="C32">
    <cfRule type="cellIs" dxfId="204" priority="6" stopIfTrue="1" operator="greaterThan">
      <formula>$C$34*0.1</formula>
    </cfRule>
  </conditionalFormatting>
  <conditionalFormatting sqref="D32">
    <cfRule type="cellIs" dxfId="203" priority="7" stopIfTrue="1" operator="greaterThan">
      <formula>$D$34*0.1</formula>
    </cfRule>
  </conditionalFormatting>
  <conditionalFormatting sqref="E32">
    <cfRule type="cellIs" dxfId="202" priority="8" stopIfTrue="1" operator="greaterThan">
      <formula>$E$34*0.1</formula>
    </cfRule>
  </conditionalFormatting>
  <conditionalFormatting sqref="C48">
    <cfRule type="cellIs" dxfId="201" priority="9" stopIfTrue="1" operator="greaterThan">
      <formula>$C$50*0.1</formula>
    </cfRule>
  </conditionalFormatting>
  <conditionalFormatting sqref="D48">
    <cfRule type="cellIs" dxfId="200" priority="10" stopIfTrue="1" operator="greaterThan">
      <formula>$D$50*0.1</formula>
    </cfRule>
  </conditionalFormatting>
  <conditionalFormatting sqref="E48">
    <cfRule type="cellIs" dxfId="199" priority="11" stopIfTrue="1" operator="greaterThan">
      <formula>$E$50*0.1</formula>
    </cfRule>
  </conditionalFormatting>
  <conditionalFormatting sqref="C56">
    <cfRule type="cellIs" dxfId="198" priority="12" stopIfTrue="1" operator="greaterThan">
      <formula>$C$58*0.1</formula>
    </cfRule>
  </conditionalFormatting>
  <conditionalFormatting sqref="D56">
    <cfRule type="cellIs" dxfId="197" priority="13" stopIfTrue="1" operator="greaterThan">
      <formula>$D$58*0.1</formula>
    </cfRule>
  </conditionalFormatting>
  <conditionalFormatting sqref="E56">
    <cfRule type="cellIs" dxfId="196" priority="14" stopIfTrue="1" operator="greaterThan">
      <formula>$E$58*0.1</formula>
    </cfRule>
  </conditionalFormatting>
  <conditionalFormatting sqref="D58">
    <cfRule type="cellIs" dxfId="195" priority="15" stopIfTrue="1" operator="greaterThan">
      <formula>$D$60</formula>
    </cfRule>
  </conditionalFormatting>
  <conditionalFormatting sqref="C58">
    <cfRule type="cellIs" dxfId="194" priority="16" stopIfTrue="1" operator="greaterThan">
      <formula>$C$60</formula>
    </cfRule>
  </conditionalFormatting>
  <conditionalFormatting sqref="C59 E59 C35 E35">
    <cfRule type="cellIs" dxfId="193" priority="17" stopIfTrue="1" operator="lessThan">
      <formula>0</formula>
    </cfRule>
  </conditionalFormatting>
  <conditionalFormatting sqref="D34">
    <cfRule type="cellIs" dxfId="192" priority="18" stopIfTrue="1" operator="greaterThan">
      <formula>$D$36</formula>
    </cfRule>
  </conditionalFormatting>
  <conditionalFormatting sqref="C34">
    <cfRule type="cellIs" dxfId="191" priority="19" stopIfTrue="1" operator="greaterThan">
      <formula>$C$36</formula>
    </cfRule>
  </conditionalFormatting>
  <conditionalFormatting sqref="D59">
    <cfRule type="cellIs" dxfId="190" priority="2" stopIfTrue="1" operator="lessThan">
      <formula>0</formula>
    </cfRule>
  </conditionalFormatting>
  <conditionalFormatting sqref="D35">
    <cfRule type="cellIs" dxfId="189" priority="1" stopIfTrue="1" operator="lessThan">
      <formula>0</formula>
    </cfRule>
  </conditionalFormatting>
  <printOptions horizontalCentered="1"/>
  <pageMargins left="0.5" right="0.5" top="0.5" bottom="0.5" header="0.3" footer="0.3"/>
  <pageSetup scale="94" orientation="portrait" blackAndWhite="1" horizontalDpi="120" verticalDpi="144"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0"/>
  <sheetViews>
    <sheetView topLeftCell="A7" workbookViewId="0">
      <selection activeCell="C10" activeCellId="1" sqref="C21:C25 C10:C12"/>
    </sheetView>
  </sheetViews>
  <sheetFormatPr defaultRowHeight="15.75" x14ac:dyDescent="0.2"/>
  <cols>
    <col min="1" max="1" width="2.44140625" style="34" customWidth="1"/>
    <col min="2" max="2" width="31.109375" style="34" customWidth="1"/>
    <col min="3" max="4" width="15.77734375" style="34" customWidth="1"/>
    <col min="5" max="5" width="16.21875" style="34" customWidth="1"/>
    <col min="6" max="16384" width="8.88671875" style="34"/>
  </cols>
  <sheetData>
    <row r="1" spans="2:5" x14ac:dyDescent="0.2">
      <c r="B1" s="188" t="str">
        <f>(inputPrYr!D2)</f>
        <v>City of Osawatomie</v>
      </c>
      <c r="C1" s="36"/>
      <c r="D1" s="36"/>
      <c r="E1" s="238">
        <f>inputPrYr!C5</f>
        <v>2014</v>
      </c>
    </row>
    <row r="2" spans="2:5" x14ac:dyDescent="0.2">
      <c r="B2" s="36"/>
      <c r="C2" s="36"/>
      <c r="D2" s="36"/>
      <c r="E2" s="160"/>
    </row>
    <row r="3" spans="2:5" x14ac:dyDescent="0.2">
      <c r="B3" s="239" t="s">
        <v>918</v>
      </c>
      <c r="C3" s="280"/>
      <c r="D3" s="280"/>
      <c r="E3" s="280"/>
    </row>
    <row r="4" spans="2:5" x14ac:dyDescent="0.2">
      <c r="B4" s="41" t="s">
        <v>850</v>
      </c>
      <c r="C4" s="418" t="s">
        <v>662</v>
      </c>
      <c r="D4" s="417" t="s">
        <v>663</v>
      </c>
      <c r="E4" s="394" t="s">
        <v>664</v>
      </c>
    </row>
    <row r="5" spans="2:5" x14ac:dyDescent="0.2">
      <c r="B5" s="544">
        <f>inputPrYr!B42</f>
        <v>0</v>
      </c>
      <c r="C5" s="419" t="str">
        <f>CONCATENATE("Actual for ",E1-2,"")</f>
        <v>Actual for 2012</v>
      </c>
      <c r="D5" s="419" t="str">
        <f>CONCATENATE("Estimate for ",E1-1,"")</f>
        <v>Estimate for 2013</v>
      </c>
      <c r="E5" s="403" t="str">
        <f>CONCATENATE("Year for ",E1,"")</f>
        <v>Year for 2014</v>
      </c>
    </row>
    <row r="6" spans="2:5" x14ac:dyDescent="0.2">
      <c r="B6" s="244" t="s">
        <v>971</v>
      </c>
      <c r="C6" s="56"/>
      <c r="D6" s="218">
        <f>C24</f>
        <v>0</v>
      </c>
      <c r="E6" s="218">
        <f>D24</f>
        <v>0</v>
      </c>
    </row>
    <row r="7" spans="2:5" x14ac:dyDescent="0.2">
      <c r="B7" s="248" t="s">
        <v>973</v>
      </c>
      <c r="C7" s="76"/>
      <c r="D7" s="76"/>
      <c r="E7" s="76"/>
    </row>
    <row r="8" spans="2:5" x14ac:dyDescent="0.2">
      <c r="B8" s="265"/>
      <c r="C8" s="56"/>
      <c r="D8" s="56"/>
      <c r="E8" s="56"/>
    </row>
    <row r="9" spans="2:5" x14ac:dyDescent="0.2">
      <c r="B9" s="265"/>
      <c r="C9" s="56"/>
      <c r="D9" s="56"/>
      <c r="E9" s="56"/>
    </row>
    <row r="10" spans="2:5" x14ac:dyDescent="0.2">
      <c r="B10" s="265"/>
      <c r="C10" s="56"/>
      <c r="D10" s="56"/>
      <c r="E10" s="56"/>
    </row>
    <row r="11" spans="2:5" x14ac:dyDescent="0.2">
      <c r="B11" s="253"/>
      <c r="C11" s="56"/>
      <c r="D11" s="56"/>
      <c r="E11" s="56"/>
    </row>
    <row r="12" spans="2:5" x14ac:dyDescent="0.2">
      <c r="B12" s="150" t="s">
        <v>730</v>
      </c>
      <c r="C12" s="56"/>
      <c r="D12" s="250"/>
      <c r="E12" s="250"/>
    </row>
    <row r="13" spans="2:5" x14ac:dyDescent="0.2">
      <c r="B13" s="244" t="s">
        <v>638</v>
      </c>
      <c r="C13" s="291" t="str">
        <f>IF(C14*0.1&lt;C12,"Exceed 10% Rule","")</f>
        <v/>
      </c>
      <c r="D13" s="255" t="str">
        <f>IF(D14*0.1&lt;D12,"Exceed 10% Rule","")</f>
        <v/>
      </c>
      <c r="E13" s="255" t="str">
        <f>IF(E14*0.1&lt;E12,"Exceed 10% Rule","")</f>
        <v/>
      </c>
    </row>
    <row r="14" spans="2:5" x14ac:dyDescent="0.2">
      <c r="B14" s="256" t="s">
        <v>859</v>
      </c>
      <c r="C14" s="259">
        <f>SUM(C8:C12)</f>
        <v>0</v>
      </c>
      <c r="D14" s="259">
        <f>SUM(D8:D12)</f>
        <v>0</v>
      </c>
      <c r="E14" s="259">
        <f>SUM(E8:E12)</f>
        <v>0</v>
      </c>
    </row>
    <row r="15" spans="2:5" x14ac:dyDescent="0.2">
      <c r="B15" s="256" t="s">
        <v>860</v>
      </c>
      <c r="C15" s="259">
        <f>C6+C14</f>
        <v>0</v>
      </c>
      <c r="D15" s="259">
        <f>D6+D14</f>
        <v>0</v>
      </c>
      <c r="E15" s="259">
        <f>E6+E14</f>
        <v>0</v>
      </c>
    </row>
    <row r="16" spans="2:5" x14ac:dyDescent="0.2">
      <c r="B16" s="141" t="s">
        <v>862</v>
      </c>
      <c r="C16" s="218"/>
      <c r="D16" s="218"/>
      <c r="E16" s="218"/>
    </row>
    <row r="17" spans="2:5" x14ac:dyDescent="0.2">
      <c r="B17" s="265"/>
      <c r="C17" s="56"/>
      <c r="D17" s="56"/>
      <c r="E17" s="56"/>
    </row>
    <row r="18" spans="2:5" x14ac:dyDescent="0.2">
      <c r="B18" s="265"/>
      <c r="C18" s="56"/>
      <c r="D18" s="56"/>
      <c r="E18" s="56"/>
    </row>
    <row r="19" spans="2:5" x14ac:dyDescent="0.2">
      <c r="B19" s="265"/>
      <c r="C19" s="56"/>
      <c r="D19" s="56"/>
      <c r="E19" s="56"/>
    </row>
    <row r="20" spans="2:5" x14ac:dyDescent="0.2">
      <c r="B20" s="265"/>
      <c r="C20" s="56"/>
      <c r="D20" s="56"/>
      <c r="E20" s="56"/>
    </row>
    <row r="21" spans="2:5" x14ac:dyDescent="0.2">
      <c r="B21" s="266" t="s">
        <v>730</v>
      </c>
      <c r="C21" s="56"/>
      <c r="D21" s="250"/>
      <c r="E21" s="250"/>
    </row>
    <row r="22" spans="2:5" x14ac:dyDescent="0.2">
      <c r="B22" s="266" t="s">
        <v>639</v>
      </c>
      <c r="C22" s="291" t="str">
        <f>IF(C23*0.1&lt;C21,"Exceed 10% Rule","")</f>
        <v/>
      </c>
      <c r="D22" s="255" t="str">
        <f>IF(D23*0.1&lt;D21,"Exceed 10% Rule","")</f>
        <v/>
      </c>
      <c r="E22" s="255" t="str">
        <f>IF(E23*0.1&lt;E21,"Exceed 10% Rule","")</f>
        <v/>
      </c>
    </row>
    <row r="23" spans="2:5" x14ac:dyDescent="0.2">
      <c r="B23" s="256" t="s">
        <v>866</v>
      </c>
      <c r="C23" s="259">
        <f>SUM(C17:C21)</f>
        <v>0</v>
      </c>
      <c r="D23" s="259">
        <f>SUM(D17:D21)</f>
        <v>0</v>
      </c>
      <c r="E23" s="259">
        <f>SUM(E17:E21)</f>
        <v>0</v>
      </c>
    </row>
    <row r="24" spans="2:5" x14ac:dyDescent="0.2">
      <c r="B24" s="141" t="s">
        <v>972</v>
      </c>
      <c r="C24" s="71">
        <f>C15-C23</f>
        <v>0</v>
      </c>
      <c r="D24" s="71">
        <f>D15-D23</f>
        <v>0</v>
      </c>
      <c r="E24" s="71">
        <f>E15-E23</f>
        <v>0</v>
      </c>
    </row>
    <row r="25" spans="2:5" x14ac:dyDescent="0.2">
      <c r="B25" s="127" t="str">
        <f>CONCATENATE("",E1-2,"/",E1-1," Budget Authority Amount:")</f>
        <v>2012/2013 Budget Authority Amount:</v>
      </c>
      <c r="C25" s="231">
        <f>inputOth!B83</f>
        <v>0</v>
      </c>
      <c r="D25" s="231">
        <f>inputPrYr!D42</f>
        <v>0</v>
      </c>
      <c r="E25" s="373" t="str">
        <f>IF(E24&lt;0,"See Tab E","")</f>
        <v/>
      </c>
    </row>
    <row r="26" spans="2:5" x14ac:dyDescent="0.2">
      <c r="B26" s="127"/>
      <c r="C26" s="269" t="str">
        <f>IF(C23&gt;C25,"See Tab A","")</f>
        <v/>
      </c>
      <c r="D26" s="269" t="str">
        <f>IF(D23&gt;D25,"See Tab C","")</f>
        <v/>
      </c>
      <c r="E26" s="86"/>
    </row>
    <row r="27" spans="2:5" x14ac:dyDescent="0.2">
      <c r="B27" s="127"/>
      <c r="C27" s="269" t="str">
        <f>IF(C24&lt;0,"See Tab B","")</f>
        <v/>
      </c>
      <c r="D27" s="269" t="str">
        <f>IF(D24&lt;0,"See Tab D","")</f>
        <v/>
      </c>
      <c r="E27" s="86"/>
    </row>
    <row r="28" spans="2:5" x14ac:dyDescent="0.2">
      <c r="B28" s="36"/>
      <c r="C28" s="86"/>
      <c r="D28" s="86"/>
      <c r="E28" s="86"/>
    </row>
    <row r="29" spans="2:5" x14ac:dyDescent="0.2">
      <c r="B29" s="41"/>
      <c r="C29" s="286"/>
      <c r="D29" s="286"/>
      <c r="E29" s="286"/>
    </row>
    <row r="30" spans="2:5" x14ac:dyDescent="0.2">
      <c r="B30" s="41" t="s">
        <v>850</v>
      </c>
      <c r="C30" s="271" t="s">
        <v>662</v>
      </c>
      <c r="D30" s="135" t="s">
        <v>663</v>
      </c>
      <c r="E30" s="135" t="s">
        <v>664</v>
      </c>
    </row>
    <row r="31" spans="2:5" x14ac:dyDescent="0.2">
      <c r="B31" s="544">
        <f>inputPrYr!B43</f>
        <v>0</v>
      </c>
      <c r="C31" s="243" t="str">
        <f>C5</f>
        <v>Actual for 2012</v>
      </c>
      <c r="D31" s="243" t="str">
        <f>D5</f>
        <v>Estimate for 2013</v>
      </c>
      <c r="E31" s="243" t="str">
        <f>E5</f>
        <v>Year for 2014</v>
      </c>
    </row>
    <row r="32" spans="2:5" x14ac:dyDescent="0.2">
      <c r="B32" s="244" t="s">
        <v>971</v>
      </c>
      <c r="C32" s="56"/>
      <c r="D32" s="218">
        <f>C55</f>
        <v>0</v>
      </c>
      <c r="E32" s="218">
        <f>D55</f>
        <v>0</v>
      </c>
    </row>
    <row r="33" spans="2:5" x14ac:dyDescent="0.2">
      <c r="B33" s="248" t="s">
        <v>973</v>
      </c>
      <c r="C33" s="76"/>
      <c r="D33" s="76"/>
      <c r="E33" s="76"/>
    </row>
    <row r="34" spans="2:5" x14ac:dyDescent="0.2">
      <c r="B34" s="265"/>
      <c r="C34" s="56"/>
      <c r="D34" s="56"/>
      <c r="E34" s="56"/>
    </row>
    <row r="35" spans="2:5" x14ac:dyDescent="0.2">
      <c r="B35" s="265"/>
      <c r="C35" s="56"/>
      <c r="D35" s="56"/>
      <c r="E35" s="56"/>
    </row>
    <row r="36" spans="2:5" x14ac:dyDescent="0.2">
      <c r="B36" s="265"/>
      <c r="C36" s="56"/>
      <c r="D36" s="56"/>
      <c r="E36" s="56"/>
    </row>
    <row r="37" spans="2:5" x14ac:dyDescent="0.2">
      <c r="B37" s="265"/>
      <c r="C37" s="56"/>
      <c r="D37" s="56"/>
      <c r="E37" s="56"/>
    </row>
    <row r="38" spans="2:5" x14ac:dyDescent="0.2">
      <c r="B38" s="253" t="s">
        <v>858</v>
      </c>
      <c r="C38" s="56"/>
      <c r="D38" s="56"/>
      <c r="E38" s="56"/>
    </row>
    <row r="39" spans="2:5" x14ac:dyDescent="0.2">
      <c r="B39" s="150" t="s">
        <v>730</v>
      </c>
      <c r="C39" s="56"/>
      <c r="D39" s="250"/>
      <c r="E39" s="250"/>
    </row>
    <row r="40" spans="2:5" x14ac:dyDescent="0.2">
      <c r="B40" s="244" t="s">
        <v>638</v>
      </c>
      <c r="C40" s="291" t="str">
        <f>IF(C41*0.1&lt;C39,"Exceed 10% Rule","")</f>
        <v/>
      </c>
      <c r="D40" s="255" t="str">
        <f>IF(D41*0.1&lt;D39,"Exceed 10% Rule","")</f>
        <v/>
      </c>
      <c r="E40" s="255" t="str">
        <f>IF(E41*0.1&lt;E39,"Exceed 10% Rule","")</f>
        <v/>
      </c>
    </row>
    <row r="41" spans="2:5" x14ac:dyDescent="0.2">
      <c r="B41" s="256" t="s">
        <v>859</v>
      </c>
      <c r="C41" s="259">
        <f>SUM(C34:C39)</f>
        <v>0</v>
      </c>
      <c r="D41" s="259">
        <f>SUM(D34:D39)</f>
        <v>0</v>
      </c>
      <c r="E41" s="259">
        <f>SUM(E34:E39)</f>
        <v>0</v>
      </c>
    </row>
    <row r="42" spans="2:5" x14ac:dyDescent="0.2">
      <c r="B42" s="256" t="s">
        <v>860</v>
      </c>
      <c r="C42" s="259">
        <f>C32+C41</f>
        <v>0</v>
      </c>
      <c r="D42" s="259">
        <f>D32+D41</f>
        <v>0</v>
      </c>
      <c r="E42" s="259">
        <f>E32+E41</f>
        <v>0</v>
      </c>
    </row>
    <row r="43" spans="2:5" x14ac:dyDescent="0.2">
      <c r="B43" s="141" t="s">
        <v>862</v>
      </c>
      <c r="C43" s="218"/>
      <c r="D43" s="218"/>
      <c r="E43" s="218"/>
    </row>
    <row r="44" spans="2:5" x14ac:dyDescent="0.2">
      <c r="B44" s="265"/>
      <c r="C44" s="56"/>
      <c r="D44" s="56"/>
      <c r="E44" s="56"/>
    </row>
    <row r="45" spans="2:5" x14ac:dyDescent="0.2">
      <c r="B45" s="265"/>
      <c r="C45" s="56"/>
      <c r="D45" s="56"/>
      <c r="E45" s="56"/>
    </row>
    <row r="46" spans="2:5" x14ac:dyDescent="0.2">
      <c r="B46" s="265"/>
      <c r="C46" s="56"/>
      <c r="D46" s="56"/>
      <c r="E46" s="56"/>
    </row>
    <row r="47" spans="2:5" x14ac:dyDescent="0.2">
      <c r="B47" s="265"/>
      <c r="C47" s="56"/>
      <c r="D47" s="56"/>
      <c r="E47" s="56"/>
    </row>
    <row r="48" spans="2:5" x14ac:dyDescent="0.2">
      <c r="B48" s="265"/>
      <c r="C48" s="56"/>
      <c r="D48" s="56"/>
      <c r="E48" s="56"/>
    </row>
    <row r="49" spans="2:5" x14ac:dyDescent="0.2">
      <c r="B49" s="265"/>
      <c r="C49" s="56"/>
      <c r="D49" s="56"/>
      <c r="E49" s="56"/>
    </row>
    <row r="50" spans="2:5" x14ac:dyDescent="0.2">
      <c r="B50" s="265"/>
      <c r="C50" s="56"/>
      <c r="D50" s="56"/>
      <c r="E50" s="56"/>
    </row>
    <row r="51" spans="2:5" x14ac:dyDescent="0.2">
      <c r="B51" s="265"/>
      <c r="C51" s="56"/>
      <c r="D51" s="56"/>
      <c r="E51" s="56"/>
    </row>
    <row r="52" spans="2:5" x14ac:dyDescent="0.2">
      <c r="B52" s="266" t="s">
        <v>730</v>
      </c>
      <c r="C52" s="56"/>
      <c r="D52" s="250"/>
      <c r="E52" s="250"/>
    </row>
    <row r="53" spans="2:5" x14ac:dyDescent="0.2">
      <c r="B53" s="266" t="s">
        <v>639</v>
      </c>
      <c r="C53" s="291" t="str">
        <f>IF(C54*0.1&lt;C52,"Exceed 10% Rule","")</f>
        <v/>
      </c>
      <c r="D53" s="255" t="str">
        <f>IF(D54*0.1&lt;D52,"Exceed 10% Rule","")</f>
        <v/>
      </c>
      <c r="E53" s="255" t="str">
        <f>IF(E54*0.1&lt;E52,"Exceed 10% Rule","")</f>
        <v/>
      </c>
    </row>
    <row r="54" spans="2:5" x14ac:dyDescent="0.2">
      <c r="B54" s="256" t="s">
        <v>866</v>
      </c>
      <c r="C54" s="259">
        <f>SUM(C44:C52)</f>
        <v>0</v>
      </c>
      <c r="D54" s="259">
        <f>SUM(D44:D52)</f>
        <v>0</v>
      </c>
      <c r="E54" s="259">
        <f>SUM(E44:E52)</f>
        <v>0</v>
      </c>
    </row>
    <row r="55" spans="2:5" x14ac:dyDescent="0.2">
      <c r="B55" s="141" t="s">
        <v>972</v>
      </c>
      <c r="C55" s="71">
        <f>C42-C54</f>
        <v>0</v>
      </c>
      <c r="D55" s="71">
        <f>D42-D54</f>
        <v>0</v>
      </c>
      <c r="E55" s="71">
        <f>E42-E54</f>
        <v>0</v>
      </c>
    </row>
    <row r="56" spans="2:5" x14ac:dyDescent="0.2">
      <c r="B56" s="127" t="str">
        <f>CONCATENATE("",E1-2,"/",E1-1," Budget Authority Amount:")</f>
        <v>2012/2013 Budget Authority Amount:</v>
      </c>
      <c r="C56" s="231">
        <f>inputOth!B84</f>
        <v>0</v>
      </c>
      <c r="D56" s="231">
        <f>inputPrYr!D43</f>
        <v>0</v>
      </c>
      <c r="E56" s="373" t="str">
        <f>IF(E55&lt;0,"See Tab E","")</f>
        <v/>
      </c>
    </row>
    <row r="57" spans="2:5" x14ac:dyDescent="0.2">
      <c r="B57" s="127"/>
      <c r="C57" s="269" t="str">
        <f>IF(C54&gt;C56,"See Tab A","")</f>
        <v/>
      </c>
      <c r="D57" s="269" t="str">
        <f>IF(D54&gt;D56,"See Tab C","")</f>
        <v/>
      </c>
      <c r="E57" s="36"/>
    </row>
    <row r="58" spans="2:5" x14ac:dyDescent="0.2">
      <c r="B58" s="127"/>
      <c r="C58" s="269" t="str">
        <f>IF(C55&lt;0,"See Tab B","")</f>
        <v/>
      </c>
      <c r="D58" s="269" t="str">
        <f>IF(D55&lt;0,"See Tab D","")</f>
        <v/>
      </c>
      <c r="E58" s="36"/>
    </row>
    <row r="59" spans="2:5" x14ac:dyDescent="0.2">
      <c r="B59" s="36"/>
      <c r="C59" s="36"/>
      <c r="D59" s="36"/>
      <c r="E59" s="36"/>
    </row>
    <row r="60" spans="2:5" x14ac:dyDescent="0.2">
      <c r="B60" s="160" t="s">
        <v>869</v>
      </c>
      <c r="C60" s="273"/>
      <c r="D60" s="36"/>
      <c r="E60" s="36"/>
    </row>
  </sheetData>
  <phoneticPr fontId="0" type="noConversion"/>
  <conditionalFormatting sqref="C12">
    <cfRule type="cellIs" dxfId="188" priority="3" stopIfTrue="1" operator="greaterThan">
      <formula>$C$14*0.1</formula>
    </cfRule>
  </conditionalFormatting>
  <conditionalFormatting sqref="D12">
    <cfRule type="cellIs" dxfId="187" priority="4" stopIfTrue="1" operator="greaterThan">
      <formula>$D$14*0.1</formula>
    </cfRule>
  </conditionalFormatting>
  <conditionalFormatting sqref="E12">
    <cfRule type="cellIs" dxfId="186" priority="5" stopIfTrue="1" operator="greaterThan">
      <formula>$E$14*0.1</formula>
    </cfRule>
  </conditionalFormatting>
  <conditionalFormatting sqref="C21">
    <cfRule type="cellIs" dxfId="185" priority="6" stopIfTrue="1" operator="greaterThan">
      <formula>$C$23*0.1</formula>
    </cfRule>
  </conditionalFormatting>
  <conditionalFormatting sqref="D21">
    <cfRule type="cellIs" dxfId="184" priority="7" stopIfTrue="1" operator="greaterThan">
      <formula>$D$23*0.1</formula>
    </cfRule>
  </conditionalFormatting>
  <conditionalFormatting sqref="E21">
    <cfRule type="cellIs" dxfId="183" priority="8" stopIfTrue="1" operator="greaterThan">
      <formula>$E$23*0.1</formula>
    </cfRule>
  </conditionalFormatting>
  <conditionalFormatting sqref="C39">
    <cfRule type="cellIs" dxfId="182" priority="9" stopIfTrue="1" operator="greaterThan">
      <formula>$C$41*0.1</formula>
    </cfRule>
  </conditionalFormatting>
  <conditionalFormatting sqref="D39">
    <cfRule type="cellIs" dxfId="181" priority="10" stopIfTrue="1" operator="greaterThan">
      <formula>$D$41*0.1</formula>
    </cfRule>
  </conditionalFormatting>
  <conditionalFormatting sqref="E39">
    <cfRule type="cellIs" dxfId="180" priority="11" stopIfTrue="1" operator="greaterThan">
      <formula>$E$41*0.1</formula>
    </cfRule>
  </conditionalFormatting>
  <conditionalFormatting sqref="C52">
    <cfRule type="cellIs" dxfId="179" priority="12" stopIfTrue="1" operator="greaterThan">
      <formula>$C$54*0.1</formula>
    </cfRule>
  </conditionalFormatting>
  <conditionalFormatting sqref="D52">
    <cfRule type="cellIs" dxfId="178" priority="13" stopIfTrue="1" operator="greaterThan">
      <formula>$D$54*0.1</formula>
    </cfRule>
  </conditionalFormatting>
  <conditionalFormatting sqref="E52">
    <cfRule type="cellIs" dxfId="177" priority="14" stopIfTrue="1" operator="greaterThan">
      <formula>$E$54*0.1</formula>
    </cfRule>
  </conditionalFormatting>
  <conditionalFormatting sqref="D54">
    <cfRule type="cellIs" dxfId="176" priority="15" stopIfTrue="1" operator="greaterThan">
      <formula>$D$56</formula>
    </cfRule>
  </conditionalFormatting>
  <conditionalFormatting sqref="C54">
    <cfRule type="cellIs" dxfId="175" priority="16" stopIfTrue="1" operator="greaterThan">
      <formula>$C$56</formula>
    </cfRule>
  </conditionalFormatting>
  <conditionalFormatting sqref="C55 E55 C24 E24">
    <cfRule type="cellIs" dxfId="174" priority="17" stopIfTrue="1" operator="lessThan">
      <formula>0</formula>
    </cfRule>
  </conditionalFormatting>
  <conditionalFormatting sqref="D23">
    <cfRule type="cellIs" dxfId="173" priority="18" stopIfTrue="1" operator="greaterThan">
      <formula>$D$25</formula>
    </cfRule>
  </conditionalFormatting>
  <conditionalFormatting sqref="C23">
    <cfRule type="cellIs" dxfId="172" priority="19" stopIfTrue="1" operator="greaterThan">
      <formula>$C$25</formula>
    </cfRule>
  </conditionalFormatting>
  <conditionalFormatting sqref="D55">
    <cfRule type="cellIs" dxfId="171" priority="2" stopIfTrue="1" operator="lessThan">
      <formula>0</formula>
    </cfRule>
  </conditionalFormatting>
  <conditionalFormatting sqref="D24">
    <cfRule type="cellIs" dxfId="170" priority="1" stopIfTrue="1" operator="lessThan">
      <formula>0</formula>
    </cfRule>
  </conditionalFormatting>
  <pageMargins left="0.5" right="0.5" top="1" bottom="0.5" header="0.5" footer="0.5"/>
  <pageSetup scale="72" orientation="portrait" blackAndWhite="1" horizontalDpi="120" verticalDpi="144"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3"/>
  <sheetViews>
    <sheetView zoomScaleNormal="100" workbookViewId="0">
      <selection activeCell="C10" activeCellId="1" sqref="C21:C25 C10:C12"/>
    </sheetView>
  </sheetViews>
  <sheetFormatPr defaultRowHeight="15.75" x14ac:dyDescent="0.2"/>
  <cols>
    <col min="1" max="1" width="2.44140625" style="34" customWidth="1"/>
    <col min="2" max="2" width="31.109375" style="34" customWidth="1"/>
    <col min="3" max="4" width="15.77734375" style="34" customWidth="1"/>
    <col min="5" max="5" width="16.109375" style="34" customWidth="1"/>
    <col min="6" max="6" width="8.109375" style="34" customWidth="1"/>
    <col min="7" max="7" width="10.21875" style="34" customWidth="1"/>
    <col min="8" max="8" width="8.88671875" style="34"/>
    <col min="9" max="9" width="5" style="34" customWidth="1"/>
    <col min="10" max="10" width="10" style="34" customWidth="1"/>
    <col min="11" max="16384" width="8.88671875" style="34"/>
  </cols>
  <sheetData>
    <row r="1" spans="2:5" x14ac:dyDescent="0.2">
      <c r="B1" s="188" t="str">
        <f>(inputPrYr!D2)</f>
        <v>City of Osawatomie</v>
      </c>
      <c r="C1" s="36"/>
      <c r="D1" s="36"/>
      <c r="E1" s="238">
        <f>inputPrYr!C5</f>
        <v>2014</v>
      </c>
    </row>
    <row r="2" spans="2:5" x14ac:dyDescent="0.2">
      <c r="B2" s="36"/>
      <c r="C2" s="36"/>
      <c r="D2" s="36"/>
      <c r="E2" s="160"/>
    </row>
    <row r="3" spans="2:5" x14ac:dyDescent="0.2">
      <c r="B3" s="239" t="s">
        <v>918</v>
      </c>
      <c r="C3" s="280"/>
      <c r="D3" s="280"/>
      <c r="E3" s="280"/>
    </row>
    <row r="4" spans="2:5" x14ac:dyDescent="0.2">
      <c r="B4" s="41" t="s">
        <v>850</v>
      </c>
      <c r="C4" s="418" t="s">
        <v>662</v>
      </c>
      <c r="D4" s="417" t="s">
        <v>663</v>
      </c>
      <c r="E4" s="394" t="s">
        <v>664</v>
      </c>
    </row>
    <row r="5" spans="2:5" x14ac:dyDescent="0.2">
      <c r="B5" s="544">
        <f>inputPrYr!B44</f>
        <v>0</v>
      </c>
      <c r="C5" s="419" t="str">
        <f>CONCATENATE("Actual for ",E1-2,"")</f>
        <v>Actual for 2012</v>
      </c>
      <c r="D5" s="419" t="str">
        <f>CONCATENATE("Estimate for ",E1-1,"")</f>
        <v>Estimate for 2013</v>
      </c>
      <c r="E5" s="403" t="str">
        <f>CONCATENATE("Year for ",E1,"")</f>
        <v>Year for 2014</v>
      </c>
    </row>
    <row r="6" spans="2:5" x14ac:dyDescent="0.2">
      <c r="B6" s="244" t="s">
        <v>971</v>
      </c>
      <c r="C6" s="56"/>
      <c r="D6" s="218">
        <f>C24</f>
        <v>0</v>
      </c>
      <c r="E6" s="218">
        <f>D24</f>
        <v>0</v>
      </c>
    </row>
    <row r="7" spans="2:5" x14ac:dyDescent="0.2">
      <c r="B7" s="248" t="s">
        <v>973</v>
      </c>
      <c r="C7" s="76"/>
      <c r="D7" s="76"/>
      <c r="E7" s="76"/>
    </row>
    <row r="8" spans="2:5" x14ac:dyDescent="0.2">
      <c r="B8" s="265"/>
      <c r="C8" s="56"/>
      <c r="D8" s="56"/>
      <c r="E8" s="56"/>
    </row>
    <row r="9" spans="2:5" x14ac:dyDescent="0.2">
      <c r="B9" s="265"/>
      <c r="C9" s="56"/>
      <c r="D9" s="56"/>
      <c r="E9" s="56"/>
    </row>
    <row r="10" spans="2:5" x14ac:dyDescent="0.2">
      <c r="B10" s="265"/>
      <c r="C10" s="56"/>
      <c r="D10" s="56"/>
      <c r="E10" s="56"/>
    </row>
    <row r="11" spans="2:5" x14ac:dyDescent="0.2">
      <c r="B11" s="253"/>
      <c r="C11" s="56"/>
      <c r="D11" s="56"/>
      <c r="E11" s="56"/>
    </row>
    <row r="12" spans="2:5" x14ac:dyDescent="0.2">
      <c r="B12" s="150" t="s">
        <v>730</v>
      </c>
      <c r="C12" s="202"/>
      <c r="D12" s="202"/>
      <c r="E12" s="202"/>
    </row>
    <row r="13" spans="2:5" x14ac:dyDescent="0.2">
      <c r="B13" s="244" t="s">
        <v>638</v>
      </c>
      <c r="C13" s="291" t="str">
        <f>IF(C14*0.1&lt;C12,"Exceed 10% Rule","")</f>
        <v/>
      </c>
      <c r="D13" s="255" t="str">
        <f>IF(D14*0.1&lt;D12,"Exceed 10% Rule","")</f>
        <v/>
      </c>
      <c r="E13" s="255" t="str">
        <f>IF(E14*0.1&lt;E12,"Exceed 10% Rule","")</f>
        <v/>
      </c>
    </row>
    <row r="14" spans="2:5" x14ac:dyDescent="0.2">
      <c r="B14" s="256" t="s">
        <v>859</v>
      </c>
      <c r="C14" s="259">
        <f>SUM(C8:C12)</f>
        <v>0</v>
      </c>
      <c r="D14" s="259">
        <f>SUM(D8:D12)</f>
        <v>0</v>
      </c>
      <c r="E14" s="259">
        <f>SUM(E8:E12)</f>
        <v>0</v>
      </c>
    </row>
    <row r="15" spans="2:5" x14ac:dyDescent="0.2">
      <c r="B15" s="256" t="s">
        <v>860</v>
      </c>
      <c r="C15" s="259">
        <f>C6+C14</f>
        <v>0</v>
      </c>
      <c r="D15" s="259">
        <f>D6+D14</f>
        <v>0</v>
      </c>
      <c r="E15" s="259">
        <f>E6+E14</f>
        <v>0</v>
      </c>
    </row>
    <row r="16" spans="2:5" x14ac:dyDescent="0.2">
      <c r="B16" s="141" t="s">
        <v>862</v>
      </c>
      <c r="C16" s="218"/>
      <c r="D16" s="218"/>
      <c r="E16" s="218"/>
    </row>
    <row r="17" spans="2:5" x14ac:dyDescent="0.2">
      <c r="B17" s="265"/>
      <c r="C17" s="56"/>
      <c r="D17" s="56"/>
      <c r="E17" s="56"/>
    </row>
    <row r="18" spans="2:5" x14ac:dyDescent="0.2">
      <c r="B18" s="265"/>
      <c r="C18" s="56"/>
      <c r="D18" s="56"/>
      <c r="E18" s="56"/>
    </row>
    <row r="19" spans="2:5" x14ac:dyDescent="0.2">
      <c r="B19" s="265"/>
      <c r="C19" s="56"/>
      <c r="D19" s="56"/>
      <c r="E19" s="56"/>
    </row>
    <row r="20" spans="2:5" x14ac:dyDescent="0.2">
      <c r="B20" s="265"/>
      <c r="C20" s="56"/>
      <c r="D20" s="56"/>
      <c r="E20" s="56"/>
    </row>
    <row r="21" spans="2:5" x14ac:dyDescent="0.2">
      <c r="B21" s="266" t="s">
        <v>730</v>
      </c>
      <c r="C21" s="56"/>
      <c r="D21" s="250"/>
      <c r="E21" s="250"/>
    </row>
    <row r="22" spans="2:5" x14ac:dyDescent="0.2">
      <c r="B22" s="266" t="s">
        <v>639</v>
      </c>
      <c r="C22" s="291" t="str">
        <f>IF(C23*0.1&lt;C21,"Exceed 10% Rule","")</f>
        <v/>
      </c>
      <c r="D22" s="255" t="str">
        <f>IF(D23*0.1&lt;D21,"Exceed 10% Rule","")</f>
        <v/>
      </c>
      <c r="E22" s="255" t="str">
        <f>IF(E23*0.1&lt;E21,"Exceed 10% Rule","")</f>
        <v/>
      </c>
    </row>
    <row r="23" spans="2:5" x14ac:dyDescent="0.2">
      <c r="B23" s="256" t="s">
        <v>866</v>
      </c>
      <c r="C23" s="259">
        <f>SUM(C17:C21)</f>
        <v>0</v>
      </c>
      <c r="D23" s="259">
        <f>SUM(D17:D21)</f>
        <v>0</v>
      </c>
      <c r="E23" s="259">
        <f>SUM(E17:E21)</f>
        <v>0</v>
      </c>
    </row>
    <row r="24" spans="2:5" x14ac:dyDescent="0.2">
      <c r="B24" s="141" t="s">
        <v>972</v>
      </c>
      <c r="C24" s="71">
        <f>C15-C23</f>
        <v>0</v>
      </c>
      <c r="D24" s="71">
        <f>D15-D23</f>
        <v>0</v>
      </c>
      <c r="E24" s="71">
        <f>E15-E23</f>
        <v>0</v>
      </c>
    </row>
    <row r="25" spans="2:5" x14ac:dyDescent="0.2">
      <c r="B25" s="127" t="str">
        <f>CONCATENATE("",E1-2,"/",E1-1," Budget Authority Amount:")</f>
        <v>2012/2013 Budget Authority Amount:</v>
      </c>
      <c r="C25" s="231">
        <f>inputOth!B85</f>
        <v>0</v>
      </c>
      <c r="D25" s="231">
        <f>inputPrYr!D44</f>
        <v>0</v>
      </c>
      <c r="E25" s="373" t="str">
        <f>IF(E24&lt;0,"See Tab E","")</f>
        <v/>
      </c>
    </row>
    <row r="26" spans="2:5" x14ac:dyDescent="0.2">
      <c r="B26" s="127"/>
      <c r="C26" s="269" t="str">
        <f>IF(C23&gt;C25,"See Tab A","")</f>
        <v/>
      </c>
      <c r="D26" s="269" t="str">
        <f>IF(D23&gt;D25,"See Tab C","")</f>
        <v/>
      </c>
      <c r="E26" s="86"/>
    </row>
    <row r="27" spans="2:5" x14ac:dyDescent="0.2">
      <c r="B27" s="127"/>
      <c r="C27" s="269" t="str">
        <f>IF(C24&lt;0,"See Tab B","")</f>
        <v/>
      </c>
      <c r="D27" s="269" t="str">
        <f>IF(D24&lt;0,"See Tab D","")</f>
        <v/>
      </c>
      <c r="E27" s="86"/>
    </row>
    <row r="28" spans="2:5" x14ac:dyDescent="0.2">
      <c r="B28" s="36"/>
      <c r="C28" s="86"/>
      <c r="D28" s="86"/>
      <c r="E28" s="86"/>
    </row>
    <row r="29" spans="2:5" x14ac:dyDescent="0.2">
      <c r="B29" s="41"/>
      <c r="C29" s="286"/>
      <c r="D29" s="286"/>
      <c r="E29" s="286"/>
    </row>
    <row r="30" spans="2:5" x14ac:dyDescent="0.2">
      <c r="B30" s="41" t="s">
        <v>850</v>
      </c>
      <c r="C30" s="271" t="s">
        <v>662</v>
      </c>
      <c r="D30" s="135" t="s">
        <v>663</v>
      </c>
      <c r="E30" s="135" t="s">
        <v>766</v>
      </c>
    </row>
    <row r="31" spans="2:5" x14ac:dyDescent="0.2">
      <c r="B31" s="544">
        <f>inputPrYr!B45</f>
        <v>0</v>
      </c>
      <c r="C31" s="243" t="str">
        <f>C5</f>
        <v>Actual for 2012</v>
      </c>
      <c r="D31" s="243" t="str">
        <f>D5</f>
        <v>Estimate for 2013</v>
      </c>
      <c r="E31" s="243" t="str">
        <f>E5</f>
        <v>Year for 2014</v>
      </c>
    </row>
    <row r="32" spans="2:5" x14ac:dyDescent="0.2">
      <c r="B32" s="244" t="s">
        <v>971</v>
      </c>
      <c r="C32" s="56"/>
      <c r="D32" s="218">
        <f>C48</f>
        <v>0</v>
      </c>
      <c r="E32" s="218">
        <f>D48</f>
        <v>0</v>
      </c>
    </row>
    <row r="33" spans="2:5" x14ac:dyDescent="0.2">
      <c r="B33" s="248" t="s">
        <v>973</v>
      </c>
      <c r="C33" s="76"/>
      <c r="D33" s="76"/>
      <c r="E33" s="76"/>
    </row>
    <row r="34" spans="2:5" x14ac:dyDescent="0.2">
      <c r="B34" s="265"/>
      <c r="C34" s="56"/>
      <c r="D34" s="56"/>
      <c r="E34" s="56"/>
    </row>
    <row r="35" spans="2:5" x14ac:dyDescent="0.2">
      <c r="B35" s="265"/>
      <c r="C35" s="56"/>
      <c r="D35" s="56"/>
      <c r="E35" s="56"/>
    </row>
    <row r="36" spans="2:5" x14ac:dyDescent="0.2">
      <c r="B36" s="253" t="s">
        <v>858</v>
      </c>
      <c r="C36" s="56"/>
      <c r="D36" s="56"/>
      <c r="E36" s="56"/>
    </row>
    <row r="37" spans="2:5" x14ac:dyDescent="0.2">
      <c r="B37" s="150" t="s">
        <v>730</v>
      </c>
      <c r="C37" s="56"/>
      <c r="D37" s="250"/>
      <c r="E37" s="250"/>
    </row>
    <row r="38" spans="2:5" x14ac:dyDescent="0.2">
      <c r="B38" s="244" t="s">
        <v>638</v>
      </c>
      <c r="C38" s="291" t="str">
        <f>IF(C39*0.1&lt;C37,"Exceed 10% Rule","")</f>
        <v/>
      </c>
      <c r="D38" s="255" t="str">
        <f>IF(D39*0.1&lt;D37,"Exceed 10% Rule","")</f>
        <v/>
      </c>
      <c r="E38" s="255" t="str">
        <f>IF(E39*0.1&lt;E37,"Exceed 10% Rule","")</f>
        <v/>
      </c>
    </row>
    <row r="39" spans="2:5" x14ac:dyDescent="0.2">
      <c r="B39" s="256" t="s">
        <v>859</v>
      </c>
      <c r="C39" s="259">
        <f>SUM(C34:C37)</f>
        <v>0</v>
      </c>
      <c r="D39" s="259">
        <f>SUM(D34:D37)</f>
        <v>0</v>
      </c>
      <c r="E39" s="259">
        <f>SUM(E34:E37)</f>
        <v>0</v>
      </c>
    </row>
    <row r="40" spans="2:5" x14ac:dyDescent="0.2">
      <c r="B40" s="256" t="s">
        <v>860</v>
      </c>
      <c r="C40" s="259">
        <f>C32+C39</f>
        <v>0</v>
      </c>
      <c r="D40" s="259">
        <f>D32+D39</f>
        <v>0</v>
      </c>
      <c r="E40" s="259">
        <f>E32+E39</f>
        <v>0</v>
      </c>
    </row>
    <row r="41" spans="2:5" x14ac:dyDescent="0.2">
      <c r="B41" s="141" t="s">
        <v>862</v>
      </c>
      <c r="C41" s="218"/>
      <c r="D41" s="218"/>
      <c r="E41" s="218"/>
    </row>
    <row r="42" spans="2:5" x14ac:dyDescent="0.2">
      <c r="B42" s="265"/>
      <c r="C42" s="56"/>
      <c r="D42" s="56"/>
      <c r="E42" s="56"/>
    </row>
    <row r="43" spans="2:5" x14ac:dyDescent="0.2">
      <c r="B43" s="265"/>
      <c r="C43" s="56"/>
      <c r="D43" s="56"/>
      <c r="E43" s="56"/>
    </row>
    <row r="44" spans="2:5" x14ac:dyDescent="0.2">
      <c r="B44" s="265"/>
      <c r="C44" s="56"/>
      <c r="D44" s="56"/>
      <c r="E44" s="56"/>
    </row>
    <row r="45" spans="2:5" x14ac:dyDescent="0.2">
      <c r="B45" s="266" t="s">
        <v>730</v>
      </c>
      <c r="C45" s="56"/>
      <c r="D45" s="250"/>
      <c r="E45" s="250"/>
    </row>
    <row r="46" spans="2:5" x14ac:dyDescent="0.2">
      <c r="B46" s="266" t="s">
        <v>639</v>
      </c>
      <c r="C46" s="291" t="str">
        <f>IF(C47*0.1&lt;C45,"Exceed 10% Rule","")</f>
        <v/>
      </c>
      <c r="D46" s="255" t="str">
        <f>IF(D47*0.1&lt;D45,"Exceed 10% Rule","")</f>
        <v/>
      </c>
      <c r="E46" s="255" t="str">
        <f>IF(E47*0.1&lt;E45,"Exceed 10% Rule","")</f>
        <v/>
      </c>
    </row>
    <row r="47" spans="2:5" x14ac:dyDescent="0.2">
      <c r="B47" s="256" t="s">
        <v>866</v>
      </c>
      <c r="C47" s="259">
        <f>SUM(C42:C45)</f>
        <v>0</v>
      </c>
      <c r="D47" s="259">
        <f>SUM(D42:D45)</f>
        <v>0</v>
      </c>
      <c r="E47" s="259">
        <f>SUM(E42:E45)</f>
        <v>0</v>
      </c>
    </row>
    <row r="48" spans="2:5" x14ac:dyDescent="0.2">
      <c r="B48" s="141" t="s">
        <v>972</v>
      </c>
      <c r="C48" s="71">
        <f>C40-C47</f>
        <v>0</v>
      </c>
      <c r="D48" s="71">
        <f>D40-D47</f>
        <v>0</v>
      </c>
      <c r="E48" s="71">
        <f>E40-E47</f>
        <v>0</v>
      </c>
    </row>
    <row r="49" spans="2:5" x14ac:dyDescent="0.2">
      <c r="B49" s="127" t="str">
        <f>CONCATENATE("",E1-2,"/",E1-1," Budget Authority Amount:")</f>
        <v>2012/2013 Budget Authority Amount:</v>
      </c>
      <c r="C49" s="231">
        <f>inputOth!B86</f>
        <v>0</v>
      </c>
      <c r="D49" s="231">
        <f>inputPrYr!D45</f>
        <v>0</v>
      </c>
      <c r="E49" s="373" t="str">
        <f>IF(E48&lt;0,"See Tab E","")</f>
        <v/>
      </c>
    </row>
    <row r="50" spans="2:5" x14ac:dyDescent="0.2">
      <c r="B50" s="127"/>
      <c r="C50" s="269" t="str">
        <f>IF(C47&gt;C49,"See Tab A","")</f>
        <v/>
      </c>
      <c r="D50" s="269" t="str">
        <f>IF(D47&gt;D49,"See Tab C","")</f>
        <v/>
      </c>
      <c r="E50" s="36"/>
    </row>
    <row r="51" spans="2:5" x14ac:dyDescent="0.2">
      <c r="B51" s="127"/>
      <c r="C51" s="269" t="str">
        <f>IF(C48&lt;0,"See Tab B","")</f>
        <v/>
      </c>
      <c r="D51" s="269" t="str">
        <f>IF(D48&lt;0,"See Tab D","")</f>
        <v/>
      </c>
      <c r="E51" s="36"/>
    </row>
    <row r="52" spans="2:5" x14ac:dyDescent="0.2">
      <c r="B52" s="36"/>
      <c r="C52" s="36"/>
      <c r="D52" s="36"/>
      <c r="E52" s="36"/>
    </row>
    <row r="53" spans="2:5" x14ac:dyDescent="0.2">
      <c r="B53" s="160" t="s">
        <v>869</v>
      </c>
      <c r="C53" s="273"/>
      <c r="D53" s="36"/>
      <c r="E53" s="36"/>
    </row>
  </sheetData>
  <phoneticPr fontId="0" type="noConversion"/>
  <conditionalFormatting sqref="C12">
    <cfRule type="cellIs" dxfId="169" priority="4" stopIfTrue="1" operator="greaterThan">
      <formula>$C$14*0.1</formula>
    </cfRule>
  </conditionalFormatting>
  <conditionalFormatting sqref="D12">
    <cfRule type="cellIs" dxfId="168" priority="5" stopIfTrue="1" operator="greaterThan">
      <formula>$D$14*0.1</formula>
    </cfRule>
  </conditionalFormatting>
  <conditionalFormatting sqref="E12">
    <cfRule type="cellIs" dxfId="167" priority="6" stopIfTrue="1" operator="greaterThan">
      <formula>$E$14*0.1</formula>
    </cfRule>
  </conditionalFormatting>
  <conditionalFormatting sqref="C21">
    <cfRule type="cellIs" dxfId="166" priority="7" stopIfTrue="1" operator="greaterThan">
      <formula>$C$23*0.1</formula>
    </cfRule>
  </conditionalFormatting>
  <conditionalFormatting sqref="D21">
    <cfRule type="cellIs" dxfId="165" priority="8" stopIfTrue="1" operator="greaterThan">
      <formula>$D$23*0.1</formula>
    </cfRule>
  </conditionalFormatting>
  <conditionalFormatting sqref="E21">
    <cfRule type="cellIs" dxfId="164" priority="9" stopIfTrue="1" operator="greaterThan">
      <formula>$E$23*0.1</formula>
    </cfRule>
  </conditionalFormatting>
  <conditionalFormatting sqref="C37">
    <cfRule type="cellIs" dxfId="163" priority="10" stopIfTrue="1" operator="greaterThan">
      <formula>$C$39*0.1</formula>
    </cfRule>
  </conditionalFormatting>
  <conditionalFormatting sqref="D37">
    <cfRule type="cellIs" dxfId="162" priority="11" stopIfTrue="1" operator="greaterThan">
      <formula>$D$39*0.1</formula>
    </cfRule>
  </conditionalFormatting>
  <conditionalFormatting sqref="E37">
    <cfRule type="cellIs" dxfId="161" priority="12" stopIfTrue="1" operator="greaterThan">
      <formula>$E$39*0.1</formula>
    </cfRule>
  </conditionalFormatting>
  <conditionalFormatting sqref="C45">
    <cfRule type="cellIs" dxfId="160" priority="13" stopIfTrue="1" operator="greaterThan">
      <formula>$C$47*0.1</formula>
    </cfRule>
  </conditionalFormatting>
  <conditionalFormatting sqref="D45">
    <cfRule type="cellIs" dxfId="159" priority="14" stopIfTrue="1" operator="greaterThan">
      <formula>$D$47*0.1</formula>
    </cfRule>
  </conditionalFormatting>
  <conditionalFormatting sqref="E45">
    <cfRule type="cellIs" dxfId="158" priority="15" stopIfTrue="1" operator="greaterThan">
      <formula>$E$47*0.1</formula>
    </cfRule>
  </conditionalFormatting>
  <conditionalFormatting sqref="D47">
    <cfRule type="cellIs" dxfId="157" priority="16" stopIfTrue="1" operator="greaterThan">
      <formula>$D$49</formula>
    </cfRule>
  </conditionalFormatting>
  <conditionalFormatting sqref="C47">
    <cfRule type="cellIs" dxfId="156" priority="17" stopIfTrue="1" operator="greaterThan">
      <formula>$C$49</formula>
    </cfRule>
  </conditionalFormatting>
  <conditionalFormatting sqref="C48 E48 C24 E24">
    <cfRule type="cellIs" dxfId="155" priority="18" stopIfTrue="1" operator="lessThan">
      <formula>0</formula>
    </cfRule>
  </conditionalFormatting>
  <conditionalFormatting sqref="C23">
    <cfRule type="cellIs" dxfId="154" priority="20" stopIfTrue="1" operator="greaterThan">
      <formula>$C$25</formula>
    </cfRule>
  </conditionalFormatting>
  <conditionalFormatting sqref="D48">
    <cfRule type="cellIs" dxfId="153" priority="3" stopIfTrue="1" operator="lessThan">
      <formula>0</formula>
    </cfRule>
  </conditionalFormatting>
  <conditionalFormatting sqref="D24">
    <cfRule type="cellIs" dxfId="152" priority="1" stopIfTrue="1" operator="lessThan">
      <formula>0</formula>
    </cfRule>
  </conditionalFormatting>
  <pageMargins left="0.5" right="0.5" top="1" bottom="0.5" header="0.5" footer="0.5"/>
  <pageSetup scale="70" orientation="portrait" blackAndWhite="1" horizontalDpi="120" verticalDpi="144"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8"/>
  <sheetViews>
    <sheetView topLeftCell="A28" workbookViewId="0">
      <selection activeCell="C10" activeCellId="1" sqref="C21:C25 C10:C12"/>
    </sheetView>
  </sheetViews>
  <sheetFormatPr defaultRowHeight="15.75" x14ac:dyDescent="0.2"/>
  <cols>
    <col min="1" max="1" width="2.44140625" style="21" customWidth="1"/>
    <col min="2" max="2" width="31.109375" style="21" customWidth="1"/>
    <col min="3" max="4" width="15.77734375" style="21" customWidth="1"/>
    <col min="5" max="5" width="16.109375" style="21" customWidth="1"/>
    <col min="6" max="16384" width="8.88671875" style="21"/>
  </cols>
  <sheetData>
    <row r="1" spans="2:5" x14ac:dyDescent="0.2">
      <c r="B1" s="188" t="str">
        <f>(inputPrYr!D2)</f>
        <v>City of Osawatomie</v>
      </c>
      <c r="C1" s="36"/>
      <c r="D1" s="36"/>
      <c r="E1" s="238">
        <f>inputPrYr!C5</f>
        <v>2014</v>
      </c>
    </row>
    <row r="2" spans="2:5" x14ac:dyDescent="0.2">
      <c r="B2" s="36"/>
      <c r="C2" s="36"/>
      <c r="D2" s="36"/>
      <c r="E2" s="160"/>
    </row>
    <row r="3" spans="2:5" x14ac:dyDescent="0.2">
      <c r="B3" s="239" t="s">
        <v>918</v>
      </c>
      <c r="C3" s="280"/>
      <c r="D3" s="280"/>
      <c r="E3" s="280"/>
    </row>
    <row r="4" spans="2:5" x14ac:dyDescent="0.2">
      <c r="B4" s="41" t="s">
        <v>850</v>
      </c>
      <c r="C4" s="418" t="s">
        <v>662</v>
      </c>
      <c r="D4" s="417" t="s">
        <v>663</v>
      </c>
      <c r="E4" s="394" t="s">
        <v>664</v>
      </c>
    </row>
    <row r="5" spans="2:5" x14ac:dyDescent="0.2">
      <c r="B5" s="544">
        <f>inputPrYr!B46</f>
        <v>0</v>
      </c>
      <c r="C5" s="419" t="str">
        <f>CONCATENATE("Actual for ",E1-2,"")</f>
        <v>Actual for 2012</v>
      </c>
      <c r="D5" s="419" t="str">
        <f>CONCATENATE("Estimate for ",E1-1,"")</f>
        <v>Estimate for 2013</v>
      </c>
      <c r="E5" s="403" t="str">
        <f>CONCATENATE("Year for ",E1,"")</f>
        <v>Year for 2014</v>
      </c>
    </row>
    <row r="6" spans="2:5" x14ac:dyDescent="0.2">
      <c r="B6" s="244" t="s">
        <v>971</v>
      </c>
      <c r="C6" s="56"/>
      <c r="D6" s="218">
        <f>C22</f>
        <v>0</v>
      </c>
      <c r="E6" s="218">
        <f>D22</f>
        <v>0</v>
      </c>
    </row>
    <row r="7" spans="2:5" s="34" customFormat="1" x14ac:dyDescent="0.2">
      <c r="B7" s="248" t="s">
        <v>973</v>
      </c>
      <c r="C7" s="76"/>
      <c r="D7" s="76"/>
      <c r="E7" s="76"/>
    </row>
    <row r="8" spans="2:5" x14ac:dyDescent="0.2">
      <c r="B8" s="265"/>
      <c r="C8" s="56"/>
      <c r="D8" s="56"/>
      <c r="E8" s="56"/>
    </row>
    <row r="9" spans="2:5" x14ac:dyDescent="0.2">
      <c r="B9" s="265"/>
      <c r="C9" s="56"/>
      <c r="D9" s="56"/>
      <c r="E9" s="56"/>
    </row>
    <row r="10" spans="2:5" x14ac:dyDescent="0.2">
      <c r="B10" s="253" t="s">
        <v>858</v>
      </c>
      <c r="C10" s="56"/>
      <c r="D10" s="56"/>
      <c r="E10" s="56"/>
    </row>
    <row r="11" spans="2:5" x14ac:dyDescent="0.2">
      <c r="B11" s="150" t="s">
        <v>730</v>
      </c>
      <c r="C11" s="56"/>
      <c r="D11" s="250"/>
      <c r="E11" s="250"/>
    </row>
    <row r="12" spans="2:5" x14ac:dyDescent="0.2">
      <c r="B12" s="244" t="s">
        <v>638</v>
      </c>
      <c r="C12" s="291" t="str">
        <f>IF(C13*0.1&lt;C11,"Exceed 10% Rule","")</f>
        <v/>
      </c>
      <c r="D12" s="255" t="str">
        <f>IF(D13*0.1&lt;D11,"Exceed 10% Rule","")</f>
        <v/>
      </c>
      <c r="E12" s="255" t="str">
        <f>IF(E13*0.1&lt;E11,"Exceed 10% Rule","")</f>
        <v/>
      </c>
    </row>
    <row r="13" spans="2:5" x14ac:dyDescent="0.2">
      <c r="B13" s="256" t="s">
        <v>859</v>
      </c>
      <c r="C13" s="259">
        <f>SUM(C8:C11)</f>
        <v>0</v>
      </c>
      <c r="D13" s="259">
        <f>SUM(D8:D11)</f>
        <v>0</v>
      </c>
      <c r="E13" s="259">
        <f>SUM(E8:E11)</f>
        <v>0</v>
      </c>
    </row>
    <row r="14" spans="2:5" x14ac:dyDescent="0.2">
      <c r="B14" s="256" t="s">
        <v>860</v>
      </c>
      <c r="C14" s="259">
        <f>C6+C13</f>
        <v>0</v>
      </c>
      <c r="D14" s="259">
        <f>D6+D13</f>
        <v>0</v>
      </c>
      <c r="E14" s="259">
        <f>E6+E13</f>
        <v>0</v>
      </c>
    </row>
    <row r="15" spans="2:5" x14ac:dyDescent="0.2">
      <c r="B15" s="141" t="s">
        <v>862</v>
      </c>
      <c r="C15" s="218"/>
      <c r="D15" s="218"/>
      <c r="E15" s="218"/>
    </row>
    <row r="16" spans="2:5" x14ac:dyDescent="0.2">
      <c r="B16" s="265"/>
      <c r="C16" s="56"/>
      <c r="D16" s="56"/>
      <c r="E16" s="56"/>
    </row>
    <row r="17" spans="2:5" x14ac:dyDescent="0.2">
      <c r="B17" s="265"/>
      <c r="C17" s="56"/>
      <c r="D17" s="56"/>
      <c r="E17" s="56"/>
    </row>
    <row r="18" spans="2:5" x14ac:dyDescent="0.2">
      <c r="B18" s="265"/>
      <c r="C18" s="56"/>
      <c r="D18" s="56"/>
      <c r="E18" s="56"/>
    </row>
    <row r="19" spans="2:5" x14ac:dyDescent="0.2">
      <c r="B19" s="266" t="s">
        <v>730</v>
      </c>
      <c r="C19" s="56"/>
      <c r="D19" s="250"/>
      <c r="E19" s="250"/>
    </row>
    <row r="20" spans="2:5" x14ac:dyDescent="0.2">
      <c r="B20" s="266" t="s">
        <v>639</v>
      </c>
      <c r="C20" s="291" t="str">
        <f>IF(C21*0.1&lt;C19,"Exceed 10% Rule","")</f>
        <v/>
      </c>
      <c r="D20" s="255" t="str">
        <f>IF(D21*0.1&lt;D19,"Exceed 10% Rule","")</f>
        <v/>
      </c>
      <c r="E20" s="255" t="str">
        <f>IF(E21*0.1&lt;E19,"Exceed 10% Rule","")</f>
        <v/>
      </c>
    </row>
    <row r="21" spans="2:5" x14ac:dyDescent="0.2">
      <c r="B21" s="256" t="s">
        <v>866</v>
      </c>
      <c r="C21" s="259">
        <f>SUM(C16:C19)</f>
        <v>0</v>
      </c>
      <c r="D21" s="259">
        <f>SUM(D16:D19)</f>
        <v>0</v>
      </c>
      <c r="E21" s="259">
        <f>SUM(E16:E19)</f>
        <v>0</v>
      </c>
    </row>
    <row r="22" spans="2:5" x14ac:dyDescent="0.2">
      <c r="B22" s="141" t="s">
        <v>972</v>
      </c>
      <c r="C22" s="71">
        <f>C14-C21</f>
        <v>0</v>
      </c>
      <c r="D22" s="71">
        <f>D14-D21</f>
        <v>0</v>
      </c>
      <c r="E22" s="71">
        <f>E14-E21</f>
        <v>0</v>
      </c>
    </row>
    <row r="23" spans="2:5" x14ac:dyDescent="0.2">
      <c r="B23" s="127" t="str">
        <f>CONCATENATE("",E1-2,"/",E1-1," Budget Authority Amount:")</f>
        <v>2012/2013 Budget Authority Amount:</v>
      </c>
      <c r="C23" s="231">
        <f>inputOth!B87</f>
        <v>0</v>
      </c>
      <c r="D23" s="231">
        <f>inputPrYr!D46</f>
        <v>0</v>
      </c>
      <c r="E23" s="373" t="str">
        <f>IF(E22&lt;0,"See Tab E","")</f>
        <v/>
      </c>
    </row>
    <row r="24" spans="2:5" x14ac:dyDescent="0.2">
      <c r="B24" s="127"/>
      <c r="C24" s="269" t="str">
        <f>IF(C21&gt;C23,"See Tab A","")</f>
        <v/>
      </c>
      <c r="D24" s="269" t="str">
        <f>IF(D21&gt;D23,"See Tab C","")</f>
        <v/>
      </c>
      <c r="E24" s="86"/>
    </row>
    <row r="25" spans="2:5" x14ac:dyDescent="0.2">
      <c r="B25" s="127"/>
      <c r="C25" s="269" t="str">
        <f>IF(C22&lt;0,"See Tab B","")</f>
        <v/>
      </c>
      <c r="D25" s="269" t="str">
        <f>IF(D22&lt;0,"See Tab D","")</f>
        <v/>
      </c>
      <c r="E25" s="86"/>
    </row>
    <row r="26" spans="2:5" x14ac:dyDescent="0.2">
      <c r="B26" s="36"/>
      <c r="C26" s="86"/>
      <c r="D26" s="86"/>
      <c r="E26" s="86"/>
    </row>
    <row r="27" spans="2:5" x14ac:dyDescent="0.2">
      <c r="B27" s="41"/>
      <c r="C27" s="286"/>
      <c r="D27" s="286"/>
      <c r="E27" s="286"/>
    </row>
    <row r="28" spans="2:5" x14ac:dyDescent="0.2">
      <c r="B28" s="41" t="s">
        <v>850</v>
      </c>
      <c r="C28" s="271" t="s">
        <v>765</v>
      </c>
      <c r="D28" s="135" t="s">
        <v>663</v>
      </c>
      <c r="E28" s="135" t="s">
        <v>664</v>
      </c>
    </row>
    <row r="29" spans="2:5" x14ac:dyDescent="0.2">
      <c r="B29" s="544">
        <f>inputPrYr!B47</f>
        <v>0</v>
      </c>
      <c r="C29" s="243" t="str">
        <f>C5</f>
        <v>Actual for 2012</v>
      </c>
      <c r="D29" s="243" t="str">
        <f>D5</f>
        <v>Estimate for 2013</v>
      </c>
      <c r="E29" s="243" t="str">
        <f>E5</f>
        <v>Year for 2014</v>
      </c>
    </row>
    <row r="30" spans="2:5" x14ac:dyDescent="0.2">
      <c r="B30" s="244" t="s">
        <v>971</v>
      </c>
      <c r="C30" s="56"/>
      <c r="D30" s="218">
        <f>C53</f>
        <v>0</v>
      </c>
      <c r="E30" s="218">
        <f>D53</f>
        <v>0</v>
      </c>
    </row>
    <row r="31" spans="2:5" s="34" customFormat="1" x14ac:dyDescent="0.2">
      <c r="B31" s="248" t="s">
        <v>973</v>
      </c>
      <c r="C31" s="76"/>
      <c r="D31" s="76"/>
      <c r="E31" s="76"/>
    </row>
    <row r="32" spans="2:5" x14ac:dyDescent="0.2">
      <c r="B32" s="265"/>
      <c r="C32" s="56"/>
      <c r="D32" s="56"/>
      <c r="E32" s="56"/>
    </row>
    <row r="33" spans="2:5" x14ac:dyDescent="0.2">
      <c r="B33" s="265"/>
      <c r="C33" s="56"/>
      <c r="D33" s="56"/>
      <c r="E33" s="56"/>
    </row>
    <row r="34" spans="2:5" x14ac:dyDescent="0.2">
      <c r="B34" s="265"/>
      <c r="C34" s="56"/>
      <c r="D34" s="56"/>
      <c r="E34" s="56"/>
    </row>
    <row r="35" spans="2:5" x14ac:dyDescent="0.2">
      <c r="B35" s="265"/>
      <c r="C35" s="56"/>
      <c r="D35" s="56"/>
      <c r="E35" s="56"/>
    </row>
    <row r="36" spans="2:5" x14ac:dyDescent="0.2">
      <c r="B36" s="253" t="s">
        <v>858</v>
      </c>
      <c r="C36" s="56"/>
      <c r="D36" s="56"/>
      <c r="E36" s="56"/>
    </row>
    <row r="37" spans="2:5" x14ac:dyDescent="0.2">
      <c r="B37" s="150" t="s">
        <v>730</v>
      </c>
      <c r="C37" s="56"/>
      <c r="D37" s="250"/>
      <c r="E37" s="250"/>
    </row>
    <row r="38" spans="2:5" x14ac:dyDescent="0.2">
      <c r="B38" s="244" t="s">
        <v>638</v>
      </c>
      <c r="C38" s="291" t="str">
        <f>IF(C39*0.1&lt;C37,"Exceed 10% Rule","")</f>
        <v/>
      </c>
      <c r="D38" s="255" t="str">
        <f>IF(D39*0.1&lt;D37,"Exceed 10% Rule","")</f>
        <v/>
      </c>
      <c r="E38" s="255" t="str">
        <f>IF(E39*0.1&lt;E37,"Exceed 10% Rule","")</f>
        <v/>
      </c>
    </row>
    <row r="39" spans="2:5" x14ac:dyDescent="0.2">
      <c r="B39" s="256" t="s">
        <v>859</v>
      </c>
      <c r="C39" s="259">
        <f>SUM(C32:C37)</f>
        <v>0</v>
      </c>
      <c r="D39" s="259">
        <f>SUM(D32:D37)</f>
        <v>0</v>
      </c>
      <c r="E39" s="259">
        <f>SUM(E32:E37)</f>
        <v>0</v>
      </c>
    </row>
    <row r="40" spans="2:5" x14ac:dyDescent="0.2">
      <c r="B40" s="256" t="s">
        <v>860</v>
      </c>
      <c r="C40" s="259">
        <f>C30+C39</f>
        <v>0</v>
      </c>
      <c r="D40" s="259">
        <f>D30+D39</f>
        <v>0</v>
      </c>
      <c r="E40" s="259">
        <f>E30+E39</f>
        <v>0</v>
      </c>
    </row>
    <row r="41" spans="2:5" x14ac:dyDescent="0.2">
      <c r="B41" s="141" t="s">
        <v>862</v>
      </c>
      <c r="C41" s="218"/>
      <c r="D41" s="218"/>
      <c r="E41" s="218"/>
    </row>
    <row r="42" spans="2:5" x14ac:dyDescent="0.2">
      <c r="B42" s="265"/>
      <c r="C42" s="56"/>
      <c r="D42" s="56"/>
      <c r="E42" s="56"/>
    </row>
    <row r="43" spans="2:5" x14ac:dyDescent="0.2">
      <c r="B43" s="265"/>
      <c r="C43" s="56"/>
      <c r="D43" s="56"/>
      <c r="E43" s="56"/>
    </row>
    <row r="44" spans="2:5" x14ac:dyDescent="0.2">
      <c r="B44" s="265"/>
      <c r="C44" s="56"/>
      <c r="D44" s="56"/>
      <c r="E44" s="56"/>
    </row>
    <row r="45" spans="2:5" x14ac:dyDescent="0.2">
      <c r="B45" s="265"/>
      <c r="C45" s="56"/>
      <c r="D45" s="56"/>
      <c r="E45" s="56"/>
    </row>
    <row r="46" spans="2:5" x14ac:dyDescent="0.2">
      <c r="B46" s="265"/>
      <c r="C46" s="56"/>
      <c r="D46" s="56"/>
      <c r="E46" s="56"/>
    </row>
    <row r="47" spans="2:5" x14ac:dyDescent="0.2">
      <c r="B47" s="265"/>
      <c r="C47" s="56"/>
      <c r="D47" s="56"/>
      <c r="E47" s="56"/>
    </row>
    <row r="48" spans="2:5" x14ac:dyDescent="0.2">
      <c r="B48" s="265"/>
      <c r="C48" s="56"/>
      <c r="D48" s="56"/>
      <c r="E48" s="56"/>
    </row>
    <row r="49" spans="2:5" x14ac:dyDescent="0.2">
      <c r="B49" s="265"/>
      <c r="C49" s="56"/>
      <c r="D49" s="56"/>
      <c r="E49" s="56"/>
    </row>
    <row r="50" spans="2:5" x14ac:dyDescent="0.2">
      <c r="B50" s="266" t="s">
        <v>730</v>
      </c>
      <c r="C50" s="56"/>
      <c r="D50" s="250"/>
      <c r="E50" s="250"/>
    </row>
    <row r="51" spans="2:5" x14ac:dyDescent="0.2">
      <c r="B51" s="266" t="s">
        <v>639</v>
      </c>
      <c r="C51" s="291" t="str">
        <f>IF(C52*0.1&lt;C50,"Exceed 10% Rule","")</f>
        <v/>
      </c>
      <c r="D51" s="255" t="str">
        <f>IF(D52*0.1&lt;D50,"Exceed 10% Rule","")</f>
        <v/>
      </c>
      <c r="E51" s="255" t="str">
        <f>IF(E52*0.1&lt;E50,"Exceed 10% Rule","")</f>
        <v/>
      </c>
    </row>
    <row r="52" spans="2:5" x14ac:dyDescent="0.2">
      <c r="B52" s="256" t="s">
        <v>866</v>
      </c>
      <c r="C52" s="259">
        <f>SUM(C42:C50)</f>
        <v>0</v>
      </c>
      <c r="D52" s="259">
        <f>SUM(D42:D50)</f>
        <v>0</v>
      </c>
      <c r="E52" s="259">
        <f>SUM(E42:E50)</f>
        <v>0</v>
      </c>
    </row>
    <row r="53" spans="2:5" x14ac:dyDescent="0.2">
      <c r="B53" s="141" t="s">
        <v>972</v>
      </c>
      <c r="C53" s="71">
        <f>C40-C52</f>
        <v>0</v>
      </c>
      <c r="D53" s="71">
        <f>D40-D52</f>
        <v>0</v>
      </c>
      <c r="E53" s="71">
        <f>E40-E52</f>
        <v>0</v>
      </c>
    </row>
    <row r="54" spans="2:5" x14ac:dyDescent="0.2">
      <c r="B54" s="127" t="str">
        <f>CONCATENATE("",E1-2,"/",E1-1," Budget Authority Amount:")</f>
        <v>2012/2013 Budget Authority Amount:</v>
      </c>
      <c r="C54" s="231">
        <f>inputOth!B88</f>
        <v>0</v>
      </c>
      <c r="D54" s="231">
        <f>inputPrYr!D47</f>
        <v>0</v>
      </c>
      <c r="E54" s="373" t="str">
        <f>IF(E53&lt;0,"See Tab E","")</f>
        <v/>
      </c>
    </row>
    <row r="55" spans="2:5" x14ac:dyDescent="0.2">
      <c r="B55" s="127"/>
      <c r="C55" s="269" t="str">
        <f>IF(C52&gt;C54,"See Tab A","")</f>
        <v/>
      </c>
      <c r="D55" s="269" t="str">
        <f>IF(D52&gt;D54,"See Tab C","")</f>
        <v/>
      </c>
      <c r="E55" s="36"/>
    </row>
    <row r="56" spans="2:5" x14ac:dyDescent="0.2">
      <c r="B56" s="127"/>
      <c r="C56" s="269" t="str">
        <f>IF(C53&lt;0,"See Tab B","")</f>
        <v/>
      </c>
      <c r="D56" s="269" t="str">
        <f>IF(D53&lt;0,"See Tab D","")</f>
        <v/>
      </c>
      <c r="E56" s="36"/>
    </row>
    <row r="57" spans="2:5" x14ac:dyDescent="0.2">
      <c r="B57" s="36"/>
      <c r="C57" s="36"/>
      <c r="D57" s="36"/>
      <c r="E57" s="36"/>
    </row>
    <row r="58" spans="2:5" x14ac:dyDescent="0.2">
      <c r="B58" s="160" t="s">
        <v>869</v>
      </c>
      <c r="C58" s="273"/>
      <c r="D58" s="36"/>
      <c r="E58" s="36"/>
    </row>
  </sheetData>
  <phoneticPr fontId="0" type="noConversion"/>
  <conditionalFormatting sqref="C11">
    <cfRule type="cellIs" dxfId="151" priority="3" stopIfTrue="1" operator="greaterThan">
      <formula>$C$13*0.1</formula>
    </cfRule>
  </conditionalFormatting>
  <conditionalFormatting sqref="D11">
    <cfRule type="cellIs" dxfId="150" priority="4" stopIfTrue="1" operator="greaterThan">
      <formula>$D$13*0.1</formula>
    </cfRule>
  </conditionalFormatting>
  <conditionalFormatting sqref="E11">
    <cfRule type="cellIs" dxfId="149" priority="5" stopIfTrue="1" operator="greaterThan">
      <formula>$E$13*0.1</formula>
    </cfRule>
  </conditionalFormatting>
  <conditionalFormatting sqref="C19">
    <cfRule type="cellIs" dxfId="148" priority="6" stopIfTrue="1" operator="greaterThan">
      <formula>$C$21*0.1</formula>
    </cfRule>
  </conditionalFormatting>
  <conditionalFormatting sqref="D19">
    <cfRule type="cellIs" dxfId="147" priority="7" stopIfTrue="1" operator="greaterThan">
      <formula>$D$21*0.1</formula>
    </cfRule>
  </conditionalFormatting>
  <conditionalFormatting sqref="E19">
    <cfRule type="cellIs" dxfId="146" priority="8" stopIfTrue="1" operator="greaterThan">
      <formula>$E$21*0.1</formula>
    </cfRule>
  </conditionalFormatting>
  <conditionalFormatting sqref="C37">
    <cfRule type="cellIs" dxfId="145" priority="9" stopIfTrue="1" operator="greaterThan">
      <formula>$C$39*0.1</formula>
    </cfRule>
  </conditionalFormatting>
  <conditionalFormatting sqref="D37">
    <cfRule type="cellIs" dxfId="144" priority="10" stopIfTrue="1" operator="greaterThan">
      <formula>$D$39*0.1</formula>
    </cfRule>
  </conditionalFormatting>
  <conditionalFormatting sqref="E37">
    <cfRule type="cellIs" dxfId="143" priority="11" stopIfTrue="1" operator="greaterThan">
      <formula>$E$39*0.1</formula>
    </cfRule>
  </conditionalFormatting>
  <conditionalFormatting sqref="C50">
    <cfRule type="cellIs" dxfId="142" priority="12" stopIfTrue="1" operator="greaterThan">
      <formula>$C$52*0.1</formula>
    </cfRule>
  </conditionalFormatting>
  <conditionalFormatting sqref="D50">
    <cfRule type="cellIs" dxfId="141" priority="13" stopIfTrue="1" operator="greaterThan">
      <formula>$D$52*0.1</formula>
    </cfRule>
  </conditionalFormatting>
  <conditionalFormatting sqref="E50">
    <cfRule type="cellIs" dxfId="140" priority="14" stopIfTrue="1" operator="greaterThan">
      <formula>$E$52*0.1</formula>
    </cfRule>
  </conditionalFormatting>
  <conditionalFormatting sqref="C52:D52">
    <cfRule type="cellIs" dxfId="139" priority="15" stopIfTrue="1" operator="greaterThan">
      <formula>$D$54</formula>
    </cfRule>
  </conditionalFormatting>
  <conditionalFormatting sqref="C53 E53 C22 E22">
    <cfRule type="cellIs" dxfId="138" priority="16" stopIfTrue="1" operator="lessThan">
      <formula>0</formula>
    </cfRule>
  </conditionalFormatting>
  <conditionalFormatting sqref="D21">
    <cfRule type="cellIs" dxfId="137" priority="17" stopIfTrue="1" operator="greaterThan">
      <formula>$D$23</formula>
    </cfRule>
  </conditionalFormatting>
  <conditionalFormatting sqref="C21">
    <cfRule type="cellIs" dxfId="136" priority="18" stopIfTrue="1" operator="greaterThan">
      <formula>$C$23</formula>
    </cfRule>
  </conditionalFormatting>
  <conditionalFormatting sqref="D53">
    <cfRule type="cellIs" dxfId="135" priority="2" stopIfTrue="1" operator="lessThan">
      <formula>0</formula>
    </cfRule>
  </conditionalFormatting>
  <conditionalFormatting sqref="D22">
    <cfRule type="cellIs" dxfId="134" priority="1" stopIfTrue="1" operator="lessThan">
      <formula>0</formula>
    </cfRule>
  </conditionalFormatting>
  <pageMargins left="0.5" right="0.5" top="1" bottom="0.5" header="0.5" footer="0.5"/>
  <pageSetup scale="72" orientation="portrait" blackAndWhite="1" horizontalDpi="120" verticalDpi="144"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7"/>
  <sheetViews>
    <sheetView workbookViewId="0">
      <selection activeCell="C10" activeCellId="1" sqref="C21:C25 C10:C12"/>
    </sheetView>
  </sheetViews>
  <sheetFormatPr defaultRowHeight="15.75" x14ac:dyDescent="0.2"/>
  <cols>
    <col min="1" max="1" width="2.44140625" style="21" customWidth="1"/>
    <col min="2" max="2" width="31.109375" style="21" customWidth="1"/>
    <col min="3" max="4" width="15.77734375" style="21" customWidth="1"/>
    <col min="5" max="5" width="16.109375" style="21" customWidth="1"/>
    <col min="6" max="16384" width="8.88671875" style="21"/>
  </cols>
  <sheetData>
    <row r="1" spans="2:5" x14ac:dyDescent="0.2">
      <c r="B1" s="188" t="str">
        <f>(inputPrYr!D2)</f>
        <v>City of Osawatomie</v>
      </c>
      <c r="C1" s="36"/>
      <c r="D1" s="36"/>
      <c r="E1" s="238">
        <f>inputPrYr!C5</f>
        <v>2014</v>
      </c>
    </row>
    <row r="2" spans="2:5" x14ac:dyDescent="0.2">
      <c r="B2" s="36"/>
      <c r="C2" s="36"/>
      <c r="D2" s="36"/>
      <c r="E2" s="160"/>
    </row>
    <row r="3" spans="2:5" x14ac:dyDescent="0.2">
      <c r="B3" s="239" t="s">
        <v>918</v>
      </c>
      <c r="C3" s="280"/>
      <c r="D3" s="280"/>
      <c r="E3" s="280"/>
    </row>
    <row r="4" spans="2:5" x14ac:dyDescent="0.2">
      <c r="B4" s="41" t="s">
        <v>850</v>
      </c>
      <c r="C4" s="418" t="s">
        <v>662</v>
      </c>
      <c r="D4" s="417" t="s">
        <v>663</v>
      </c>
      <c r="E4" s="394" t="s">
        <v>664</v>
      </c>
    </row>
    <row r="5" spans="2:5" x14ac:dyDescent="0.2">
      <c r="B5" s="544">
        <f>inputPrYr!B48</f>
        <v>0</v>
      </c>
      <c r="C5" s="419" t="str">
        <f>CONCATENATE("Actual for ",E1-2,"")</f>
        <v>Actual for 2012</v>
      </c>
      <c r="D5" s="419" t="str">
        <f>CONCATENATE("Estimate for ",E1-1,"")</f>
        <v>Estimate for 2013</v>
      </c>
      <c r="E5" s="403" t="str">
        <f>CONCATENATE("Year for ",E1,"")</f>
        <v>Year for 2014</v>
      </c>
    </row>
    <row r="6" spans="2:5" x14ac:dyDescent="0.2">
      <c r="B6" s="244" t="s">
        <v>971</v>
      </c>
      <c r="C6" s="56"/>
      <c r="D6" s="218">
        <f>C31</f>
        <v>0</v>
      </c>
      <c r="E6" s="218">
        <f>D31</f>
        <v>0</v>
      </c>
    </row>
    <row r="7" spans="2:5" s="34" customFormat="1" x14ac:dyDescent="0.2">
      <c r="B7" s="248" t="s">
        <v>973</v>
      </c>
      <c r="C7" s="76"/>
      <c r="D7" s="76"/>
      <c r="E7" s="76"/>
    </row>
    <row r="8" spans="2:5" x14ac:dyDescent="0.2">
      <c r="B8" s="265"/>
      <c r="C8" s="56"/>
      <c r="D8" s="56"/>
      <c r="E8" s="56"/>
    </row>
    <row r="9" spans="2:5" x14ac:dyDescent="0.2">
      <c r="B9" s="265"/>
      <c r="C9" s="56"/>
      <c r="D9" s="56"/>
      <c r="E9" s="56"/>
    </row>
    <row r="10" spans="2:5" x14ac:dyDescent="0.2">
      <c r="B10" s="265"/>
      <c r="C10" s="56"/>
      <c r="D10" s="56"/>
      <c r="E10" s="56"/>
    </row>
    <row r="11" spans="2:5" x14ac:dyDescent="0.2">
      <c r="B11" s="265"/>
      <c r="C11" s="56"/>
      <c r="D11" s="56"/>
      <c r="E11" s="56"/>
    </row>
    <row r="12" spans="2:5" x14ac:dyDescent="0.2">
      <c r="B12" s="265"/>
      <c r="C12" s="56"/>
      <c r="D12" s="56"/>
      <c r="E12" s="56"/>
    </row>
    <row r="13" spans="2:5" x14ac:dyDescent="0.2">
      <c r="B13" s="265"/>
      <c r="C13" s="56"/>
      <c r="D13" s="56"/>
      <c r="E13" s="56"/>
    </row>
    <row r="14" spans="2:5" x14ac:dyDescent="0.2">
      <c r="B14" s="253" t="s">
        <v>858</v>
      </c>
      <c r="C14" s="56"/>
      <c r="D14" s="56"/>
      <c r="E14" s="56"/>
    </row>
    <row r="15" spans="2:5" x14ac:dyDescent="0.2">
      <c r="B15" s="150" t="s">
        <v>730</v>
      </c>
      <c r="C15" s="56"/>
      <c r="D15" s="250"/>
      <c r="E15" s="250"/>
    </row>
    <row r="16" spans="2:5" x14ac:dyDescent="0.2">
      <c r="B16" s="244" t="s">
        <v>638</v>
      </c>
      <c r="C16" s="291" t="str">
        <f>IF(C17*0.1&lt;C15,"Exceed 10% Rule","")</f>
        <v/>
      </c>
      <c r="D16" s="255" t="str">
        <f>IF(D17*0.1&lt;D15,"Exceed 10% Rule","")</f>
        <v/>
      </c>
      <c r="E16" s="255" t="str">
        <f>IF(E17*0.1&lt;E15,"Exceed 10% Rule","")</f>
        <v/>
      </c>
    </row>
    <row r="17" spans="2:5" x14ac:dyDescent="0.2">
      <c r="B17" s="256" t="s">
        <v>859</v>
      </c>
      <c r="C17" s="259">
        <f>SUM(C8:C15)</f>
        <v>0</v>
      </c>
      <c r="D17" s="259">
        <f>SUM(D8:D15)</f>
        <v>0</v>
      </c>
      <c r="E17" s="259">
        <f>SUM(E8:E15)</f>
        <v>0</v>
      </c>
    </row>
    <row r="18" spans="2:5" x14ac:dyDescent="0.2">
      <c r="B18" s="256" t="s">
        <v>860</v>
      </c>
      <c r="C18" s="259">
        <f>C6+C17</f>
        <v>0</v>
      </c>
      <c r="D18" s="259">
        <f>D6+D17</f>
        <v>0</v>
      </c>
      <c r="E18" s="259">
        <f>E6+E17</f>
        <v>0</v>
      </c>
    </row>
    <row r="19" spans="2:5" x14ac:dyDescent="0.2">
      <c r="B19" s="141" t="s">
        <v>862</v>
      </c>
      <c r="C19" s="218"/>
      <c r="D19" s="218"/>
      <c r="E19" s="218"/>
    </row>
    <row r="20" spans="2:5" x14ac:dyDescent="0.2">
      <c r="B20" s="265"/>
      <c r="C20" s="56"/>
      <c r="D20" s="56"/>
      <c r="E20" s="56"/>
    </row>
    <row r="21" spans="2:5" x14ac:dyDescent="0.2">
      <c r="B21" s="265"/>
      <c r="C21" s="56"/>
      <c r="D21" s="56"/>
      <c r="E21" s="56"/>
    </row>
    <row r="22" spans="2:5" x14ac:dyDescent="0.2">
      <c r="B22" s="265"/>
      <c r="C22" s="56"/>
      <c r="D22" s="56"/>
      <c r="E22" s="56"/>
    </row>
    <row r="23" spans="2:5" x14ac:dyDescent="0.2">
      <c r="B23" s="265"/>
      <c r="C23" s="56"/>
      <c r="D23" s="56"/>
      <c r="E23" s="56"/>
    </row>
    <row r="24" spans="2:5" x14ac:dyDescent="0.2">
      <c r="B24" s="265"/>
      <c r="C24" s="56"/>
      <c r="D24" s="56"/>
      <c r="E24" s="56"/>
    </row>
    <row r="25" spans="2:5" x14ac:dyDescent="0.2">
      <c r="B25" s="265"/>
      <c r="C25" s="56"/>
      <c r="D25" s="56"/>
      <c r="E25" s="56"/>
    </row>
    <row r="26" spans="2:5" x14ac:dyDescent="0.2">
      <c r="B26" s="265"/>
      <c r="C26" s="56"/>
      <c r="D26" s="56"/>
      <c r="E26" s="56"/>
    </row>
    <row r="27" spans="2:5" x14ac:dyDescent="0.2">
      <c r="B27" s="265"/>
      <c r="C27" s="56"/>
      <c r="D27" s="56"/>
      <c r="E27" s="56"/>
    </row>
    <row r="28" spans="2:5" x14ac:dyDescent="0.2">
      <c r="B28" s="266" t="s">
        <v>730</v>
      </c>
      <c r="C28" s="56"/>
      <c r="D28" s="250"/>
      <c r="E28" s="250"/>
    </row>
    <row r="29" spans="2:5" x14ac:dyDescent="0.2">
      <c r="B29" s="266" t="s">
        <v>639</v>
      </c>
      <c r="C29" s="291" t="str">
        <f>IF(C30*0.1&lt;C28,"Exceed 10% Rule","")</f>
        <v/>
      </c>
      <c r="D29" s="255" t="str">
        <f>IF(D30*0.1&lt;D28,"Exceed 10% Rule","")</f>
        <v/>
      </c>
      <c r="E29" s="255" t="str">
        <f>IF(E30*0.1&lt;E28,"Exceed 10% Rule","")</f>
        <v/>
      </c>
    </row>
    <row r="30" spans="2:5" x14ac:dyDescent="0.2">
      <c r="B30" s="256" t="s">
        <v>866</v>
      </c>
      <c r="C30" s="259">
        <f>SUM(C20:C28)</f>
        <v>0</v>
      </c>
      <c r="D30" s="259">
        <f>SUM(D20:D28)</f>
        <v>0</v>
      </c>
      <c r="E30" s="259">
        <f>SUM(E20:E28)</f>
        <v>0</v>
      </c>
    </row>
    <row r="31" spans="2:5" x14ac:dyDescent="0.2">
      <c r="B31" s="141" t="s">
        <v>972</v>
      </c>
      <c r="C31" s="71">
        <f>C18-C30</f>
        <v>0</v>
      </c>
      <c r="D31" s="71">
        <f>D18-D30</f>
        <v>0</v>
      </c>
      <c r="E31" s="71">
        <f>E18-E30</f>
        <v>0</v>
      </c>
    </row>
    <row r="32" spans="2:5" x14ac:dyDescent="0.2">
      <c r="B32" s="127" t="str">
        <f>CONCATENATE("",E1-2,"/",E1-1," Budget Authority Amount:")</f>
        <v>2012/2013 Budget Authority Amount:</v>
      </c>
      <c r="C32" s="231">
        <f>inputOth!B89</f>
        <v>0</v>
      </c>
      <c r="D32" s="231">
        <f>inputPrYr!D48</f>
        <v>0</v>
      </c>
      <c r="E32" s="373" t="str">
        <f>IF(E31&lt;0,"See Tab E","")</f>
        <v/>
      </c>
    </row>
    <row r="33" spans="2:5" x14ac:dyDescent="0.2">
      <c r="B33" s="127"/>
      <c r="C33" s="269" t="str">
        <f>IF(C30&gt;C32,"See Tab A","")</f>
        <v/>
      </c>
      <c r="D33" s="269" t="str">
        <f>IF(D30&gt;D32,"See Tab C","")</f>
        <v/>
      </c>
      <c r="E33" s="86"/>
    </row>
    <row r="34" spans="2:5" x14ac:dyDescent="0.2">
      <c r="B34" s="127"/>
      <c r="C34" s="269" t="str">
        <f>IF(C31&lt;0,"See Tab B","")</f>
        <v/>
      </c>
      <c r="D34" s="269" t="str">
        <f>IF(D31&lt;0,"See Tab D","")</f>
        <v/>
      </c>
      <c r="E34" s="86"/>
    </row>
    <row r="35" spans="2:5" x14ac:dyDescent="0.2">
      <c r="B35" s="36"/>
      <c r="C35" s="86"/>
      <c r="D35" s="86"/>
      <c r="E35" s="86"/>
    </row>
    <row r="36" spans="2:5" x14ac:dyDescent="0.2">
      <c r="B36" s="41"/>
      <c r="C36" s="286"/>
      <c r="D36" s="286"/>
      <c r="E36" s="286"/>
    </row>
    <row r="37" spans="2:5" x14ac:dyDescent="0.2">
      <c r="B37" s="41" t="s">
        <v>850</v>
      </c>
      <c r="C37" s="271" t="s">
        <v>662</v>
      </c>
      <c r="D37" s="135" t="s">
        <v>663</v>
      </c>
      <c r="E37" s="135" t="s">
        <v>664</v>
      </c>
    </row>
    <row r="38" spans="2:5" x14ac:dyDescent="0.2">
      <c r="B38" s="544">
        <f>inputPrYr!B49</f>
        <v>0</v>
      </c>
      <c r="C38" s="243" t="str">
        <f>C5</f>
        <v>Actual for 2012</v>
      </c>
      <c r="D38" s="243" t="str">
        <f>D5</f>
        <v>Estimate for 2013</v>
      </c>
      <c r="E38" s="243" t="str">
        <f>E5</f>
        <v>Year for 2014</v>
      </c>
    </row>
    <row r="39" spans="2:5" x14ac:dyDescent="0.2">
      <c r="B39" s="244" t="s">
        <v>971</v>
      </c>
      <c r="C39" s="56"/>
      <c r="D39" s="218">
        <f>C62</f>
        <v>0</v>
      </c>
      <c r="E39" s="218">
        <f>D62</f>
        <v>0</v>
      </c>
    </row>
    <row r="40" spans="2:5" s="34" customFormat="1" x14ac:dyDescent="0.2">
      <c r="B40" s="248" t="s">
        <v>973</v>
      </c>
      <c r="C40" s="76"/>
      <c r="D40" s="76"/>
      <c r="E40" s="76"/>
    </row>
    <row r="41" spans="2:5" x14ac:dyDescent="0.2">
      <c r="B41" s="265"/>
      <c r="C41" s="56"/>
      <c r="D41" s="56"/>
      <c r="E41" s="56"/>
    </row>
    <row r="42" spans="2:5" x14ac:dyDescent="0.2">
      <c r="B42" s="265"/>
      <c r="C42" s="56"/>
      <c r="D42" s="56"/>
      <c r="E42" s="56"/>
    </row>
    <row r="43" spans="2:5" x14ac:dyDescent="0.2">
      <c r="B43" s="265"/>
      <c r="C43" s="56"/>
      <c r="D43" s="56"/>
      <c r="E43" s="56"/>
    </row>
    <row r="44" spans="2:5" x14ac:dyDescent="0.2">
      <c r="B44" s="265"/>
      <c r="C44" s="56"/>
      <c r="D44" s="56"/>
      <c r="E44" s="56"/>
    </row>
    <row r="45" spans="2:5" x14ac:dyDescent="0.2">
      <c r="B45" s="253" t="s">
        <v>858</v>
      </c>
      <c r="C45" s="56"/>
      <c r="D45" s="56"/>
      <c r="E45" s="56"/>
    </row>
    <row r="46" spans="2:5" x14ac:dyDescent="0.2">
      <c r="B46" s="150" t="s">
        <v>730</v>
      </c>
      <c r="C46" s="56"/>
      <c r="D46" s="250"/>
      <c r="E46" s="250"/>
    </row>
    <row r="47" spans="2:5" x14ac:dyDescent="0.2">
      <c r="B47" s="244" t="s">
        <v>638</v>
      </c>
      <c r="C47" s="291" t="str">
        <f>IF(C48*0.1&lt;C46,"Exceed 10% Rule","")</f>
        <v/>
      </c>
      <c r="D47" s="255" t="str">
        <f>IF(D48*0.1&lt;D46,"Exceed 10% Rule","")</f>
        <v/>
      </c>
      <c r="E47" s="255" t="str">
        <f>IF(E48*0.1&lt;E46,"Exceed 10% Rule","")</f>
        <v/>
      </c>
    </row>
    <row r="48" spans="2:5" x14ac:dyDescent="0.2">
      <c r="B48" s="256" t="s">
        <v>859</v>
      </c>
      <c r="C48" s="259">
        <f>SUM(C41:C46)</f>
        <v>0</v>
      </c>
      <c r="D48" s="259">
        <f>SUM(D41:D46)</f>
        <v>0</v>
      </c>
      <c r="E48" s="259">
        <f>SUM(E41:E46)</f>
        <v>0</v>
      </c>
    </row>
    <row r="49" spans="2:5" x14ac:dyDescent="0.2">
      <c r="B49" s="256" t="s">
        <v>860</v>
      </c>
      <c r="C49" s="259">
        <f>C39+C48</f>
        <v>0</v>
      </c>
      <c r="D49" s="259">
        <f>D39+D48</f>
        <v>0</v>
      </c>
      <c r="E49" s="259">
        <f>E39+E48</f>
        <v>0</v>
      </c>
    </row>
    <row r="50" spans="2:5" x14ac:dyDescent="0.2">
      <c r="B50" s="141" t="s">
        <v>862</v>
      </c>
      <c r="C50" s="218"/>
      <c r="D50" s="218"/>
      <c r="E50" s="218"/>
    </row>
    <row r="51" spans="2:5" x14ac:dyDescent="0.2">
      <c r="B51" s="265"/>
      <c r="C51" s="56"/>
      <c r="D51" s="56"/>
      <c r="E51" s="56"/>
    </row>
    <row r="52" spans="2:5" x14ac:dyDescent="0.2">
      <c r="B52" s="265"/>
      <c r="C52" s="56"/>
      <c r="D52" s="56"/>
      <c r="E52" s="56"/>
    </row>
    <row r="53" spans="2:5" x14ac:dyDescent="0.2">
      <c r="B53" s="265"/>
      <c r="C53" s="56"/>
      <c r="D53" s="56"/>
      <c r="E53" s="56"/>
    </row>
    <row r="54" spans="2:5" x14ac:dyDescent="0.2">
      <c r="B54" s="265"/>
      <c r="C54" s="56"/>
      <c r="D54" s="56"/>
      <c r="E54" s="56"/>
    </row>
    <row r="55" spans="2:5" x14ac:dyDescent="0.2">
      <c r="B55" s="265"/>
      <c r="C55" s="56"/>
      <c r="D55" s="56"/>
      <c r="E55" s="56"/>
    </row>
    <row r="56" spans="2:5" x14ac:dyDescent="0.2">
      <c r="B56" s="265"/>
      <c r="C56" s="56"/>
      <c r="D56" s="56"/>
      <c r="E56" s="56"/>
    </row>
    <row r="57" spans="2:5" x14ac:dyDescent="0.2">
      <c r="B57" s="265"/>
      <c r="C57" s="56"/>
      <c r="D57" s="56"/>
      <c r="E57" s="56"/>
    </row>
    <row r="58" spans="2:5" x14ac:dyDescent="0.2">
      <c r="B58" s="265"/>
      <c r="C58" s="56"/>
      <c r="D58" s="56"/>
      <c r="E58" s="56"/>
    </row>
    <row r="59" spans="2:5" x14ac:dyDescent="0.2">
      <c r="B59" s="266" t="s">
        <v>730</v>
      </c>
      <c r="C59" s="56"/>
      <c r="D59" s="250"/>
      <c r="E59" s="250"/>
    </row>
    <row r="60" spans="2:5" x14ac:dyDescent="0.2">
      <c r="B60" s="266" t="s">
        <v>639</v>
      </c>
      <c r="C60" s="291" t="str">
        <f>IF(C61*0.1&lt;C59,"Exceed 10% Rule","")</f>
        <v/>
      </c>
      <c r="D60" s="255" t="str">
        <f>IF(D61*0.1&lt;D59,"Exceed 10% Rule","")</f>
        <v/>
      </c>
      <c r="E60" s="255" t="str">
        <f>IF(E61*0.1&lt;E59,"Exceed 10% Rule","")</f>
        <v/>
      </c>
    </row>
    <row r="61" spans="2:5" x14ac:dyDescent="0.2">
      <c r="B61" s="256" t="s">
        <v>866</v>
      </c>
      <c r="C61" s="259">
        <f>SUM(C51:C59)</f>
        <v>0</v>
      </c>
      <c r="D61" s="259">
        <f>SUM(D51:D59)</f>
        <v>0</v>
      </c>
      <c r="E61" s="259">
        <f>SUM(E51:E59)</f>
        <v>0</v>
      </c>
    </row>
    <row r="62" spans="2:5" x14ac:dyDescent="0.2">
      <c r="B62" s="141" t="s">
        <v>972</v>
      </c>
      <c r="C62" s="71">
        <f>C49-C61</f>
        <v>0</v>
      </c>
      <c r="D62" s="71">
        <f>D49-D61</f>
        <v>0</v>
      </c>
      <c r="E62" s="71">
        <f>E49-E61</f>
        <v>0</v>
      </c>
    </row>
    <row r="63" spans="2:5" x14ac:dyDescent="0.2">
      <c r="B63" s="127" t="str">
        <f>CONCATENATE("",E1-2,"/",E1-1," Budget Authority Amount:")</f>
        <v>2012/2013 Budget Authority Amount:</v>
      </c>
      <c r="C63" s="231">
        <f>inputOth!B90</f>
        <v>0</v>
      </c>
      <c r="D63" s="231">
        <f>inputPrYr!D49</f>
        <v>0</v>
      </c>
      <c r="E63" s="373" t="str">
        <f>IF(E62&lt;0,"See Tab E","")</f>
        <v/>
      </c>
    </row>
    <row r="64" spans="2:5" x14ac:dyDescent="0.2">
      <c r="B64" s="127"/>
      <c r="C64" s="269" t="str">
        <f>IF(C61&gt;C63,"See Tab A","")</f>
        <v/>
      </c>
      <c r="D64" s="269" t="str">
        <f>IF(D61&gt;D63,"See Tab C","")</f>
        <v/>
      </c>
      <c r="E64" s="36"/>
    </row>
    <row r="65" spans="2:5" x14ac:dyDescent="0.2">
      <c r="B65" s="127"/>
      <c r="C65" s="269" t="str">
        <f>IF(C62&lt;0,"See Tab B","")</f>
        <v/>
      </c>
      <c r="D65" s="269" t="str">
        <f>IF(D62&lt;0,"See Tab D","")</f>
        <v/>
      </c>
      <c r="E65" s="36"/>
    </row>
    <row r="66" spans="2:5" x14ac:dyDescent="0.2">
      <c r="B66" s="36"/>
      <c r="C66" s="36"/>
      <c r="D66" s="36"/>
      <c r="E66" s="36"/>
    </row>
    <row r="67" spans="2:5" x14ac:dyDescent="0.2">
      <c r="B67" s="160" t="s">
        <v>869</v>
      </c>
      <c r="C67" s="273"/>
      <c r="D67" s="36"/>
      <c r="E67" s="36"/>
    </row>
  </sheetData>
  <sheetProtection sheet="1"/>
  <phoneticPr fontId="0" type="noConversion"/>
  <conditionalFormatting sqref="C15">
    <cfRule type="cellIs" dxfId="133" priority="18" stopIfTrue="1" operator="greaterThan">
      <formula>$C$17*0.1</formula>
    </cfRule>
  </conditionalFormatting>
  <conditionalFormatting sqref="D15">
    <cfRule type="cellIs" dxfId="132" priority="17" stopIfTrue="1" operator="greaterThan">
      <formula>$D$17*0.1</formula>
    </cfRule>
  </conditionalFormatting>
  <conditionalFormatting sqref="E15">
    <cfRule type="cellIs" dxfId="131" priority="16" stopIfTrue="1" operator="greaterThan">
      <formula>$E$17*0.1</formula>
    </cfRule>
  </conditionalFormatting>
  <conditionalFormatting sqref="C28">
    <cfRule type="cellIs" dxfId="130" priority="15" stopIfTrue="1" operator="greaterThan">
      <formula>$C$30*0.1</formula>
    </cfRule>
  </conditionalFormatting>
  <conditionalFormatting sqref="D28">
    <cfRule type="cellIs" dxfId="129" priority="14" stopIfTrue="1" operator="greaterThan">
      <formula>$D$30*0.1</formula>
    </cfRule>
  </conditionalFormatting>
  <conditionalFormatting sqref="E28">
    <cfRule type="cellIs" dxfId="128" priority="13" stopIfTrue="1" operator="greaterThan">
      <formula>$E$30*0.1</formula>
    </cfRule>
  </conditionalFormatting>
  <conditionalFormatting sqref="C46">
    <cfRule type="cellIs" dxfId="127" priority="12" stopIfTrue="1" operator="greaterThan">
      <formula>$C$48*0.1</formula>
    </cfRule>
  </conditionalFormatting>
  <conditionalFormatting sqref="D46">
    <cfRule type="cellIs" dxfId="126" priority="11" stopIfTrue="1" operator="greaterThan">
      <formula>$D$48*0.1</formula>
    </cfRule>
  </conditionalFormatting>
  <conditionalFormatting sqref="E46">
    <cfRule type="cellIs" dxfId="125" priority="10" stopIfTrue="1" operator="greaterThan">
      <formula>$E$48*0.1</formula>
    </cfRule>
  </conditionalFormatting>
  <conditionalFormatting sqref="C59">
    <cfRule type="cellIs" dxfId="124" priority="9" stopIfTrue="1" operator="greaterThan">
      <formula>$C$61*0.1</formula>
    </cfRule>
  </conditionalFormatting>
  <conditionalFormatting sqref="D59">
    <cfRule type="cellIs" dxfId="123" priority="8" stopIfTrue="1" operator="greaterThan">
      <formula>$D$61*0.1</formula>
    </cfRule>
  </conditionalFormatting>
  <conditionalFormatting sqref="E59">
    <cfRule type="cellIs" dxfId="122" priority="7" stopIfTrue="1" operator="greaterThan">
      <formula>$E$61*0.1</formula>
    </cfRule>
  </conditionalFormatting>
  <conditionalFormatting sqref="C61:D61">
    <cfRule type="cellIs" dxfId="121" priority="6" stopIfTrue="1" operator="greaterThan">
      <formula>$D$63</formula>
    </cfRule>
  </conditionalFormatting>
  <conditionalFormatting sqref="C62 E62 C31 E31">
    <cfRule type="cellIs" dxfId="120" priority="5" stopIfTrue="1" operator="lessThan">
      <formula>0</formula>
    </cfRule>
  </conditionalFormatting>
  <conditionalFormatting sqref="D30">
    <cfRule type="cellIs" dxfId="119" priority="4" stopIfTrue="1" operator="greaterThan">
      <formula>$D$32</formula>
    </cfRule>
  </conditionalFormatting>
  <conditionalFormatting sqref="C30">
    <cfRule type="cellIs" dxfId="118" priority="3" stopIfTrue="1" operator="greaterThan">
      <formula>$C$32</formula>
    </cfRule>
  </conditionalFormatting>
  <conditionalFormatting sqref="D62">
    <cfRule type="cellIs" dxfId="117" priority="2" stopIfTrue="1" operator="lessThan">
      <formula>0</formula>
    </cfRule>
  </conditionalFormatting>
  <conditionalFormatting sqref="D31">
    <cfRule type="cellIs" dxfId="116" priority="1" stopIfTrue="1" operator="lessThan">
      <formula>0</formula>
    </cfRule>
  </conditionalFormatting>
  <pageMargins left="0.7" right="0.7" top="0.75" bottom="0.75" header="0.3" footer="0.3"/>
  <pageSetup scale="72" orientation="portrait" blackAndWhite="1" r:id="rId1"/>
  <headerFooter>
    <oddHeader>&amp;RState of Kansas
City</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7"/>
  <sheetViews>
    <sheetView workbookViewId="0">
      <selection activeCell="A56" sqref="A56"/>
    </sheetView>
  </sheetViews>
  <sheetFormatPr defaultRowHeight="15.75" x14ac:dyDescent="0.2"/>
  <cols>
    <col min="1" max="1" width="2.44140625" style="21" customWidth="1"/>
    <col min="2" max="2" width="31.109375" style="21" customWidth="1"/>
    <col min="3" max="4" width="15.77734375" style="21" customWidth="1"/>
    <col min="5" max="5" width="16.109375" style="21" customWidth="1"/>
    <col min="6" max="16384" width="8.88671875" style="21"/>
  </cols>
  <sheetData>
    <row r="1" spans="2:5" x14ac:dyDescent="0.2">
      <c r="B1" s="188" t="str">
        <f>(inputPrYr!D2)</f>
        <v>City of Osawatomie</v>
      </c>
      <c r="C1" s="36"/>
      <c r="D1" s="36"/>
      <c r="E1" s="238">
        <f>inputPrYr!C5</f>
        <v>2014</v>
      </c>
    </row>
    <row r="2" spans="2:5" x14ac:dyDescent="0.2">
      <c r="B2" s="36"/>
      <c r="C2" s="36"/>
      <c r="D2" s="36"/>
      <c r="E2" s="160"/>
    </row>
    <row r="3" spans="2:5" x14ac:dyDescent="0.2">
      <c r="B3" s="239" t="s">
        <v>918</v>
      </c>
      <c r="C3" s="280"/>
      <c r="D3" s="280"/>
      <c r="E3" s="280"/>
    </row>
    <row r="4" spans="2:5" x14ac:dyDescent="0.2">
      <c r="B4" s="41" t="s">
        <v>850</v>
      </c>
      <c r="C4" s="418" t="s">
        <v>662</v>
      </c>
      <c r="D4" s="417" t="s">
        <v>663</v>
      </c>
      <c r="E4" s="394" t="s">
        <v>664</v>
      </c>
    </row>
    <row r="5" spans="2:5" x14ac:dyDescent="0.2">
      <c r="B5" s="544">
        <f>inputPrYr!B50</f>
        <v>0</v>
      </c>
      <c r="C5" s="419" t="str">
        <f>CONCATENATE("Actual for ",E1-2,"")</f>
        <v>Actual for 2012</v>
      </c>
      <c r="D5" s="419" t="str">
        <f>CONCATENATE("Estimate for ",E1-1,"")</f>
        <v>Estimate for 2013</v>
      </c>
      <c r="E5" s="403" t="str">
        <f>CONCATENATE("Year for ",E1,"")</f>
        <v>Year for 2014</v>
      </c>
    </row>
    <row r="6" spans="2:5" x14ac:dyDescent="0.2">
      <c r="B6" s="244" t="s">
        <v>971</v>
      </c>
      <c r="C6" s="56"/>
      <c r="D6" s="218">
        <f>C31</f>
        <v>0</v>
      </c>
      <c r="E6" s="218">
        <f>D31</f>
        <v>0</v>
      </c>
    </row>
    <row r="7" spans="2:5" s="34" customFormat="1" x14ac:dyDescent="0.2">
      <c r="B7" s="248" t="s">
        <v>973</v>
      </c>
      <c r="C7" s="76"/>
      <c r="D7" s="76"/>
      <c r="E7" s="76"/>
    </row>
    <row r="8" spans="2:5" x14ac:dyDescent="0.2">
      <c r="B8" s="265"/>
      <c r="C8" s="56"/>
      <c r="D8" s="56"/>
      <c r="E8" s="56"/>
    </row>
    <row r="9" spans="2:5" x14ac:dyDescent="0.2">
      <c r="B9" s="265"/>
      <c r="C9" s="56"/>
      <c r="D9" s="56"/>
      <c r="E9" s="56"/>
    </row>
    <row r="10" spans="2:5" x14ac:dyDescent="0.2">
      <c r="B10" s="265"/>
      <c r="C10" s="56"/>
      <c r="D10" s="56"/>
      <c r="E10" s="56"/>
    </row>
    <row r="11" spans="2:5" x14ac:dyDescent="0.2">
      <c r="B11" s="265"/>
      <c r="C11" s="56"/>
      <c r="D11" s="56"/>
      <c r="E11" s="56"/>
    </row>
    <row r="12" spans="2:5" x14ac:dyDescent="0.2">
      <c r="B12" s="265"/>
      <c r="C12" s="56"/>
      <c r="D12" s="56"/>
      <c r="E12" s="56"/>
    </row>
    <row r="13" spans="2:5" x14ac:dyDescent="0.2">
      <c r="B13" s="265"/>
      <c r="C13" s="56"/>
      <c r="D13" s="56"/>
      <c r="E13" s="56"/>
    </row>
    <row r="14" spans="2:5" x14ac:dyDescent="0.2">
      <c r="B14" s="253" t="s">
        <v>858</v>
      </c>
      <c r="C14" s="56"/>
      <c r="D14" s="56"/>
      <c r="E14" s="56"/>
    </row>
    <row r="15" spans="2:5" x14ac:dyDescent="0.2">
      <c r="B15" s="150" t="s">
        <v>730</v>
      </c>
      <c r="C15" s="56"/>
      <c r="D15" s="250"/>
      <c r="E15" s="250"/>
    </row>
    <row r="16" spans="2:5" x14ac:dyDescent="0.2">
      <c r="B16" s="244" t="s">
        <v>638</v>
      </c>
      <c r="C16" s="291" t="str">
        <f>IF(C17*0.1&lt;C15,"Exceed 10% Rule","")</f>
        <v/>
      </c>
      <c r="D16" s="255" t="str">
        <f>IF(D17*0.1&lt;D15,"Exceed 10% Rule","")</f>
        <v/>
      </c>
      <c r="E16" s="255" t="str">
        <f>IF(E17*0.1&lt;E15,"Exceed 10% Rule","")</f>
        <v/>
      </c>
    </row>
    <row r="17" spans="2:5" x14ac:dyDescent="0.2">
      <c r="B17" s="256" t="s">
        <v>859</v>
      </c>
      <c r="C17" s="259">
        <f>SUM(C8:C15)</f>
        <v>0</v>
      </c>
      <c r="D17" s="259">
        <f>SUM(D8:D15)</f>
        <v>0</v>
      </c>
      <c r="E17" s="259">
        <f>SUM(E8:E15)</f>
        <v>0</v>
      </c>
    </row>
    <row r="18" spans="2:5" x14ac:dyDescent="0.2">
      <c r="B18" s="256" t="s">
        <v>860</v>
      </c>
      <c r="C18" s="259">
        <f>C6+C17</f>
        <v>0</v>
      </c>
      <c r="D18" s="259">
        <f>D6+D17</f>
        <v>0</v>
      </c>
      <c r="E18" s="259">
        <f>E6+E17</f>
        <v>0</v>
      </c>
    </row>
    <row r="19" spans="2:5" x14ac:dyDescent="0.2">
      <c r="B19" s="141" t="s">
        <v>862</v>
      </c>
      <c r="C19" s="218"/>
      <c r="D19" s="218"/>
      <c r="E19" s="218"/>
    </row>
    <row r="20" spans="2:5" x14ac:dyDescent="0.2">
      <c r="B20" s="265"/>
      <c r="C20" s="56"/>
      <c r="D20" s="56"/>
      <c r="E20" s="56"/>
    </row>
    <row r="21" spans="2:5" x14ac:dyDescent="0.2">
      <c r="B21" s="265"/>
      <c r="C21" s="56"/>
      <c r="D21" s="56"/>
      <c r="E21" s="56"/>
    </row>
    <row r="22" spans="2:5" x14ac:dyDescent="0.2">
      <c r="B22" s="265"/>
      <c r="C22" s="56"/>
      <c r="D22" s="56"/>
      <c r="E22" s="56"/>
    </row>
    <row r="23" spans="2:5" x14ac:dyDescent="0.2">
      <c r="B23" s="265"/>
      <c r="C23" s="56"/>
      <c r="D23" s="56"/>
      <c r="E23" s="56"/>
    </row>
    <row r="24" spans="2:5" x14ac:dyDescent="0.2">
      <c r="B24" s="265"/>
      <c r="C24" s="56"/>
      <c r="D24" s="56"/>
      <c r="E24" s="56"/>
    </row>
    <row r="25" spans="2:5" x14ac:dyDescent="0.2">
      <c r="B25" s="265"/>
      <c r="C25" s="56"/>
      <c r="D25" s="56"/>
      <c r="E25" s="56"/>
    </row>
    <row r="26" spans="2:5" x14ac:dyDescent="0.2">
      <c r="B26" s="265"/>
      <c r="C26" s="56"/>
      <c r="D26" s="56"/>
      <c r="E26" s="56"/>
    </row>
    <row r="27" spans="2:5" x14ac:dyDescent="0.2">
      <c r="B27" s="265"/>
      <c r="C27" s="56"/>
      <c r="D27" s="56"/>
      <c r="E27" s="56"/>
    </row>
    <row r="28" spans="2:5" x14ac:dyDescent="0.2">
      <c r="B28" s="266" t="s">
        <v>730</v>
      </c>
      <c r="C28" s="56"/>
      <c r="D28" s="250"/>
      <c r="E28" s="250"/>
    </row>
    <row r="29" spans="2:5" x14ac:dyDescent="0.2">
      <c r="B29" s="266" t="s">
        <v>639</v>
      </c>
      <c r="C29" s="291" t="str">
        <f>IF(C30*0.1&lt;C28,"Exceed 10% Rule","")</f>
        <v/>
      </c>
      <c r="D29" s="255" t="str">
        <f>IF(D30*0.1&lt;D28,"Exceed 10% Rule","")</f>
        <v/>
      </c>
      <c r="E29" s="255" t="str">
        <f>IF(E30*0.1&lt;E28,"Exceed 10% Rule","")</f>
        <v/>
      </c>
    </row>
    <row r="30" spans="2:5" x14ac:dyDescent="0.2">
      <c r="B30" s="256" t="s">
        <v>866</v>
      </c>
      <c r="C30" s="259">
        <f>SUM(C20:C28)</f>
        <v>0</v>
      </c>
      <c r="D30" s="259">
        <f>SUM(D20:D28)</f>
        <v>0</v>
      </c>
      <c r="E30" s="259">
        <f>SUM(E20:E28)</f>
        <v>0</v>
      </c>
    </row>
    <row r="31" spans="2:5" x14ac:dyDescent="0.2">
      <c r="B31" s="141" t="s">
        <v>972</v>
      </c>
      <c r="C31" s="71">
        <f>C18-C30</f>
        <v>0</v>
      </c>
      <c r="D31" s="71">
        <f>D18-D30</f>
        <v>0</v>
      </c>
      <c r="E31" s="71">
        <f>E18-E30</f>
        <v>0</v>
      </c>
    </row>
    <row r="32" spans="2:5" x14ac:dyDescent="0.2">
      <c r="B32" s="127" t="str">
        <f>CONCATENATE("",E1-2,"/",E1-1," Budget Authority Amount:")</f>
        <v>2012/2013 Budget Authority Amount:</v>
      </c>
      <c r="C32" s="231">
        <f>inputOth!B91</f>
        <v>0</v>
      </c>
      <c r="D32" s="231">
        <f>inputPrYr!D50</f>
        <v>0</v>
      </c>
      <c r="E32" s="373" t="str">
        <f>IF(E31&lt;0,"See Tab E","")</f>
        <v/>
      </c>
    </row>
    <row r="33" spans="2:5" x14ac:dyDescent="0.2">
      <c r="B33" s="127"/>
      <c r="C33" s="374" t="str">
        <f>IF(C30&gt;C32,"See Tab A","")</f>
        <v/>
      </c>
      <c r="D33" s="269" t="str">
        <f>IF(D30&gt;D32,"See Tab C","")</f>
        <v/>
      </c>
      <c r="E33" s="86"/>
    </row>
    <row r="34" spans="2:5" x14ac:dyDescent="0.2">
      <c r="B34" s="127"/>
      <c r="C34" s="374" t="str">
        <f>IF(C31&lt;0,"See Tab B","")</f>
        <v/>
      </c>
      <c r="D34" s="269" t="str">
        <f>IF(D31&lt;0,"See Tab D","")</f>
        <v/>
      </c>
      <c r="E34" s="86"/>
    </row>
    <row r="35" spans="2:5" x14ac:dyDescent="0.2">
      <c r="B35" s="36"/>
      <c r="C35" s="375"/>
      <c r="D35" s="86"/>
      <c r="E35" s="86"/>
    </row>
    <row r="36" spans="2:5" x14ac:dyDescent="0.2">
      <c r="B36" s="41"/>
      <c r="C36" s="376"/>
      <c r="D36" s="286"/>
      <c r="E36" s="286"/>
    </row>
    <row r="37" spans="2:5" x14ac:dyDescent="0.2">
      <c r="B37" s="41" t="s">
        <v>850</v>
      </c>
      <c r="C37" s="271" t="s">
        <v>871</v>
      </c>
      <c r="D37" s="135" t="s">
        <v>994</v>
      </c>
      <c r="E37" s="135" t="s">
        <v>995</v>
      </c>
    </row>
    <row r="38" spans="2:5" x14ac:dyDescent="0.2">
      <c r="B38" s="544">
        <f>inputPrYr!B51</f>
        <v>0</v>
      </c>
      <c r="C38" s="243" t="str">
        <f>C5</f>
        <v>Actual for 2012</v>
      </c>
      <c r="D38" s="243" t="str">
        <f>D5</f>
        <v>Estimate for 2013</v>
      </c>
      <c r="E38" s="243" t="str">
        <f>E5</f>
        <v>Year for 2014</v>
      </c>
    </row>
    <row r="39" spans="2:5" x14ac:dyDescent="0.2">
      <c r="B39" s="244" t="s">
        <v>971</v>
      </c>
      <c r="C39" s="56"/>
      <c r="D39" s="218">
        <f>C62</f>
        <v>0</v>
      </c>
      <c r="E39" s="218">
        <f>D62</f>
        <v>0</v>
      </c>
    </row>
    <row r="40" spans="2:5" s="34" customFormat="1" x14ac:dyDescent="0.2">
      <c r="B40" s="248" t="s">
        <v>973</v>
      </c>
      <c r="C40" s="76"/>
      <c r="D40" s="76"/>
      <c r="E40" s="76"/>
    </row>
    <row r="41" spans="2:5" x14ac:dyDescent="0.2">
      <c r="B41" s="265"/>
      <c r="C41" s="56"/>
      <c r="D41" s="56"/>
      <c r="E41" s="56"/>
    </row>
    <row r="42" spans="2:5" x14ac:dyDescent="0.2">
      <c r="B42" s="265"/>
      <c r="C42" s="56"/>
      <c r="D42" s="56"/>
      <c r="E42" s="56"/>
    </row>
    <row r="43" spans="2:5" x14ac:dyDescent="0.2">
      <c r="B43" s="265"/>
      <c r="C43" s="56"/>
      <c r="D43" s="56"/>
      <c r="E43" s="56"/>
    </row>
    <row r="44" spans="2:5" x14ac:dyDescent="0.2">
      <c r="B44" s="265"/>
      <c r="C44" s="56"/>
      <c r="D44" s="56"/>
      <c r="E44" s="56"/>
    </row>
    <row r="45" spans="2:5" x14ac:dyDescent="0.2">
      <c r="B45" s="253" t="s">
        <v>858</v>
      </c>
      <c r="C45" s="56"/>
      <c r="D45" s="56"/>
      <c r="E45" s="56"/>
    </row>
    <row r="46" spans="2:5" x14ac:dyDescent="0.2">
      <c r="B46" s="150" t="s">
        <v>730</v>
      </c>
      <c r="C46" s="56"/>
      <c r="D46" s="250"/>
      <c r="E46" s="250"/>
    </row>
    <row r="47" spans="2:5" x14ac:dyDescent="0.2">
      <c r="B47" s="244" t="s">
        <v>638</v>
      </c>
      <c r="C47" s="291" t="str">
        <f>IF(C48*0.1&lt;C46,"Exceed 10% Rule","")</f>
        <v/>
      </c>
      <c r="D47" s="255" t="str">
        <f>IF(D48*0.1&lt;D46,"Exceed 10% Rule","")</f>
        <v/>
      </c>
      <c r="E47" s="255" t="str">
        <f>IF(E48*0.1&lt;E46,"Exceed 10% Rule","")</f>
        <v/>
      </c>
    </row>
    <row r="48" spans="2:5" x14ac:dyDescent="0.2">
      <c r="B48" s="256" t="s">
        <v>859</v>
      </c>
      <c r="C48" s="259">
        <f>SUM(C41:C46)</f>
        <v>0</v>
      </c>
      <c r="D48" s="259">
        <f>SUM(D41:D46)</f>
        <v>0</v>
      </c>
      <c r="E48" s="259">
        <f>SUM(E41:E46)</f>
        <v>0</v>
      </c>
    </row>
    <row r="49" spans="2:5" x14ac:dyDescent="0.2">
      <c r="B49" s="256" t="s">
        <v>860</v>
      </c>
      <c r="C49" s="259">
        <f>C39+C48</f>
        <v>0</v>
      </c>
      <c r="D49" s="259">
        <f>D39+D48</f>
        <v>0</v>
      </c>
      <c r="E49" s="259">
        <f>E39+E48</f>
        <v>0</v>
      </c>
    </row>
    <row r="50" spans="2:5" x14ac:dyDescent="0.2">
      <c r="B50" s="141" t="s">
        <v>862</v>
      </c>
      <c r="C50" s="218"/>
      <c r="D50" s="218"/>
      <c r="E50" s="218"/>
    </row>
    <row r="51" spans="2:5" x14ac:dyDescent="0.2">
      <c r="B51" s="265"/>
      <c r="C51" s="56"/>
      <c r="D51" s="56"/>
      <c r="E51" s="56"/>
    </row>
    <row r="52" spans="2:5" x14ac:dyDescent="0.2">
      <c r="B52" s="265"/>
      <c r="C52" s="56"/>
      <c r="D52" s="56"/>
      <c r="E52" s="56"/>
    </row>
    <row r="53" spans="2:5" x14ac:dyDescent="0.2">
      <c r="B53" s="265"/>
      <c r="C53" s="56"/>
      <c r="D53" s="56"/>
      <c r="E53" s="56"/>
    </row>
    <row r="54" spans="2:5" x14ac:dyDescent="0.2">
      <c r="B54" s="265"/>
      <c r="C54" s="56"/>
      <c r="D54" s="56"/>
      <c r="E54" s="56"/>
    </row>
    <row r="55" spans="2:5" x14ac:dyDescent="0.2">
      <c r="B55" s="265"/>
      <c r="C55" s="56"/>
      <c r="D55" s="56"/>
      <c r="E55" s="56"/>
    </row>
    <row r="56" spans="2:5" x14ac:dyDescent="0.2">
      <c r="B56" s="265"/>
      <c r="C56" s="56"/>
      <c r="D56" s="56"/>
      <c r="E56" s="56"/>
    </row>
    <row r="57" spans="2:5" x14ac:dyDescent="0.2">
      <c r="B57" s="265"/>
      <c r="C57" s="56"/>
      <c r="D57" s="56"/>
      <c r="E57" s="56"/>
    </row>
    <row r="58" spans="2:5" x14ac:dyDescent="0.2">
      <c r="B58" s="265"/>
      <c r="C58" s="56"/>
      <c r="D58" s="56"/>
      <c r="E58" s="56"/>
    </row>
    <row r="59" spans="2:5" x14ac:dyDescent="0.2">
      <c r="B59" s="266" t="s">
        <v>730</v>
      </c>
      <c r="C59" s="56"/>
      <c r="D59" s="250"/>
      <c r="E59" s="250"/>
    </row>
    <row r="60" spans="2:5" x14ac:dyDescent="0.2">
      <c r="B60" s="266" t="s">
        <v>639</v>
      </c>
      <c r="C60" s="291" t="str">
        <f>IF(C61*0.1&lt;C59,"Exceed 10% Rule","")</f>
        <v/>
      </c>
      <c r="D60" s="255" t="str">
        <f>IF(D61*0.1&lt;D59,"Exceed 10% Rule","")</f>
        <v/>
      </c>
      <c r="E60" s="255" t="str">
        <f>IF(E61*0.1&lt;E59,"Exceed 10% Rule","")</f>
        <v/>
      </c>
    </row>
    <row r="61" spans="2:5" x14ac:dyDescent="0.2">
      <c r="B61" s="256" t="s">
        <v>866</v>
      </c>
      <c r="C61" s="259">
        <f>SUM(C51:C59)</f>
        <v>0</v>
      </c>
      <c r="D61" s="259">
        <f>SUM(D51:D59)</f>
        <v>0</v>
      </c>
      <c r="E61" s="259">
        <f>SUM(E51:E59)</f>
        <v>0</v>
      </c>
    </row>
    <row r="62" spans="2:5" x14ac:dyDescent="0.2">
      <c r="B62" s="141" t="s">
        <v>972</v>
      </c>
      <c r="C62" s="71">
        <f>C49-C61</f>
        <v>0</v>
      </c>
      <c r="D62" s="71">
        <f>D49-D61</f>
        <v>0</v>
      </c>
      <c r="E62" s="71">
        <f>E49-E61</f>
        <v>0</v>
      </c>
    </row>
    <row r="63" spans="2:5" x14ac:dyDescent="0.2">
      <c r="B63" s="127" t="str">
        <f>CONCATENATE("",E1-2,"/",E1-1," Budget Authority Amount:")</f>
        <v>2012/2013 Budget Authority Amount:</v>
      </c>
      <c r="C63" s="231">
        <f>inputOth!B92</f>
        <v>0</v>
      </c>
      <c r="D63" s="231">
        <f>inputPrYr!D51</f>
        <v>0</v>
      </c>
      <c r="E63" s="373" t="str">
        <f>IF(E62&lt;0,"See Tab E","")</f>
        <v/>
      </c>
    </row>
    <row r="64" spans="2:5" x14ac:dyDescent="0.2">
      <c r="B64" s="127"/>
      <c r="C64" s="269" t="str">
        <f>IF(C61&gt;C63,"See Tab A","")</f>
        <v/>
      </c>
      <c r="D64" s="269" t="str">
        <f>IF(D61&gt;D63,"See Tab C","")</f>
        <v/>
      </c>
      <c r="E64" s="36"/>
    </row>
    <row r="65" spans="2:5" x14ac:dyDescent="0.2">
      <c r="B65" s="127"/>
      <c r="C65" s="269" t="str">
        <f>IF(C62&lt;0,"See Tab B","")</f>
        <v/>
      </c>
      <c r="D65" s="269" t="str">
        <f>IF(D62&lt;0,"See Tab D","")</f>
        <v/>
      </c>
      <c r="E65" s="36"/>
    </row>
    <row r="66" spans="2:5" x14ac:dyDescent="0.2">
      <c r="B66" s="36"/>
      <c r="C66" s="36"/>
      <c r="D66" s="36"/>
      <c r="E66" s="36"/>
    </row>
    <row r="67" spans="2:5" x14ac:dyDescent="0.2">
      <c r="B67" s="160" t="s">
        <v>869</v>
      </c>
      <c r="C67" s="273"/>
      <c r="D67" s="36"/>
      <c r="E67" s="36"/>
    </row>
  </sheetData>
  <sheetProtection sheet="1"/>
  <phoneticPr fontId="0" type="noConversion"/>
  <conditionalFormatting sqref="C15">
    <cfRule type="cellIs" dxfId="115" priority="18" stopIfTrue="1" operator="greaterThan">
      <formula>$C$17*0.1</formula>
    </cfRule>
  </conditionalFormatting>
  <conditionalFormatting sqref="D15">
    <cfRule type="cellIs" dxfId="114" priority="17" stopIfTrue="1" operator="greaterThan">
      <formula>$D$17*0.1</formula>
    </cfRule>
  </conditionalFormatting>
  <conditionalFormatting sqref="E15">
    <cfRule type="cellIs" dxfId="113" priority="16" stopIfTrue="1" operator="greaterThan">
      <formula>$E$17*0.1</formula>
    </cfRule>
  </conditionalFormatting>
  <conditionalFormatting sqref="C28">
    <cfRule type="cellIs" dxfId="112" priority="15" stopIfTrue="1" operator="greaterThan">
      <formula>$C$30*0.1</formula>
    </cfRule>
  </conditionalFormatting>
  <conditionalFormatting sqref="D28">
    <cfRule type="cellIs" dxfId="111" priority="14" stopIfTrue="1" operator="greaterThan">
      <formula>$D$30*0.1</formula>
    </cfRule>
  </conditionalFormatting>
  <conditionalFormatting sqref="E28">
    <cfRule type="cellIs" dxfId="110" priority="13" stopIfTrue="1" operator="greaterThan">
      <formula>$E$30*0.1</formula>
    </cfRule>
  </conditionalFormatting>
  <conditionalFormatting sqref="C46">
    <cfRule type="cellIs" dxfId="109" priority="12" stopIfTrue="1" operator="greaterThan">
      <formula>$C$48*0.1</formula>
    </cfRule>
  </conditionalFormatting>
  <conditionalFormatting sqref="D46">
    <cfRule type="cellIs" dxfId="108" priority="11" stopIfTrue="1" operator="greaterThan">
      <formula>$D$48*0.1</formula>
    </cfRule>
  </conditionalFormatting>
  <conditionalFormatting sqref="E46">
    <cfRule type="cellIs" dxfId="107" priority="10" stopIfTrue="1" operator="greaterThan">
      <formula>$E$48*0.1</formula>
    </cfRule>
  </conditionalFormatting>
  <conditionalFormatting sqref="C59">
    <cfRule type="cellIs" dxfId="106" priority="9" stopIfTrue="1" operator="greaterThan">
      <formula>$C$61*0.1</formula>
    </cfRule>
  </conditionalFormatting>
  <conditionalFormatting sqref="D59">
    <cfRule type="cellIs" dxfId="105" priority="8" stopIfTrue="1" operator="greaterThan">
      <formula>$D$61*0.1</formula>
    </cfRule>
  </conditionalFormatting>
  <conditionalFormatting sqref="E59">
    <cfRule type="cellIs" dxfId="104" priority="7" stopIfTrue="1" operator="greaterThan">
      <formula>$E$61*0.1</formula>
    </cfRule>
  </conditionalFormatting>
  <conditionalFormatting sqref="C61:D61">
    <cfRule type="cellIs" dxfId="103" priority="6" stopIfTrue="1" operator="greaterThan">
      <formula>$D$63</formula>
    </cfRule>
  </conditionalFormatting>
  <conditionalFormatting sqref="C62 E62 C31 E31">
    <cfRule type="cellIs" dxfId="102" priority="5" stopIfTrue="1" operator="lessThan">
      <formula>0</formula>
    </cfRule>
  </conditionalFormatting>
  <conditionalFormatting sqref="D30">
    <cfRule type="cellIs" dxfId="101" priority="4" stopIfTrue="1" operator="greaterThan">
      <formula>$D$32</formula>
    </cfRule>
  </conditionalFormatting>
  <conditionalFormatting sqref="C30">
    <cfRule type="cellIs" dxfId="100" priority="3" stopIfTrue="1" operator="greaterThan">
      <formula>$C$32</formula>
    </cfRule>
  </conditionalFormatting>
  <conditionalFormatting sqref="D62">
    <cfRule type="cellIs" dxfId="99" priority="2" stopIfTrue="1" operator="lessThan">
      <formula>0</formula>
    </cfRule>
  </conditionalFormatting>
  <conditionalFormatting sqref="D31">
    <cfRule type="cellIs" dxfId="98" priority="1" stopIfTrue="1" operator="lessThan">
      <formula>0</formula>
    </cfRule>
  </conditionalFormatting>
  <pageMargins left="0.7" right="0.7" top="0.75" bottom="0.75" header="0.3" footer="0.3"/>
  <pageSetup scale="72" orientation="portrait" blackAndWhite="1" r:id="rId1"/>
  <headerFooter>
    <oddHeader>&amp;RState of Kansas
City</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7"/>
  <sheetViews>
    <sheetView topLeftCell="A22" zoomScaleNormal="100" workbookViewId="0">
      <selection activeCell="C10" activeCellId="1" sqref="C21:C25 C10:C12"/>
    </sheetView>
  </sheetViews>
  <sheetFormatPr defaultRowHeight="15.75" x14ac:dyDescent="0.2"/>
  <cols>
    <col min="1" max="1" width="2.44140625" style="34" customWidth="1"/>
    <col min="2" max="2" width="31.109375" style="34" customWidth="1"/>
    <col min="3" max="4" width="15.77734375" style="34" customWidth="1"/>
    <col min="5" max="5" width="16.21875" style="34" customWidth="1"/>
    <col min="6" max="6" width="8.109375" style="34" customWidth="1"/>
    <col min="7" max="7" width="10.21875" style="34" customWidth="1"/>
    <col min="8" max="8" width="8.88671875" style="34"/>
    <col min="9" max="9" width="5" style="34" customWidth="1"/>
    <col min="10" max="10" width="10" style="34" customWidth="1"/>
    <col min="11" max="16384" width="8.88671875" style="34"/>
  </cols>
  <sheetData>
    <row r="1" spans="2:5" x14ac:dyDescent="0.2">
      <c r="B1" s="188" t="str">
        <f>(inputPrYr!D2)</f>
        <v>City of Osawatomie</v>
      </c>
      <c r="C1" s="36"/>
      <c r="D1" s="36"/>
      <c r="E1" s="238">
        <f>inputPrYr!C5</f>
        <v>2014</v>
      </c>
    </row>
    <row r="2" spans="2:5" x14ac:dyDescent="0.2">
      <c r="B2" s="36"/>
      <c r="C2" s="36"/>
      <c r="D2" s="36"/>
      <c r="E2" s="160"/>
    </row>
    <row r="3" spans="2:5" x14ac:dyDescent="0.2">
      <c r="B3" s="239" t="s">
        <v>917</v>
      </c>
      <c r="C3" s="193"/>
      <c r="D3" s="193"/>
      <c r="E3" s="279"/>
    </row>
    <row r="4" spans="2:5" x14ac:dyDescent="0.2">
      <c r="B4" s="41" t="s">
        <v>850</v>
      </c>
      <c r="C4" s="418" t="s">
        <v>662</v>
      </c>
      <c r="D4" s="417" t="s">
        <v>663</v>
      </c>
      <c r="E4" s="394" t="s">
        <v>664</v>
      </c>
    </row>
    <row r="5" spans="2:5" x14ac:dyDescent="0.2">
      <c r="B5" s="544">
        <f>inputPrYr!B25</f>
        <v>0</v>
      </c>
      <c r="C5" s="419" t="str">
        <f>CONCATENATE("Actual for ",E1-2,"")</f>
        <v>Actual for 2012</v>
      </c>
      <c r="D5" s="419" t="str">
        <f>CONCATENATE("Estimate for ",E1-1,"")</f>
        <v>Estimate for 2013</v>
      </c>
      <c r="E5" s="403" t="str">
        <f>CONCATENATE("Year for ",E1,"")</f>
        <v>Year for 2014</v>
      </c>
    </row>
    <row r="6" spans="2:5" x14ac:dyDescent="0.2">
      <c r="B6" s="244" t="s">
        <v>971</v>
      </c>
      <c r="C6" s="249"/>
      <c r="D6" s="247">
        <f>C34</f>
        <v>0</v>
      </c>
      <c r="E6" s="218">
        <f>D34</f>
        <v>0</v>
      </c>
    </row>
    <row r="7" spans="2:5" x14ac:dyDescent="0.2">
      <c r="B7" s="248" t="s">
        <v>973</v>
      </c>
      <c r="C7" s="150"/>
      <c r="D7" s="150"/>
      <c r="E7" s="76"/>
    </row>
    <row r="8" spans="2:5" x14ac:dyDescent="0.2">
      <c r="B8" s="141" t="s">
        <v>851</v>
      </c>
      <c r="C8" s="249"/>
      <c r="D8" s="247">
        <f>IF(inputPrYr!H16&gt;0,inputPrYr!G25,inputPrYr!E25)</f>
        <v>0</v>
      </c>
      <c r="E8" s="277" t="s">
        <v>839</v>
      </c>
    </row>
    <row r="9" spans="2:5" x14ac:dyDescent="0.2">
      <c r="B9" s="141" t="s">
        <v>852</v>
      </c>
      <c r="C9" s="249"/>
      <c r="D9" s="249"/>
      <c r="E9" s="56"/>
    </row>
    <row r="10" spans="2:5" x14ac:dyDescent="0.2">
      <c r="B10" s="141" t="s">
        <v>853</v>
      </c>
      <c r="C10" s="249"/>
      <c r="D10" s="249"/>
      <c r="E10" s="218" t="str">
        <f>mvalloc!D14</f>
        <v xml:space="preserve">  </v>
      </c>
    </row>
    <row r="11" spans="2:5" x14ac:dyDescent="0.2">
      <c r="B11" s="141" t="s">
        <v>854</v>
      </c>
      <c r="C11" s="249"/>
      <c r="D11" s="249"/>
      <c r="E11" s="218" t="str">
        <f>mvalloc!E14</f>
        <v xml:space="preserve"> </v>
      </c>
    </row>
    <row r="12" spans="2:5" x14ac:dyDescent="0.2">
      <c r="B12" s="150" t="s">
        <v>949</v>
      </c>
      <c r="C12" s="249"/>
      <c r="D12" s="249"/>
      <c r="E12" s="218" t="str">
        <f>mvalloc!F14</f>
        <v xml:space="preserve"> </v>
      </c>
    </row>
    <row r="13" spans="2:5" x14ac:dyDescent="0.2">
      <c r="B13" s="265"/>
      <c r="C13" s="249"/>
      <c r="D13" s="249"/>
      <c r="E13" s="56"/>
    </row>
    <row r="14" spans="2:5" x14ac:dyDescent="0.2">
      <c r="B14" s="265"/>
      <c r="C14" s="249"/>
      <c r="D14" s="249"/>
      <c r="E14" s="56"/>
    </row>
    <row r="15" spans="2:5" x14ac:dyDescent="0.2">
      <c r="B15" s="265"/>
      <c r="C15" s="249"/>
      <c r="D15" s="249"/>
      <c r="E15" s="56"/>
    </row>
    <row r="16" spans="2:5" x14ac:dyDescent="0.2">
      <c r="B16" s="265"/>
      <c r="C16" s="249"/>
      <c r="D16" s="249"/>
      <c r="E16" s="56"/>
    </row>
    <row r="17" spans="2:10" x14ac:dyDescent="0.2">
      <c r="B17" s="253" t="s">
        <v>858</v>
      </c>
      <c r="C17" s="249"/>
      <c r="D17" s="249"/>
      <c r="E17" s="56"/>
    </row>
    <row r="18" spans="2:10" x14ac:dyDescent="0.2">
      <c r="B18" s="150" t="s">
        <v>730</v>
      </c>
      <c r="C18" s="249"/>
      <c r="D18" s="249"/>
      <c r="E18" s="56"/>
    </row>
    <row r="19" spans="2:10" x14ac:dyDescent="0.2">
      <c r="B19" s="244" t="s">
        <v>638</v>
      </c>
      <c r="C19" s="254" t="str">
        <f>IF(C20*0.1&lt;C18,"Exceed 10% Rule","")</f>
        <v/>
      </c>
      <c r="D19" s="254" t="str">
        <f>IF(D20*0.1&lt;D18,"Exceed 10% Rule","")</f>
        <v/>
      </c>
      <c r="E19" s="291" t="str">
        <f>IF(E20*0.1+E40&lt;E18,"Exceed 10% Rule","")</f>
        <v/>
      </c>
    </row>
    <row r="20" spans="2:10" x14ac:dyDescent="0.2">
      <c r="B20" s="256" t="s">
        <v>859</v>
      </c>
      <c r="C20" s="258">
        <f>SUM(C8:C18)</f>
        <v>0</v>
      </c>
      <c r="D20" s="258">
        <f>SUM(D8:D18)</f>
        <v>0</v>
      </c>
      <c r="E20" s="259">
        <f>SUM(E8:E18)</f>
        <v>0</v>
      </c>
    </row>
    <row r="21" spans="2:10" x14ac:dyDescent="0.2">
      <c r="B21" s="256" t="s">
        <v>860</v>
      </c>
      <c r="C21" s="258">
        <f>C6+C20</f>
        <v>0</v>
      </c>
      <c r="D21" s="258">
        <f>D6+D20</f>
        <v>0</v>
      </c>
      <c r="E21" s="259">
        <f>E6+E20</f>
        <v>0</v>
      </c>
    </row>
    <row r="22" spans="2:10" x14ac:dyDescent="0.2">
      <c r="B22" s="141" t="s">
        <v>862</v>
      </c>
      <c r="C22" s="266"/>
      <c r="D22" s="266"/>
      <c r="E22" s="54"/>
    </row>
    <row r="23" spans="2:10" x14ac:dyDescent="0.2">
      <c r="B23" s="265"/>
      <c r="C23" s="249"/>
      <c r="D23" s="249"/>
      <c r="E23" s="56"/>
    </row>
    <row r="24" spans="2:10" x14ac:dyDescent="0.2">
      <c r="B24" s="265"/>
      <c r="C24" s="249"/>
      <c r="D24" s="249"/>
      <c r="E24" s="56"/>
      <c r="G24" s="995" t="str">
        <f>CONCATENATE("Desired Carryover Into ",E1+1,"")</f>
        <v>Desired Carryover Into 2015</v>
      </c>
      <c r="H24" s="972"/>
      <c r="I24" s="972"/>
      <c r="J24" s="973"/>
    </row>
    <row r="25" spans="2:10" x14ac:dyDescent="0.2">
      <c r="B25" s="265"/>
      <c r="C25" s="249"/>
      <c r="D25" s="249"/>
      <c r="E25" s="56"/>
      <c r="G25" s="804"/>
      <c r="H25" s="805"/>
      <c r="I25" s="806"/>
      <c r="J25" s="807"/>
    </row>
    <row r="26" spans="2:10" x14ac:dyDescent="0.2">
      <c r="B26" s="265"/>
      <c r="C26" s="249"/>
      <c r="D26" s="249"/>
      <c r="E26" s="56"/>
      <c r="G26" s="808" t="s">
        <v>626</v>
      </c>
      <c r="H26" s="806"/>
      <c r="I26" s="806"/>
      <c r="J26" s="809">
        <v>0</v>
      </c>
    </row>
    <row r="27" spans="2:10" x14ac:dyDescent="0.2">
      <c r="B27" s="265"/>
      <c r="C27" s="249"/>
      <c r="D27" s="249"/>
      <c r="E27" s="56"/>
      <c r="G27" s="804" t="s">
        <v>627</v>
      </c>
      <c r="H27" s="805"/>
      <c r="I27" s="805"/>
      <c r="J27" s="810" t="str">
        <f>IF(J26=0,"",ROUND((J26+E40-G39)/inputOth!E9*1000,3)-G44)</f>
        <v/>
      </c>
    </row>
    <row r="28" spans="2:10" x14ac:dyDescent="0.2">
      <c r="B28" s="265"/>
      <c r="C28" s="249"/>
      <c r="D28" s="249"/>
      <c r="E28" s="56"/>
      <c r="G28" s="811" t="str">
        <f>CONCATENATE("",E1," Tot Exp/Non-Appr Must Be:")</f>
        <v>2014 Tot Exp/Non-Appr Must Be:</v>
      </c>
      <c r="H28" s="812"/>
      <c r="I28" s="813"/>
      <c r="J28" s="814">
        <f>IF(J26&gt;0,IF(E37&lt;E21,IF(J26=G39,E37,((J26-G39)*(1-D39))+E21),E37+(J26-G39)),0)</f>
        <v>0</v>
      </c>
    </row>
    <row r="29" spans="2:10" x14ac:dyDescent="0.2">
      <c r="B29" s="265"/>
      <c r="C29" s="249"/>
      <c r="D29" s="249"/>
      <c r="E29" s="56"/>
      <c r="G29" s="815" t="s">
        <v>665</v>
      </c>
      <c r="H29" s="816"/>
      <c r="I29" s="816"/>
      <c r="J29" s="783">
        <f>IF(J26&gt;0,J28-E37,0)</f>
        <v>0</v>
      </c>
    </row>
    <row r="30" spans="2:10" x14ac:dyDescent="0.25">
      <c r="B30" s="266" t="s">
        <v>729</v>
      </c>
      <c r="C30" s="249"/>
      <c r="D30" s="249"/>
      <c r="E30" s="71" t="str">
        <f>nhood!E13</f>
        <v/>
      </c>
      <c r="J30" s="2"/>
    </row>
    <row r="31" spans="2:10" x14ac:dyDescent="0.2">
      <c r="B31" s="266" t="s">
        <v>730</v>
      </c>
      <c r="C31" s="249"/>
      <c r="D31" s="249"/>
      <c r="E31" s="56"/>
      <c r="G31" s="995" t="str">
        <f>CONCATENATE("Projected Carryover Into ",E1+1,"")</f>
        <v>Projected Carryover Into 2015</v>
      </c>
      <c r="H31" s="999"/>
      <c r="I31" s="999"/>
      <c r="J31" s="998"/>
    </row>
    <row r="32" spans="2:10" x14ac:dyDescent="0.25">
      <c r="B32" s="266" t="s">
        <v>639</v>
      </c>
      <c r="C32" s="254" t="str">
        <f>IF(C33*0.1&lt;C31,"Exceed 10% Rule","")</f>
        <v/>
      </c>
      <c r="D32" s="254" t="str">
        <f>IF(D33*0.1&lt;D31,"Exceed 10% Rule","")</f>
        <v/>
      </c>
      <c r="E32" s="291" t="str">
        <f>IF(E33*0.1&lt;E31,"Exceed 10% Rule","")</f>
        <v/>
      </c>
      <c r="G32" s="804"/>
      <c r="H32" s="806"/>
      <c r="I32" s="806"/>
      <c r="J32" s="830"/>
    </row>
    <row r="33" spans="2:11" x14ac:dyDescent="0.25">
      <c r="B33" s="256" t="s">
        <v>866</v>
      </c>
      <c r="C33" s="258">
        <f>SUM(C23:C31)</f>
        <v>0</v>
      </c>
      <c r="D33" s="258">
        <f>SUM(D23:D31)</f>
        <v>0</v>
      </c>
      <c r="E33" s="259">
        <f>SUM(E23:E31)</f>
        <v>0</v>
      </c>
      <c r="G33" s="831">
        <f>D34</f>
        <v>0</v>
      </c>
      <c r="H33" s="795" t="str">
        <f>CONCATENATE("",E1-1," Ending Cash Balance (est.)")</f>
        <v>2013 Ending Cash Balance (est.)</v>
      </c>
      <c r="I33" s="832"/>
      <c r="J33" s="830"/>
    </row>
    <row r="34" spans="2:11" x14ac:dyDescent="0.25">
      <c r="B34" s="141" t="s">
        <v>972</v>
      </c>
      <c r="C34" s="262">
        <f>C21-C33</f>
        <v>0</v>
      </c>
      <c r="D34" s="262">
        <f>D21-D33</f>
        <v>0</v>
      </c>
      <c r="E34" s="277" t="s">
        <v>839</v>
      </c>
      <c r="G34" s="831">
        <f>E20</f>
        <v>0</v>
      </c>
      <c r="H34" s="806" t="str">
        <f>CONCATENATE("",E1," Non-AV Receipts (est.)")</f>
        <v>2014 Non-AV Receipts (est.)</v>
      </c>
      <c r="I34" s="832"/>
      <c r="J34" s="830"/>
    </row>
    <row r="35" spans="2:11" x14ac:dyDescent="0.2">
      <c r="B35" s="127" t="str">
        <f>CONCATENATE("",E1-2,"/",E1-1," Budget Authority Amount:")</f>
        <v>2012/2013 Budget Authority Amount:</v>
      </c>
      <c r="C35" s="231">
        <f>inputOth!B70</f>
        <v>0</v>
      </c>
      <c r="D35" s="231">
        <f>inputPrYr!D25</f>
        <v>0</v>
      </c>
      <c r="E35" s="277" t="s">
        <v>839</v>
      </c>
      <c r="F35" s="268"/>
      <c r="G35" s="833">
        <f>IF(E39&gt;0,E38,E40)</f>
        <v>0</v>
      </c>
      <c r="H35" s="806" t="str">
        <f>CONCATENATE("",E1," Ad Valorem Tax (est.)")</f>
        <v>2014 Ad Valorem Tax (est.)</v>
      </c>
      <c r="I35" s="832"/>
      <c r="J35" s="818"/>
      <c r="K35" s="788" t="str">
        <f>IF(G35=E40,"","Note: Does not include Delinquent Taxes")</f>
        <v/>
      </c>
    </row>
    <row r="36" spans="2:11" x14ac:dyDescent="0.25">
      <c r="B36" s="127"/>
      <c r="C36" s="977" t="s">
        <v>483</v>
      </c>
      <c r="D36" s="978"/>
      <c r="E36" s="56"/>
      <c r="F36" s="891" t="str">
        <f>IF(E33/0.95-E33&lt;E36,"Exceeds 5%","")</f>
        <v/>
      </c>
      <c r="G36" s="831">
        <f>SUM(G33:G35)</f>
        <v>0</v>
      </c>
      <c r="H36" s="806" t="str">
        <f>CONCATENATE("Total ",E1," Resources Available")</f>
        <v>Total 2014 Resources Available</v>
      </c>
      <c r="I36" s="832"/>
      <c r="J36" s="830"/>
    </row>
    <row r="37" spans="2:11" x14ac:dyDescent="0.25">
      <c r="B37" s="540" t="str">
        <f>CONCATENATE(C94,"     ",D94)</f>
        <v xml:space="preserve">     </v>
      </c>
      <c r="C37" s="979" t="s">
        <v>484</v>
      </c>
      <c r="D37" s="980"/>
      <c r="E37" s="218">
        <f>E33+E36</f>
        <v>0</v>
      </c>
      <c r="G37" s="850"/>
      <c r="H37" s="806"/>
      <c r="I37" s="806"/>
      <c r="J37" s="830"/>
    </row>
    <row r="38" spans="2:11" x14ac:dyDescent="0.25">
      <c r="B38" s="540" t="str">
        <f>CONCATENATE(C95,"     ",D95)</f>
        <v xml:space="preserve">     </v>
      </c>
      <c r="C38" s="269"/>
      <c r="D38" s="160" t="s">
        <v>867</v>
      </c>
      <c r="E38" s="71">
        <f>IF(E37-E21&gt;0,E37-E21,0)</f>
        <v>0</v>
      </c>
      <c r="G38" s="833">
        <f>ROUND(C33*0.05+C33,0)</f>
        <v>0</v>
      </c>
      <c r="H38" s="806" t="str">
        <f>CONCATENATE("Less ",E1-2," Expenditures + 5%")</f>
        <v>Less 2012 Expenditures + 5%</v>
      </c>
      <c r="I38" s="832"/>
      <c r="J38" s="830"/>
    </row>
    <row r="39" spans="2:11" x14ac:dyDescent="0.25">
      <c r="B39" s="160"/>
      <c r="C39" s="381" t="s">
        <v>482</v>
      </c>
      <c r="D39" s="382">
        <f>inputOth!$E$50</f>
        <v>0.05</v>
      </c>
      <c r="E39" s="218">
        <f>ROUND(IF(D39&gt;0,(E38*D39),0),0)</f>
        <v>0</v>
      </c>
      <c r="G39" s="851">
        <f>G36-G38</f>
        <v>0</v>
      </c>
      <c r="H39" s="852" t="str">
        <f>CONCATENATE("Projected ",E1+1," carryover (est.)")</f>
        <v>Projected 2015 carryover (est.)</v>
      </c>
      <c r="I39" s="853"/>
      <c r="J39" s="843"/>
    </row>
    <row r="40" spans="2:11" x14ac:dyDescent="0.25">
      <c r="B40" s="87"/>
      <c r="C40" s="981" t="str">
        <f>CONCATENATE("Amount of  ",$E$1-1," Ad Valorem Tax")</f>
        <v>Amount of  2013 Ad Valorem Tax</v>
      </c>
      <c r="D40" s="982"/>
      <c r="E40" s="281">
        <f>E38+E39</f>
        <v>0</v>
      </c>
      <c r="G40" s="2"/>
      <c r="H40" s="2"/>
      <c r="I40" s="2"/>
      <c r="J40" s="2"/>
    </row>
    <row r="41" spans="2:11" x14ac:dyDescent="0.2">
      <c r="B41" s="36"/>
      <c r="C41" s="87"/>
      <c r="D41" s="87"/>
      <c r="E41" s="36"/>
      <c r="G41" s="974" t="s">
        <v>666</v>
      </c>
      <c r="H41" s="975"/>
      <c r="I41" s="975"/>
      <c r="J41" s="976"/>
    </row>
    <row r="42" spans="2:11" x14ac:dyDescent="0.2">
      <c r="B42" s="41"/>
      <c r="C42" s="280"/>
      <c r="D42" s="280"/>
      <c r="E42" s="280"/>
      <c r="G42" s="794"/>
      <c r="H42" s="795"/>
      <c r="I42" s="796"/>
      <c r="J42" s="797"/>
    </row>
    <row r="43" spans="2:11" x14ac:dyDescent="0.2">
      <c r="B43" s="41" t="s">
        <v>850</v>
      </c>
      <c r="C43" s="418" t="s">
        <v>662</v>
      </c>
      <c r="D43" s="417" t="s">
        <v>663</v>
      </c>
      <c r="E43" s="394" t="s">
        <v>664</v>
      </c>
      <c r="G43" s="798" t="str">
        <f>summ!H22</f>
        <v xml:space="preserve">  </v>
      </c>
      <c r="H43" s="795" t="str">
        <f>CONCATENATE("",E1," Fund Mill Rate")</f>
        <v>2014 Fund Mill Rate</v>
      </c>
      <c r="I43" s="796"/>
      <c r="J43" s="797"/>
    </row>
    <row r="44" spans="2:11" x14ac:dyDescent="0.2">
      <c r="B44" s="544">
        <f>inputPrYr!B26</f>
        <v>0</v>
      </c>
      <c r="C44" s="419" t="str">
        <f>CONCATENATE("Actual for ",E1-2,"")</f>
        <v>Actual for 2012</v>
      </c>
      <c r="D44" s="419" t="str">
        <f>CONCATENATE("Estimate for ",E1-1,"")</f>
        <v>Estimate for 2013</v>
      </c>
      <c r="E44" s="403" t="str">
        <f>CONCATENATE("Year for ",E1,"")</f>
        <v>Year for 2014</v>
      </c>
      <c r="G44" s="799" t="str">
        <f>summ!E22</f>
        <v xml:space="preserve">  </v>
      </c>
      <c r="H44" s="795" t="str">
        <f>CONCATENATE("",E1-1," Fund Mill Rate")</f>
        <v>2013 Fund Mill Rate</v>
      </c>
      <c r="I44" s="796"/>
      <c r="J44" s="797"/>
    </row>
    <row r="45" spans="2:11" x14ac:dyDescent="0.2">
      <c r="B45" s="244" t="s">
        <v>971</v>
      </c>
      <c r="C45" s="249"/>
      <c r="D45" s="247">
        <f>C74</f>
        <v>0</v>
      </c>
      <c r="E45" s="218">
        <f>D74</f>
        <v>0</v>
      </c>
      <c r="G45" s="800">
        <f>summ!H52</f>
        <v>59.936</v>
      </c>
      <c r="H45" s="795" t="str">
        <f>CONCATENATE("Total ",E1," Mill Rate")</f>
        <v>Total 2014 Mill Rate</v>
      </c>
      <c r="I45" s="796"/>
      <c r="J45" s="797"/>
    </row>
    <row r="46" spans="2:11" x14ac:dyDescent="0.2">
      <c r="B46" s="248" t="s">
        <v>973</v>
      </c>
      <c r="C46" s="150"/>
      <c r="D46" s="150"/>
      <c r="E46" s="76"/>
      <c r="G46" s="799">
        <f>summ!E52</f>
        <v>58.256999999999998</v>
      </c>
      <c r="H46" s="801" t="str">
        <f>CONCATENATE("Total ",E1-1," Mill Rate")</f>
        <v>Total 2013 Mill Rate</v>
      </c>
      <c r="I46" s="802"/>
      <c r="J46" s="803"/>
    </row>
    <row r="47" spans="2:11" x14ac:dyDescent="0.2">
      <c r="B47" s="141" t="s">
        <v>851</v>
      </c>
      <c r="C47" s="249"/>
      <c r="D47" s="247">
        <f>IF(inputPrYr!H16&gt;0,inputPrYr!G26,inputPrYr!E26)</f>
        <v>0</v>
      </c>
      <c r="E47" s="277" t="s">
        <v>839</v>
      </c>
    </row>
    <row r="48" spans="2:11" x14ac:dyDescent="0.2">
      <c r="B48" s="141" t="s">
        <v>852</v>
      </c>
      <c r="C48" s="249"/>
      <c r="D48" s="249"/>
      <c r="E48" s="56"/>
    </row>
    <row r="49" spans="2:10" x14ac:dyDescent="0.2">
      <c r="B49" s="141" t="s">
        <v>853</v>
      </c>
      <c r="C49" s="249"/>
      <c r="D49" s="249"/>
      <c r="E49" s="218" t="str">
        <f>mvalloc!D15</f>
        <v xml:space="preserve">  </v>
      </c>
    </row>
    <row r="50" spans="2:10" x14ac:dyDescent="0.2">
      <c r="B50" s="141" t="s">
        <v>854</v>
      </c>
      <c r="C50" s="249"/>
      <c r="D50" s="249"/>
      <c r="E50" s="218" t="str">
        <f>mvalloc!E15</f>
        <v xml:space="preserve"> </v>
      </c>
    </row>
    <row r="51" spans="2:10" x14ac:dyDescent="0.2">
      <c r="B51" s="150" t="s">
        <v>949</v>
      </c>
      <c r="C51" s="249"/>
      <c r="D51" s="249"/>
      <c r="E51" s="218" t="str">
        <f>mvalloc!F15</f>
        <v xml:space="preserve"> </v>
      </c>
    </row>
    <row r="52" spans="2:10" x14ac:dyDescent="0.2">
      <c r="B52" s="265"/>
      <c r="C52" s="249"/>
      <c r="D52" s="249"/>
      <c r="E52" s="56"/>
    </row>
    <row r="53" spans="2:10" x14ac:dyDescent="0.2">
      <c r="B53" s="265"/>
      <c r="C53" s="249"/>
      <c r="D53" s="249"/>
      <c r="E53" s="56"/>
    </row>
    <row r="54" spans="2:10" x14ac:dyDescent="0.2">
      <c r="B54" s="265"/>
      <c r="C54" s="249"/>
      <c r="D54" s="249"/>
      <c r="E54" s="56"/>
    </row>
    <row r="55" spans="2:10" x14ac:dyDescent="0.2">
      <c r="B55" s="265"/>
      <c r="C55" s="249"/>
      <c r="D55" s="249"/>
      <c r="E55" s="56"/>
    </row>
    <row r="56" spans="2:10" x14ac:dyDescent="0.2">
      <c r="B56" s="265"/>
      <c r="C56" s="249"/>
      <c r="D56" s="249"/>
      <c r="E56" s="56"/>
    </row>
    <row r="57" spans="2:10" x14ac:dyDescent="0.2">
      <c r="B57" s="253" t="s">
        <v>858</v>
      </c>
      <c r="C57" s="249"/>
      <c r="D57" s="249"/>
      <c r="E57" s="56"/>
    </row>
    <row r="58" spans="2:10" x14ac:dyDescent="0.2">
      <c r="B58" s="150" t="s">
        <v>730</v>
      </c>
      <c r="C58" s="249"/>
      <c r="D58" s="249"/>
      <c r="E58" s="56"/>
    </row>
    <row r="59" spans="2:10" x14ac:dyDescent="0.2">
      <c r="B59" s="244" t="s">
        <v>638</v>
      </c>
      <c r="C59" s="254" t="str">
        <f>IF(C60*0.1&lt;C58,"Exceed 10% Rule","")</f>
        <v/>
      </c>
      <c r="D59" s="254" t="str">
        <f>IF(D60*0.1&lt;D58,"Exceed 10% Rule","")</f>
        <v/>
      </c>
      <c r="E59" s="291" t="str">
        <f>IF(E60*0.1+E80&lt;E58,"Exceed 10% Rule","")</f>
        <v/>
      </c>
    </row>
    <row r="60" spans="2:10" x14ac:dyDescent="0.2">
      <c r="B60" s="256" t="s">
        <v>859</v>
      </c>
      <c r="C60" s="258">
        <f>SUM(C47:C58)</f>
        <v>0</v>
      </c>
      <c r="D60" s="258">
        <f>SUM(D47:D58)</f>
        <v>0</v>
      </c>
      <c r="E60" s="259">
        <f>SUM(E47:E58)</f>
        <v>0</v>
      </c>
    </row>
    <row r="61" spans="2:10" x14ac:dyDescent="0.2">
      <c r="B61" s="256" t="s">
        <v>860</v>
      </c>
      <c r="C61" s="258">
        <f>C45+C60</f>
        <v>0</v>
      </c>
      <c r="D61" s="258">
        <f>D45+D60</f>
        <v>0</v>
      </c>
      <c r="E61" s="259">
        <f>E45+E60</f>
        <v>0</v>
      </c>
    </row>
    <row r="62" spans="2:10" x14ac:dyDescent="0.2">
      <c r="B62" s="141" t="s">
        <v>862</v>
      </c>
      <c r="C62" s="266"/>
      <c r="D62" s="266"/>
      <c r="E62" s="54"/>
    </row>
    <row r="63" spans="2:10" x14ac:dyDescent="0.2">
      <c r="B63" s="265"/>
      <c r="C63" s="249"/>
      <c r="D63" s="249"/>
      <c r="E63" s="56"/>
    </row>
    <row r="64" spans="2:10" x14ac:dyDescent="0.2">
      <c r="B64" s="265"/>
      <c r="C64" s="249"/>
      <c r="D64" s="249"/>
      <c r="E64" s="56"/>
      <c r="G64" s="995" t="str">
        <f>CONCATENATE("Desired Carryover Into ",E1+1,"")</f>
        <v>Desired Carryover Into 2015</v>
      </c>
      <c r="H64" s="972"/>
      <c r="I64" s="972"/>
      <c r="J64" s="973"/>
    </row>
    <row r="65" spans="2:11" x14ac:dyDescent="0.2">
      <c r="B65" s="265"/>
      <c r="C65" s="249"/>
      <c r="D65" s="249"/>
      <c r="E65" s="56"/>
      <c r="G65" s="804"/>
      <c r="H65" s="805"/>
      <c r="I65" s="806"/>
      <c r="J65" s="807"/>
    </row>
    <row r="66" spans="2:11" x14ac:dyDescent="0.2">
      <c r="B66" s="265"/>
      <c r="C66" s="249"/>
      <c r="D66" s="249"/>
      <c r="E66" s="56"/>
      <c r="G66" s="808" t="s">
        <v>626</v>
      </c>
      <c r="H66" s="806"/>
      <c r="I66" s="806"/>
      <c r="J66" s="809">
        <v>0</v>
      </c>
    </row>
    <row r="67" spans="2:11" x14ac:dyDescent="0.2">
      <c r="B67" s="265"/>
      <c r="C67" s="249"/>
      <c r="D67" s="249"/>
      <c r="E67" s="56"/>
      <c r="G67" s="804" t="s">
        <v>627</v>
      </c>
      <c r="H67" s="805"/>
      <c r="I67" s="805"/>
      <c r="J67" s="810" t="str">
        <f>IF(J66=0,"",ROUND((J66+E80-G79)/inputOth!E9*1000,3)-G84)</f>
        <v/>
      </c>
    </row>
    <row r="68" spans="2:11" x14ac:dyDescent="0.2">
      <c r="B68" s="265"/>
      <c r="C68" s="249"/>
      <c r="D68" s="249"/>
      <c r="E68" s="56"/>
      <c r="G68" s="811" t="str">
        <f>CONCATENATE("",E1," Tot Exp/Non-Appr Must Be:")</f>
        <v>2014 Tot Exp/Non-Appr Must Be:</v>
      </c>
      <c r="H68" s="812"/>
      <c r="I68" s="813"/>
      <c r="J68" s="814">
        <f>IF(J66&gt;0,IF(E77&lt;E61,IF(J66=G79,E77,((J66-G79)*(1-D79))+E61),E77+(J66-G79)),0)</f>
        <v>0</v>
      </c>
    </row>
    <row r="69" spans="2:11" x14ac:dyDescent="0.2">
      <c r="B69" s="265"/>
      <c r="C69" s="249"/>
      <c r="D69" s="249"/>
      <c r="E69" s="379"/>
      <c r="G69" s="815" t="s">
        <v>665</v>
      </c>
      <c r="H69" s="816"/>
      <c r="I69" s="816"/>
      <c r="J69" s="783">
        <f>IF(J66&gt;0,J68-E77,0)</f>
        <v>0</v>
      </c>
    </row>
    <row r="70" spans="2:11" x14ac:dyDescent="0.25">
      <c r="B70" s="266" t="s">
        <v>729</v>
      </c>
      <c r="C70" s="249"/>
      <c r="D70" s="249"/>
      <c r="E70" s="71" t="str">
        <f>nhood!E14</f>
        <v/>
      </c>
      <c r="J70" s="2"/>
    </row>
    <row r="71" spans="2:11" x14ac:dyDescent="0.2">
      <c r="B71" s="266" t="s">
        <v>730</v>
      </c>
      <c r="C71" s="249"/>
      <c r="D71" s="249"/>
      <c r="E71" s="56"/>
      <c r="G71" s="995" t="str">
        <f>CONCATENATE("Projected Carryover Into ",E1+1,"")</f>
        <v>Projected Carryover Into 2015</v>
      </c>
      <c r="H71" s="997"/>
      <c r="I71" s="997"/>
      <c r="J71" s="998"/>
    </row>
    <row r="72" spans="2:11" x14ac:dyDescent="0.2">
      <c r="B72" s="266" t="s">
        <v>639</v>
      </c>
      <c r="C72" s="254" t="str">
        <f>IF(C73*0.1&lt;C71,"Exceed 10% Rule","")</f>
        <v/>
      </c>
      <c r="D72" s="254" t="str">
        <f>IF(D73*0.1&lt;D71,"Exceed 10% Rule","")</f>
        <v/>
      </c>
      <c r="E72" s="291" t="str">
        <f>IF(E73*0.1&lt;E71,"Exceed 10% Rule","")</f>
        <v/>
      </c>
      <c r="G72" s="829"/>
      <c r="H72" s="805"/>
      <c r="I72" s="805"/>
      <c r="J72" s="836"/>
    </row>
    <row r="73" spans="2:11" x14ac:dyDescent="0.2">
      <c r="B73" s="256" t="s">
        <v>866</v>
      </c>
      <c r="C73" s="258">
        <f>SUM(C63:C71)</f>
        <v>0</v>
      </c>
      <c r="D73" s="258">
        <f>SUM(D63:D71)</f>
        <v>0</v>
      </c>
      <c r="E73" s="259">
        <f>SUM(E63:E71)</f>
        <v>0</v>
      </c>
      <c r="G73" s="831">
        <f>D74</f>
        <v>0</v>
      </c>
      <c r="H73" s="795" t="str">
        <f>CONCATENATE("",E1-1," Ending Cash Balance (est.)")</f>
        <v>2013 Ending Cash Balance (est.)</v>
      </c>
      <c r="I73" s="832"/>
      <c r="J73" s="836"/>
    </row>
    <row r="74" spans="2:11" x14ac:dyDescent="0.2">
      <c r="B74" s="141" t="s">
        <v>972</v>
      </c>
      <c r="C74" s="262">
        <f>C61-C73</f>
        <v>0</v>
      </c>
      <c r="D74" s="262">
        <f>D61-D73</f>
        <v>0</v>
      </c>
      <c r="E74" s="277" t="s">
        <v>839</v>
      </c>
      <c r="G74" s="831">
        <f>E60</f>
        <v>0</v>
      </c>
      <c r="H74" s="806" t="str">
        <f>CONCATENATE("",E1," Non-AV Receipts (est.)")</f>
        <v>2014 Non-AV Receipts (est.)</v>
      </c>
      <c r="I74" s="832"/>
      <c r="J74" s="836"/>
    </row>
    <row r="75" spans="2:11" x14ac:dyDescent="0.2">
      <c r="B75" s="127" t="str">
        <f>CONCATENATE("",E1-2,"/",E1-1," Budget Authority Amount:")</f>
        <v>2012/2013 Budget Authority Amount:</v>
      </c>
      <c r="C75" s="378">
        <f>inputOth!B71</f>
        <v>0</v>
      </c>
      <c r="D75" s="231">
        <f>inputPrYr!D26</f>
        <v>0</v>
      </c>
      <c r="E75" s="277" t="s">
        <v>839</v>
      </c>
      <c r="F75" s="268"/>
      <c r="G75" s="833">
        <f>IF(D79&gt;0,E78,E80)</f>
        <v>0</v>
      </c>
      <c r="H75" s="806" t="str">
        <f>CONCATENATE("",E1," Ad Valorem Tax (est.)")</f>
        <v>2014 Ad Valorem Tax (est.)</v>
      </c>
      <c r="I75" s="832"/>
      <c r="J75" s="836"/>
      <c r="K75" s="788" t="str">
        <f>IF(G75=E80,"","Note: Does not include Delinquent Taxes")</f>
        <v/>
      </c>
    </row>
    <row r="76" spans="2:11" x14ac:dyDescent="0.2">
      <c r="B76" s="127"/>
      <c r="C76" s="977" t="s">
        <v>483</v>
      </c>
      <c r="D76" s="978"/>
      <c r="E76" s="56"/>
      <c r="F76" s="891" t="str">
        <f>IF(E73/0.95-E73&lt;E76,"Exceeds 5%","")</f>
        <v/>
      </c>
      <c r="G76" s="835">
        <f>SUM(G73:G75)</f>
        <v>0</v>
      </c>
      <c r="H76" s="806" t="str">
        <f>CONCATENATE("Total ",E1," Resources Available")</f>
        <v>Total 2014 Resources Available</v>
      </c>
      <c r="I76" s="836"/>
      <c r="J76" s="836"/>
    </row>
    <row r="77" spans="2:11" x14ac:dyDescent="0.2">
      <c r="B77" s="540" t="str">
        <f>CONCATENATE(C96,"     ",D96)</f>
        <v xml:space="preserve">     </v>
      </c>
      <c r="C77" s="979" t="s">
        <v>484</v>
      </c>
      <c r="D77" s="980"/>
      <c r="E77" s="218">
        <f>E73+E76</f>
        <v>0</v>
      </c>
      <c r="G77" s="837"/>
      <c r="H77" s="838"/>
      <c r="I77" s="805"/>
      <c r="J77" s="836"/>
    </row>
    <row r="78" spans="2:11" x14ac:dyDescent="0.2">
      <c r="B78" s="540" t="str">
        <f>CONCATENATE(C97,"     ",D97)</f>
        <v xml:space="preserve">     </v>
      </c>
      <c r="C78" s="269"/>
      <c r="D78" s="160" t="s">
        <v>867</v>
      </c>
      <c r="E78" s="71">
        <f>IF(E77-E61&gt;0,E77-E61,0)</f>
        <v>0</v>
      </c>
      <c r="G78" s="839">
        <f>ROUND(C73*0.05+C73,0)</f>
        <v>0</v>
      </c>
      <c r="H78" s="838" t="str">
        <f>CONCATENATE("Less ",E1-2," Expenditures + 5%")</f>
        <v>Less 2012 Expenditures + 5%</v>
      </c>
      <c r="I78" s="836"/>
      <c r="J78" s="836"/>
    </row>
    <row r="79" spans="2:11" x14ac:dyDescent="0.25">
      <c r="B79" s="127"/>
      <c r="C79" s="381" t="s">
        <v>482</v>
      </c>
      <c r="D79" s="751">
        <f>inputOth!$E$50</f>
        <v>0.05</v>
      </c>
      <c r="E79" s="218">
        <f>ROUND(IF(D79&gt;0,(E78*D79),0),0)</f>
        <v>0</v>
      </c>
      <c r="G79" s="840">
        <f>G76-G78</f>
        <v>0</v>
      </c>
      <c r="H79" s="841" t="str">
        <f>CONCATENATE("Projected ",E1+1," carryover (est.)")</f>
        <v>Projected 2015 carryover (est.)</v>
      </c>
      <c r="I79" s="842"/>
      <c r="J79" s="843"/>
    </row>
    <row r="80" spans="2:11" ht="16.5" thickBot="1" x14ac:dyDescent="0.3">
      <c r="B80" s="160"/>
      <c r="C80" s="981" t="str">
        <f>CONCATENATE("Amount of  ",$E$1-1," Ad Valorem Tax")</f>
        <v>Amount of  2013 Ad Valorem Tax</v>
      </c>
      <c r="D80" s="982"/>
      <c r="E80" s="754">
        <f>E78+E79</f>
        <v>0</v>
      </c>
      <c r="G80" s="2"/>
      <c r="H80" s="2"/>
      <c r="I80" s="2"/>
    </row>
    <row r="81" spans="2:10" ht="16.5" thickTop="1" x14ac:dyDescent="0.2">
      <c r="B81" s="36"/>
      <c r="C81" s="36"/>
      <c r="D81" s="36"/>
      <c r="E81" s="36"/>
      <c r="G81" s="974" t="s">
        <v>666</v>
      </c>
      <c r="H81" s="975"/>
      <c r="I81" s="975"/>
      <c r="J81" s="976"/>
    </row>
    <row r="82" spans="2:10" x14ac:dyDescent="0.2">
      <c r="B82" s="127" t="s">
        <v>869</v>
      </c>
      <c r="C82" s="273"/>
      <c r="D82" s="36"/>
      <c r="E82" s="36"/>
      <c r="G82" s="794"/>
      <c r="H82" s="795"/>
      <c r="I82" s="796"/>
      <c r="J82" s="797"/>
    </row>
    <row r="83" spans="2:10" x14ac:dyDescent="0.2">
      <c r="B83" s="160"/>
      <c r="G83" s="798" t="str">
        <f>summ!H23</f>
        <v xml:space="preserve">  </v>
      </c>
      <c r="H83" s="795" t="str">
        <f>CONCATENATE("",E1," Fund Mill Rate")</f>
        <v>2014 Fund Mill Rate</v>
      </c>
      <c r="I83" s="796"/>
      <c r="J83" s="797"/>
    </row>
    <row r="84" spans="2:10" x14ac:dyDescent="0.2">
      <c r="G84" s="799" t="str">
        <f>summ!E23</f>
        <v xml:space="preserve">  </v>
      </c>
      <c r="H84" s="795" t="str">
        <f>CONCATENATE("",E1-1," Fund Mill Rate")</f>
        <v>2013 Fund Mill Rate</v>
      </c>
      <c r="I84" s="796"/>
      <c r="J84" s="797"/>
    </row>
    <row r="85" spans="2:10" x14ac:dyDescent="0.2">
      <c r="G85" s="800">
        <f>summ!H52</f>
        <v>59.936</v>
      </c>
      <c r="H85" s="795" t="str">
        <f>CONCATENATE("Total ",E1," Mill Rate")</f>
        <v>Total 2014 Mill Rate</v>
      </c>
      <c r="I85" s="796"/>
      <c r="J85" s="797"/>
    </row>
    <row r="86" spans="2:10" x14ac:dyDescent="0.2">
      <c r="G86" s="799">
        <f>summ!E52</f>
        <v>58.256999999999998</v>
      </c>
      <c r="H86" s="801" t="str">
        <f>CONCATENATE("Total ",E1-1," Mill Rate")</f>
        <v>Total 2013 Mill Rate</v>
      </c>
      <c r="I86" s="802"/>
      <c r="J86" s="803"/>
    </row>
    <row r="94" spans="2:10" hidden="1" x14ac:dyDescent="0.2">
      <c r="C94" s="539" t="str">
        <f>IF(C33&gt;C35,"See Tab A","")</f>
        <v/>
      </c>
      <c r="D94" s="539" t="str">
        <f>IF(D31&gt;D35,"See Tab C","")</f>
        <v/>
      </c>
    </row>
    <row r="95" spans="2:10" hidden="1" x14ac:dyDescent="0.2">
      <c r="C95" s="539" t="str">
        <f>IF(C34&lt;0,"See Tab B","")</f>
        <v/>
      </c>
      <c r="D95" s="539" t="str">
        <f>IF(D34&lt;0,"See Tab D","")</f>
        <v/>
      </c>
    </row>
    <row r="96" spans="2:10" hidden="1" x14ac:dyDescent="0.2">
      <c r="C96" s="539" t="str">
        <f>IF(C71&gt;C75,"See Tab A","")</f>
        <v/>
      </c>
      <c r="D96" s="539" t="str">
        <f>IF(D71&gt;D75,"See Tab C","")</f>
        <v/>
      </c>
    </row>
    <row r="97" spans="3:4" hidden="1" x14ac:dyDescent="0.2">
      <c r="C97" s="539" t="str">
        <f>IF(C74&lt;0,"See Tab B","")</f>
        <v/>
      </c>
      <c r="D97" s="539" t="str">
        <f>IF(D74&lt;0,"See Tab D","")</f>
        <v/>
      </c>
    </row>
  </sheetData>
  <sheetProtection sheet="1"/>
  <mergeCells count="12">
    <mergeCell ref="C80:D80"/>
    <mergeCell ref="C40:D40"/>
    <mergeCell ref="C36:D36"/>
    <mergeCell ref="C37:D37"/>
    <mergeCell ref="G81:J81"/>
    <mergeCell ref="G24:J24"/>
    <mergeCell ref="G31:J31"/>
    <mergeCell ref="G41:J41"/>
    <mergeCell ref="G64:J64"/>
    <mergeCell ref="G71:J71"/>
    <mergeCell ref="C76:D76"/>
    <mergeCell ref="C77:D77"/>
  </mergeCells>
  <phoneticPr fontId="0" type="noConversion"/>
  <conditionalFormatting sqref="E31">
    <cfRule type="cellIs" dxfId="97" priority="4" stopIfTrue="1" operator="greaterThan">
      <formula>$E$33*0.1</formula>
    </cfRule>
  </conditionalFormatting>
  <conditionalFormatting sqref="E36">
    <cfRule type="cellIs" dxfId="96" priority="5" stopIfTrue="1" operator="greaterThan">
      <formula>$E$33/0.95-$E$33</formula>
    </cfRule>
  </conditionalFormatting>
  <conditionalFormatting sqref="E71">
    <cfRule type="cellIs" dxfId="95" priority="6" stopIfTrue="1" operator="greaterThan">
      <formula>$E$73*0.1</formula>
    </cfRule>
  </conditionalFormatting>
  <conditionalFormatting sqref="E76">
    <cfRule type="cellIs" dxfId="94" priority="7" stopIfTrue="1" operator="greaterThan">
      <formula>$E$73/0.95-$E$73</formula>
    </cfRule>
  </conditionalFormatting>
  <conditionalFormatting sqref="C31">
    <cfRule type="cellIs" dxfId="93" priority="8" stopIfTrue="1" operator="greaterThan">
      <formula>$C$33*0.1</formula>
    </cfRule>
  </conditionalFormatting>
  <conditionalFormatting sqref="D31">
    <cfRule type="cellIs" dxfId="92" priority="9" stopIfTrue="1" operator="greaterThan">
      <formula>$D$33*0.1</formula>
    </cfRule>
  </conditionalFormatting>
  <conditionalFormatting sqref="D33">
    <cfRule type="cellIs" dxfId="91" priority="10" stopIfTrue="1" operator="greaterThan">
      <formula>$C$35</formula>
    </cfRule>
  </conditionalFormatting>
  <conditionalFormatting sqref="C33">
    <cfRule type="cellIs" dxfId="90" priority="11" stopIfTrue="1" operator="greaterThan">
      <formula>$C$35</formula>
    </cfRule>
  </conditionalFormatting>
  <conditionalFormatting sqref="C34 C74">
    <cfRule type="cellIs" dxfId="89" priority="12" stopIfTrue="1" operator="lessThan">
      <formula>0</formula>
    </cfRule>
  </conditionalFormatting>
  <conditionalFormatting sqref="C71">
    <cfRule type="cellIs" dxfId="88" priority="13" stopIfTrue="1" operator="greaterThan">
      <formula>$C$73*0.1</formula>
    </cfRule>
  </conditionalFormatting>
  <conditionalFormatting sqref="D71">
    <cfRule type="cellIs" dxfId="87" priority="14" stopIfTrue="1" operator="greaterThan">
      <formula>$D$73*0.1</formula>
    </cfRule>
  </conditionalFormatting>
  <conditionalFormatting sqref="D73">
    <cfRule type="cellIs" dxfId="86" priority="15" stopIfTrue="1" operator="greaterThan">
      <formula>$C$75</formula>
    </cfRule>
  </conditionalFormatting>
  <conditionalFormatting sqref="C73">
    <cfRule type="cellIs" dxfId="85" priority="16" stopIfTrue="1" operator="greaterThan">
      <formula>$C$75</formula>
    </cfRule>
  </conditionalFormatting>
  <conditionalFormatting sqref="D18">
    <cfRule type="cellIs" dxfId="84" priority="17" stopIfTrue="1" operator="greaterThan">
      <formula>$D$20*0.1</formula>
    </cfRule>
  </conditionalFormatting>
  <conditionalFormatting sqref="C18">
    <cfRule type="cellIs" dxfId="83" priority="18" stopIfTrue="1" operator="greaterThan">
      <formula>$C$20*0.1</formula>
    </cfRule>
  </conditionalFormatting>
  <conditionalFormatting sqref="D58">
    <cfRule type="cellIs" dxfId="82" priority="19" stopIfTrue="1" operator="greaterThan">
      <formula>$D$60*0.1</formula>
    </cfRule>
  </conditionalFormatting>
  <conditionalFormatting sqref="C58">
    <cfRule type="cellIs" dxfId="81" priority="20" stopIfTrue="1" operator="greaterThan">
      <formula>$C$60*0.1</formula>
    </cfRule>
  </conditionalFormatting>
  <conditionalFormatting sqref="E18">
    <cfRule type="cellIs" dxfId="80" priority="21" stopIfTrue="1" operator="greaterThan">
      <formula>$E$20*0.1+E40</formula>
    </cfRule>
  </conditionalFormatting>
  <conditionalFormatting sqref="D74 D34">
    <cfRule type="cellIs" dxfId="79" priority="3" stopIfTrue="1" operator="lessThan">
      <formula>0</formula>
    </cfRule>
  </conditionalFormatting>
  <conditionalFormatting sqref="E58">
    <cfRule type="cellIs" dxfId="78" priority="1" stopIfTrue="1" operator="greaterThan">
      <formula>$E$60*0.1+$E$80</formula>
    </cfRule>
  </conditionalFormatting>
  <pageMargins left="0.5" right="0.5" top="1" bottom="0.5" header="0.5" footer="0.5"/>
  <pageSetup scale="58" orientation="portrait" blackAndWhite="1" horizontalDpi="120" verticalDpi="144"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7"/>
  <sheetViews>
    <sheetView topLeftCell="A4" zoomScaleNormal="100" workbookViewId="0">
      <selection activeCell="C10" activeCellId="1" sqref="C21:C25 C10:C12"/>
    </sheetView>
  </sheetViews>
  <sheetFormatPr defaultRowHeight="15.75" x14ac:dyDescent="0.2"/>
  <cols>
    <col min="1" max="1" width="2.44140625" style="34" customWidth="1"/>
    <col min="2" max="2" width="31.109375" style="34" customWidth="1"/>
    <col min="3" max="4" width="15.77734375" style="34" customWidth="1"/>
    <col min="5" max="5" width="16.109375" style="34" customWidth="1"/>
    <col min="6" max="6" width="8.109375" style="34" customWidth="1"/>
    <col min="7" max="7" width="10.21875" style="34" customWidth="1"/>
    <col min="8" max="8" width="8.88671875" style="34"/>
    <col min="9" max="9" width="5" style="34" customWidth="1"/>
    <col min="10" max="10" width="10" style="34" customWidth="1"/>
    <col min="11" max="16384" width="8.88671875" style="34"/>
  </cols>
  <sheetData>
    <row r="1" spans="2:5" x14ac:dyDescent="0.2">
      <c r="B1" s="188" t="str">
        <f>(inputPrYr!D2)</f>
        <v>City of Osawatomie</v>
      </c>
      <c r="C1" s="36"/>
      <c r="D1" s="36"/>
      <c r="E1" s="238">
        <f>inputPrYr!C5</f>
        <v>2014</v>
      </c>
    </row>
    <row r="2" spans="2:5" x14ac:dyDescent="0.2">
      <c r="B2" s="36"/>
      <c r="C2" s="36"/>
      <c r="D2" s="36"/>
      <c r="E2" s="160"/>
    </row>
    <row r="3" spans="2:5" x14ac:dyDescent="0.2">
      <c r="B3" s="239" t="s">
        <v>917</v>
      </c>
      <c r="C3" s="193"/>
      <c r="D3" s="193"/>
      <c r="E3" s="279"/>
    </row>
    <row r="4" spans="2:5" x14ac:dyDescent="0.2">
      <c r="B4" s="41" t="s">
        <v>850</v>
      </c>
      <c r="C4" s="418" t="s">
        <v>662</v>
      </c>
      <c r="D4" s="417" t="s">
        <v>663</v>
      </c>
      <c r="E4" s="394" t="s">
        <v>664</v>
      </c>
    </row>
    <row r="5" spans="2:5" x14ac:dyDescent="0.2">
      <c r="B5" s="544">
        <f>inputPrYr!B27</f>
        <v>0</v>
      </c>
      <c r="C5" s="419" t="str">
        <f>CONCATENATE("Actual for ",E1-2,"")</f>
        <v>Actual for 2012</v>
      </c>
      <c r="D5" s="419" t="str">
        <f>CONCATENATE("Estimate for ",E1-1,"")</f>
        <v>Estimate for 2013</v>
      </c>
      <c r="E5" s="403" t="str">
        <f>CONCATENATE("Year for ",E1,"")</f>
        <v>Year for 2014</v>
      </c>
    </row>
    <row r="6" spans="2:5" x14ac:dyDescent="0.2">
      <c r="B6" s="244" t="s">
        <v>971</v>
      </c>
      <c r="C6" s="249"/>
      <c r="D6" s="247">
        <f>C34</f>
        <v>0</v>
      </c>
      <c r="E6" s="218">
        <f>D34</f>
        <v>0</v>
      </c>
    </row>
    <row r="7" spans="2:5" x14ac:dyDescent="0.2">
      <c r="B7" s="248" t="s">
        <v>973</v>
      </c>
      <c r="C7" s="150"/>
      <c r="D7" s="150"/>
      <c r="E7" s="76"/>
    </row>
    <row r="8" spans="2:5" x14ac:dyDescent="0.2">
      <c r="B8" s="141" t="s">
        <v>851</v>
      </c>
      <c r="C8" s="249"/>
      <c r="D8" s="247">
        <f>IF(inputPrYr!H16&gt;0,inputPrYr!G27,inputPrYr!E27)</f>
        <v>0</v>
      </c>
      <c r="E8" s="277" t="s">
        <v>839</v>
      </c>
    </row>
    <row r="9" spans="2:5" x14ac:dyDescent="0.2">
      <c r="B9" s="141" t="s">
        <v>852</v>
      </c>
      <c r="C9" s="249"/>
      <c r="D9" s="249"/>
      <c r="E9" s="56"/>
    </row>
    <row r="10" spans="2:5" x14ac:dyDescent="0.2">
      <c r="B10" s="141" t="s">
        <v>853</v>
      </c>
      <c r="C10" s="249"/>
      <c r="D10" s="249"/>
      <c r="E10" s="218" t="str">
        <f>mvalloc!D16</f>
        <v xml:space="preserve">  </v>
      </c>
    </row>
    <row r="11" spans="2:5" x14ac:dyDescent="0.2">
      <c r="B11" s="141" t="s">
        <v>854</v>
      </c>
      <c r="C11" s="249"/>
      <c r="D11" s="249"/>
      <c r="E11" s="218" t="str">
        <f>mvalloc!E16</f>
        <v xml:space="preserve"> </v>
      </c>
    </row>
    <row r="12" spans="2:5" x14ac:dyDescent="0.2">
      <c r="B12" s="150" t="s">
        <v>949</v>
      </c>
      <c r="C12" s="249"/>
      <c r="D12" s="249"/>
      <c r="E12" s="218" t="str">
        <f>mvalloc!F16</f>
        <v xml:space="preserve"> </v>
      </c>
    </row>
    <row r="13" spans="2:5" x14ac:dyDescent="0.2">
      <c r="B13" s="265"/>
      <c r="C13" s="249"/>
      <c r="D13" s="249"/>
      <c r="E13" s="56"/>
    </row>
    <row r="14" spans="2:5" x14ac:dyDescent="0.2">
      <c r="B14" s="265"/>
      <c r="C14" s="249"/>
      <c r="D14" s="249"/>
      <c r="E14" s="56"/>
    </row>
    <row r="15" spans="2:5" x14ac:dyDescent="0.2">
      <c r="B15" s="265"/>
      <c r="C15" s="249"/>
      <c r="D15" s="249"/>
      <c r="E15" s="56"/>
    </row>
    <row r="16" spans="2:5" x14ac:dyDescent="0.2">
      <c r="B16" s="265"/>
      <c r="C16" s="249"/>
      <c r="D16" s="249"/>
      <c r="E16" s="56"/>
    </row>
    <row r="17" spans="2:10" x14ac:dyDescent="0.2">
      <c r="B17" s="253" t="s">
        <v>858</v>
      </c>
      <c r="C17" s="249"/>
      <c r="D17" s="249"/>
      <c r="E17" s="56"/>
    </row>
    <row r="18" spans="2:10" x14ac:dyDescent="0.2">
      <c r="B18" s="150" t="s">
        <v>730</v>
      </c>
      <c r="C18" s="249"/>
      <c r="D18" s="249"/>
      <c r="E18" s="56"/>
    </row>
    <row r="19" spans="2:10" x14ac:dyDescent="0.2">
      <c r="B19" s="244" t="s">
        <v>638</v>
      </c>
      <c r="C19" s="254" t="str">
        <f>IF(C20*0.1&lt;C18,"Exceed 10% Rule","")</f>
        <v/>
      </c>
      <c r="D19" s="254" t="str">
        <f>IF(D20*0.1&lt;D18,"Exceed 10% Rule","")</f>
        <v/>
      </c>
      <c r="E19" s="291" t="str">
        <f>IF(E20*0.1+E40&lt;E18,"Exceed 10% Rule","")</f>
        <v/>
      </c>
    </row>
    <row r="20" spans="2:10" x14ac:dyDescent="0.2">
      <c r="B20" s="256" t="s">
        <v>859</v>
      </c>
      <c r="C20" s="258">
        <f>SUM(C8:C18)</f>
        <v>0</v>
      </c>
      <c r="D20" s="258">
        <f>SUM(D8:D18)</f>
        <v>0</v>
      </c>
      <c r="E20" s="259">
        <f>SUM(E8:E18)</f>
        <v>0</v>
      </c>
    </row>
    <row r="21" spans="2:10" x14ac:dyDescent="0.2">
      <c r="B21" s="256" t="s">
        <v>860</v>
      </c>
      <c r="C21" s="258">
        <f>C6+C20</f>
        <v>0</v>
      </c>
      <c r="D21" s="258">
        <f>D6+D20</f>
        <v>0</v>
      </c>
      <c r="E21" s="259">
        <f>E6+E20</f>
        <v>0</v>
      </c>
    </row>
    <row r="22" spans="2:10" x14ac:dyDescent="0.2">
      <c r="B22" s="141" t="s">
        <v>862</v>
      </c>
      <c r="C22" s="266"/>
      <c r="D22" s="266"/>
      <c r="E22" s="54"/>
    </row>
    <row r="23" spans="2:10" x14ac:dyDescent="0.2">
      <c r="B23" s="265"/>
      <c r="C23" s="249"/>
      <c r="D23" s="249"/>
      <c r="E23" s="56"/>
    </row>
    <row r="24" spans="2:10" x14ac:dyDescent="0.2">
      <c r="B24" s="265"/>
      <c r="C24" s="249"/>
      <c r="D24" s="249"/>
      <c r="E24" s="56"/>
      <c r="G24" s="995" t="str">
        <f>CONCATENATE("Desired Carryover Into ",E1+1,"")</f>
        <v>Desired Carryover Into 2015</v>
      </c>
      <c r="H24" s="972"/>
      <c r="I24" s="972"/>
      <c r="J24" s="973"/>
    </row>
    <row r="25" spans="2:10" x14ac:dyDescent="0.2">
      <c r="B25" s="265"/>
      <c r="C25" s="249"/>
      <c r="D25" s="249"/>
      <c r="E25" s="56"/>
      <c r="G25" s="804"/>
      <c r="H25" s="805"/>
      <c r="I25" s="806"/>
      <c r="J25" s="807"/>
    </row>
    <row r="26" spans="2:10" x14ac:dyDescent="0.2">
      <c r="B26" s="265"/>
      <c r="C26" s="249"/>
      <c r="D26" s="249"/>
      <c r="E26" s="56"/>
      <c r="G26" s="808" t="s">
        <v>626</v>
      </c>
      <c r="H26" s="806"/>
      <c r="I26" s="806"/>
      <c r="J26" s="809">
        <v>0</v>
      </c>
    </row>
    <row r="27" spans="2:10" x14ac:dyDescent="0.2">
      <c r="B27" s="265"/>
      <c r="C27" s="249"/>
      <c r="D27" s="249"/>
      <c r="E27" s="56"/>
      <c r="G27" s="804" t="s">
        <v>627</v>
      </c>
      <c r="H27" s="805"/>
      <c r="I27" s="805"/>
      <c r="J27" s="810" t="str">
        <f>IF(J26=0,"",ROUND((J26+E40-G39)/inputOth!E9*1000,3)-G44)</f>
        <v/>
      </c>
    </row>
    <row r="28" spans="2:10" x14ac:dyDescent="0.2">
      <c r="B28" s="265"/>
      <c r="C28" s="249"/>
      <c r="D28" s="249"/>
      <c r="E28" s="56"/>
      <c r="G28" s="811" t="str">
        <f>CONCATENATE("",E1," Tot Exp/Non-Appr Must Be:")</f>
        <v>2014 Tot Exp/Non-Appr Must Be:</v>
      </c>
      <c r="H28" s="812"/>
      <c r="I28" s="813"/>
      <c r="J28" s="814">
        <f>IF(J26&gt;0,IF(E37&lt;E21,IF(J26=G39,E37,((J26-G39)*(1-D39))+E21),E37+(J26-G39)),0)</f>
        <v>0</v>
      </c>
    </row>
    <row r="29" spans="2:10" x14ac:dyDescent="0.2">
      <c r="B29" s="265"/>
      <c r="C29" s="249"/>
      <c r="D29" s="249"/>
      <c r="E29" s="56"/>
      <c r="G29" s="815" t="s">
        <v>665</v>
      </c>
      <c r="H29" s="816"/>
      <c r="I29" s="816"/>
      <c r="J29" s="783">
        <f>IF(J26&gt;0,J28-E37,0)</f>
        <v>0</v>
      </c>
    </row>
    <row r="30" spans="2:10" x14ac:dyDescent="0.25">
      <c r="B30" s="266" t="s">
        <v>729</v>
      </c>
      <c r="C30" s="249"/>
      <c r="D30" s="249"/>
      <c r="E30" s="71" t="str">
        <f>nhood!E15</f>
        <v/>
      </c>
      <c r="J30" s="2"/>
    </row>
    <row r="31" spans="2:10" x14ac:dyDescent="0.2">
      <c r="B31" s="266" t="s">
        <v>730</v>
      </c>
      <c r="C31" s="249"/>
      <c r="D31" s="249"/>
      <c r="E31" s="56"/>
      <c r="G31" s="995" t="str">
        <f>CONCATENATE("Projected Carryover Into ",E1+1,"")</f>
        <v>Projected Carryover Into 2015</v>
      </c>
      <c r="H31" s="999"/>
      <c r="I31" s="999"/>
      <c r="J31" s="998"/>
    </row>
    <row r="32" spans="2:10" x14ac:dyDescent="0.25">
      <c r="B32" s="266" t="s">
        <v>639</v>
      </c>
      <c r="C32" s="254" t="str">
        <f>IF(C33*0.1&lt;C31,"Exceed 10% Rule","")</f>
        <v/>
      </c>
      <c r="D32" s="254" t="str">
        <f>IF(D33*0.1&lt;D31,"Exceed 10% Rule","")</f>
        <v/>
      </c>
      <c r="E32" s="291" t="str">
        <f>IF(E33*0.1&lt;E31,"Exceed 10% Rule","")</f>
        <v/>
      </c>
      <c r="G32" s="804"/>
      <c r="H32" s="806"/>
      <c r="I32" s="806"/>
      <c r="J32" s="830"/>
    </row>
    <row r="33" spans="2:11" x14ac:dyDescent="0.25">
      <c r="B33" s="256" t="s">
        <v>866</v>
      </c>
      <c r="C33" s="258">
        <f>SUM(C23:C31)</f>
        <v>0</v>
      </c>
      <c r="D33" s="258">
        <f>SUM(D23:D31)</f>
        <v>0</v>
      </c>
      <c r="E33" s="259">
        <f>SUM(E23:E31)</f>
        <v>0</v>
      </c>
      <c r="G33" s="831">
        <f>D34</f>
        <v>0</v>
      </c>
      <c r="H33" s="795" t="str">
        <f>CONCATENATE("",E1-1," Ending Cash Balance (est.)")</f>
        <v>2013 Ending Cash Balance (est.)</v>
      </c>
      <c r="I33" s="832"/>
      <c r="J33" s="830"/>
    </row>
    <row r="34" spans="2:11" x14ac:dyDescent="0.25">
      <c r="B34" s="141" t="s">
        <v>972</v>
      </c>
      <c r="C34" s="262">
        <f>C21-C33</f>
        <v>0</v>
      </c>
      <c r="D34" s="262">
        <f>D21-D33</f>
        <v>0</v>
      </c>
      <c r="E34" s="277" t="s">
        <v>839</v>
      </c>
      <c r="G34" s="831">
        <f>E20</f>
        <v>0</v>
      </c>
      <c r="H34" s="806" t="str">
        <f>CONCATENATE("",E1," Non-AV Receipts (est.)")</f>
        <v>2014 Non-AV Receipts (est.)</v>
      </c>
      <c r="I34" s="832"/>
      <c r="J34" s="830"/>
    </row>
    <row r="35" spans="2:11" x14ac:dyDescent="0.2">
      <c r="B35" s="127" t="str">
        <f>CONCATENATE("",E1-2,"/",E1-1," Budget Authority Amount:")</f>
        <v>2012/2013 Budget Authority Amount:</v>
      </c>
      <c r="C35" s="378">
        <f>inputOth!B72</f>
        <v>0</v>
      </c>
      <c r="D35" s="231">
        <f>inputPrYr!D27</f>
        <v>0</v>
      </c>
      <c r="E35" s="277" t="s">
        <v>839</v>
      </c>
      <c r="F35" s="268"/>
      <c r="G35" s="833">
        <f>IF(E39&gt;0,E38,E40)</f>
        <v>0</v>
      </c>
      <c r="H35" s="806" t="str">
        <f>CONCATENATE("",E1," Ad Valorem Tax (est.)")</f>
        <v>2014 Ad Valorem Tax (est.)</v>
      </c>
      <c r="I35" s="832"/>
      <c r="J35" s="818"/>
      <c r="K35" s="788" t="str">
        <f>IF(G35=E40,"","Note: Does not include Delinquent Taxes")</f>
        <v/>
      </c>
    </row>
    <row r="36" spans="2:11" x14ac:dyDescent="0.25">
      <c r="B36" s="127"/>
      <c r="C36" s="977" t="s">
        <v>483</v>
      </c>
      <c r="D36" s="978"/>
      <c r="E36" s="56"/>
      <c r="F36" s="891" t="str">
        <f>IF(E33/0.95-E33&lt;E36,"Exceeds 5%","")</f>
        <v/>
      </c>
      <c r="G36" s="831">
        <f>SUM(G33:G35)</f>
        <v>0</v>
      </c>
      <c r="H36" s="806" t="str">
        <f>CONCATENATE("Total ",E1," Resources Available")</f>
        <v>Total 2014 Resources Available</v>
      </c>
      <c r="I36" s="832"/>
      <c r="J36" s="830"/>
    </row>
    <row r="37" spans="2:11" x14ac:dyDescent="0.25">
      <c r="B37" s="540" t="str">
        <f>CONCATENATE(C94,"     ",D94)</f>
        <v xml:space="preserve">     </v>
      </c>
      <c r="C37" s="979" t="s">
        <v>484</v>
      </c>
      <c r="D37" s="980"/>
      <c r="E37" s="218">
        <f>E33+E36</f>
        <v>0</v>
      </c>
      <c r="G37" s="850"/>
      <c r="H37" s="806"/>
      <c r="I37" s="806"/>
      <c r="J37" s="830"/>
    </row>
    <row r="38" spans="2:11" x14ac:dyDescent="0.25">
      <c r="B38" s="540" t="str">
        <f>CONCATENATE(C95,"     ",D95)</f>
        <v xml:space="preserve">     </v>
      </c>
      <c r="C38" s="269"/>
      <c r="D38" s="160" t="s">
        <v>867</v>
      </c>
      <c r="E38" s="71">
        <f>IF(E37-E21&gt;0,E37-E21,0)</f>
        <v>0</v>
      </c>
      <c r="G38" s="833">
        <f>ROUND(C33*0.05+C33,0)</f>
        <v>0</v>
      </c>
      <c r="H38" s="806" t="str">
        <f>CONCATENATE("Less ",E1-2," Expenditures + 5%")</f>
        <v>Less 2012 Expenditures + 5%</v>
      </c>
      <c r="I38" s="832"/>
      <c r="J38" s="830"/>
    </row>
    <row r="39" spans="2:11" x14ac:dyDescent="0.25">
      <c r="B39" s="160"/>
      <c r="C39" s="381" t="s">
        <v>482</v>
      </c>
      <c r="D39" s="751">
        <f>inputOth!$E$50</f>
        <v>0.05</v>
      </c>
      <c r="E39" s="218">
        <f>ROUND(IF(D39&gt;0,(E38*D39),0),0)</f>
        <v>0</v>
      </c>
      <c r="G39" s="851">
        <f>G36-G38</f>
        <v>0</v>
      </c>
      <c r="H39" s="852" t="str">
        <f>CONCATENATE("Projected ",E1+1," carryover (est.)")</f>
        <v>Projected 2015 carryover (est.)</v>
      </c>
      <c r="I39" s="853"/>
      <c r="J39" s="843"/>
    </row>
    <row r="40" spans="2:11" ht="16.5" thickBot="1" x14ac:dyDescent="0.3">
      <c r="B40" s="36"/>
      <c r="C40" s="981" t="str">
        <f>CONCATENATE("Amount of  ",$E$1-1," Ad Valorem Tax")</f>
        <v>Amount of  2013 Ad Valorem Tax</v>
      </c>
      <c r="D40" s="982"/>
      <c r="E40" s="754">
        <f>E38+E39</f>
        <v>0</v>
      </c>
      <c r="G40" s="2"/>
      <c r="H40" s="2"/>
      <c r="I40" s="2"/>
      <c r="J40" s="2"/>
    </row>
    <row r="41" spans="2:11" ht="16.5" thickTop="1" x14ac:dyDescent="0.2">
      <c r="B41" s="36"/>
      <c r="C41" s="36"/>
      <c r="D41" s="36"/>
      <c r="E41" s="36"/>
      <c r="G41" s="974" t="s">
        <v>666</v>
      </c>
      <c r="H41" s="975"/>
      <c r="I41" s="975"/>
      <c r="J41" s="976"/>
    </row>
    <row r="42" spans="2:11" x14ac:dyDescent="0.2">
      <c r="B42" s="41"/>
      <c r="C42" s="133"/>
      <c r="D42" s="133"/>
      <c r="E42" s="133"/>
      <c r="G42" s="794"/>
      <c r="H42" s="795"/>
      <c r="I42" s="796"/>
      <c r="J42" s="797"/>
    </row>
    <row r="43" spans="2:11" x14ac:dyDescent="0.2">
      <c r="B43" s="41" t="s">
        <v>850</v>
      </c>
      <c r="C43" s="418" t="s">
        <v>662</v>
      </c>
      <c r="D43" s="417" t="s">
        <v>663</v>
      </c>
      <c r="E43" s="394" t="s">
        <v>664</v>
      </c>
      <c r="G43" s="798" t="str">
        <f>summ!H24</f>
        <v xml:space="preserve">  </v>
      </c>
      <c r="H43" s="795" t="str">
        <f>CONCATENATE("",E1," Fund Mill Rate")</f>
        <v>2014 Fund Mill Rate</v>
      </c>
      <c r="I43" s="796"/>
      <c r="J43" s="797"/>
    </row>
    <row r="44" spans="2:11" x14ac:dyDescent="0.2">
      <c r="B44" s="544">
        <f>inputPrYr!B28</f>
        <v>0</v>
      </c>
      <c r="C44" s="419" t="str">
        <f>CONCATENATE("Actual for ",E1-2,"")</f>
        <v>Actual for 2012</v>
      </c>
      <c r="D44" s="419" t="str">
        <f>CONCATENATE("Estimate for ",E1-1,"")</f>
        <v>Estimate for 2013</v>
      </c>
      <c r="E44" s="403" t="str">
        <f>CONCATENATE("Year for ",E1,"")</f>
        <v>Year for 2014</v>
      </c>
      <c r="G44" s="799" t="str">
        <f>summ!E24</f>
        <v xml:space="preserve">  </v>
      </c>
      <c r="H44" s="795" t="str">
        <f>CONCATENATE("",E1-1," Fund Mill Rate")</f>
        <v>2013 Fund Mill Rate</v>
      </c>
      <c r="I44" s="796"/>
      <c r="J44" s="797"/>
    </row>
    <row r="45" spans="2:11" x14ac:dyDescent="0.2">
      <c r="B45" s="244" t="s">
        <v>971</v>
      </c>
      <c r="C45" s="249"/>
      <c r="D45" s="247">
        <f>C74</f>
        <v>0</v>
      </c>
      <c r="E45" s="218">
        <f>D74</f>
        <v>0</v>
      </c>
      <c r="G45" s="800">
        <f>summ!H52</f>
        <v>59.936</v>
      </c>
      <c r="H45" s="795" t="str">
        <f>CONCATENATE("Total ",E1," Mill Rate")</f>
        <v>Total 2014 Mill Rate</v>
      </c>
      <c r="I45" s="796"/>
      <c r="J45" s="797"/>
    </row>
    <row r="46" spans="2:11" x14ac:dyDescent="0.2">
      <c r="B46" s="248" t="s">
        <v>973</v>
      </c>
      <c r="C46" s="150"/>
      <c r="D46" s="150"/>
      <c r="E46" s="76"/>
      <c r="G46" s="799">
        <f>summ!E52</f>
        <v>58.256999999999998</v>
      </c>
      <c r="H46" s="801" t="str">
        <f>CONCATENATE("Total ",E1-1," Mill Rate")</f>
        <v>Total 2013 Mill Rate</v>
      </c>
      <c r="I46" s="802"/>
      <c r="J46" s="803"/>
    </row>
    <row r="47" spans="2:11" x14ac:dyDescent="0.2">
      <c r="B47" s="141" t="s">
        <v>851</v>
      </c>
      <c r="C47" s="249"/>
      <c r="D47" s="247">
        <f>IF(inputPrYr!H16&gt;0,inputPrYr!G28,inputPrYr!E28)</f>
        <v>0</v>
      </c>
      <c r="E47" s="277" t="s">
        <v>839</v>
      </c>
    </row>
    <row r="48" spans="2:11" x14ac:dyDescent="0.2">
      <c r="B48" s="141" t="s">
        <v>852</v>
      </c>
      <c r="C48" s="249"/>
      <c r="D48" s="249"/>
      <c r="E48" s="56"/>
    </row>
    <row r="49" spans="2:10" x14ac:dyDescent="0.2">
      <c r="B49" s="141" t="s">
        <v>853</v>
      </c>
      <c r="C49" s="249"/>
      <c r="D49" s="249"/>
      <c r="E49" s="218" t="str">
        <f>mvalloc!D17</f>
        <v xml:space="preserve">  </v>
      </c>
    </row>
    <row r="50" spans="2:10" x14ac:dyDescent="0.2">
      <c r="B50" s="141" t="s">
        <v>854</v>
      </c>
      <c r="C50" s="249"/>
      <c r="D50" s="249"/>
      <c r="E50" s="218" t="str">
        <f>mvalloc!E17</f>
        <v xml:space="preserve"> </v>
      </c>
    </row>
    <row r="51" spans="2:10" x14ac:dyDescent="0.2">
      <c r="B51" s="150" t="s">
        <v>949</v>
      </c>
      <c r="C51" s="249"/>
      <c r="D51" s="249"/>
      <c r="E51" s="218" t="str">
        <f>mvalloc!F17</f>
        <v xml:space="preserve"> </v>
      </c>
    </row>
    <row r="52" spans="2:10" x14ac:dyDescent="0.2">
      <c r="B52" s="265"/>
      <c r="C52" s="249"/>
      <c r="D52" s="249"/>
      <c r="E52" s="56"/>
    </row>
    <row r="53" spans="2:10" x14ac:dyDescent="0.2">
      <c r="B53" s="265"/>
      <c r="C53" s="249"/>
      <c r="D53" s="249"/>
      <c r="E53" s="56"/>
    </row>
    <row r="54" spans="2:10" x14ac:dyDescent="0.2">
      <c r="B54" s="265"/>
      <c r="C54" s="249"/>
      <c r="D54" s="249"/>
      <c r="E54" s="56"/>
    </row>
    <row r="55" spans="2:10" x14ac:dyDescent="0.2">
      <c r="B55" s="265"/>
      <c r="C55" s="249"/>
      <c r="D55" s="249"/>
      <c r="E55" s="56"/>
    </row>
    <row r="56" spans="2:10" x14ac:dyDescent="0.2">
      <c r="B56" s="265"/>
      <c r="C56" s="249"/>
      <c r="D56" s="249"/>
      <c r="E56" s="56"/>
    </row>
    <row r="57" spans="2:10" x14ac:dyDescent="0.2">
      <c r="B57" s="253" t="s">
        <v>858</v>
      </c>
      <c r="C57" s="249"/>
      <c r="D57" s="249"/>
      <c r="E57" s="56"/>
    </row>
    <row r="58" spans="2:10" x14ac:dyDescent="0.2">
      <c r="B58" s="150" t="s">
        <v>730</v>
      </c>
      <c r="C58" s="249"/>
      <c r="D58" s="249"/>
      <c r="E58" s="56"/>
    </row>
    <row r="59" spans="2:10" x14ac:dyDescent="0.2">
      <c r="B59" s="244" t="s">
        <v>638</v>
      </c>
      <c r="C59" s="254" t="str">
        <f>IF(C60*0.1&lt;C58,"Exceed 10% Rule","")</f>
        <v/>
      </c>
      <c r="D59" s="254" t="str">
        <f>IF(D60*0.1&lt;D58,"Exceed 10% Rule","")</f>
        <v/>
      </c>
      <c r="E59" s="291" t="str">
        <f>IF(E60*0.1+E80&lt;E58,"Exceed 10% Rule","")</f>
        <v/>
      </c>
    </row>
    <row r="60" spans="2:10" x14ac:dyDescent="0.2">
      <c r="B60" s="256" t="s">
        <v>859</v>
      </c>
      <c r="C60" s="258">
        <f>SUM(C47:C58)</f>
        <v>0</v>
      </c>
      <c r="D60" s="258">
        <f>SUM(D47:D58)</f>
        <v>0</v>
      </c>
      <c r="E60" s="259">
        <f>SUM(E47:E58)</f>
        <v>0</v>
      </c>
    </row>
    <row r="61" spans="2:10" x14ac:dyDescent="0.2">
      <c r="B61" s="256" t="s">
        <v>860</v>
      </c>
      <c r="C61" s="258">
        <f>C45+C60</f>
        <v>0</v>
      </c>
      <c r="D61" s="258">
        <f>D45+D60</f>
        <v>0</v>
      </c>
      <c r="E61" s="259">
        <f>E45+E60</f>
        <v>0</v>
      </c>
    </row>
    <row r="62" spans="2:10" x14ac:dyDescent="0.2">
      <c r="B62" s="141" t="s">
        <v>862</v>
      </c>
      <c r="C62" s="266"/>
      <c r="D62" s="266"/>
      <c r="E62" s="54"/>
    </row>
    <row r="63" spans="2:10" x14ac:dyDescent="0.2">
      <c r="B63" s="265"/>
      <c r="C63" s="249"/>
      <c r="D63" s="249"/>
      <c r="E63" s="56"/>
    </row>
    <row r="64" spans="2:10" x14ac:dyDescent="0.2">
      <c r="B64" s="265"/>
      <c r="C64" s="249"/>
      <c r="D64" s="249"/>
      <c r="E64" s="56"/>
      <c r="G64" s="995" t="str">
        <f>CONCATENATE("Desired Carryover Into ",E1+1,"")</f>
        <v>Desired Carryover Into 2015</v>
      </c>
      <c r="H64" s="972"/>
      <c r="I64" s="972"/>
      <c r="J64" s="973"/>
    </row>
    <row r="65" spans="2:11" x14ac:dyDescent="0.2">
      <c r="B65" s="265"/>
      <c r="C65" s="249"/>
      <c r="D65" s="249"/>
      <c r="E65" s="56"/>
      <c r="G65" s="804"/>
      <c r="H65" s="805"/>
      <c r="I65" s="806"/>
      <c r="J65" s="807"/>
    </row>
    <row r="66" spans="2:11" x14ac:dyDescent="0.2">
      <c r="B66" s="265"/>
      <c r="C66" s="249"/>
      <c r="D66" s="249"/>
      <c r="E66" s="56"/>
      <c r="G66" s="808" t="s">
        <v>626</v>
      </c>
      <c r="H66" s="806"/>
      <c r="I66" s="806"/>
      <c r="J66" s="809">
        <v>0</v>
      </c>
    </row>
    <row r="67" spans="2:11" x14ac:dyDescent="0.2">
      <c r="B67" s="265"/>
      <c r="C67" s="249"/>
      <c r="D67" s="249"/>
      <c r="E67" s="56"/>
      <c r="G67" s="804" t="s">
        <v>627</v>
      </c>
      <c r="H67" s="805"/>
      <c r="I67" s="805"/>
      <c r="J67" s="810" t="str">
        <f>IF(J66=0,"",ROUND((J66+E80-G79)/inputOth!E9*1000,3)-G84)</f>
        <v/>
      </c>
    </row>
    <row r="68" spans="2:11" x14ac:dyDescent="0.2">
      <c r="B68" s="265"/>
      <c r="C68" s="249"/>
      <c r="D68" s="249"/>
      <c r="E68" s="56"/>
      <c r="G68" s="811" t="str">
        <f>CONCATENATE("",E1," Tot Exp/Non-Appr Must Be:")</f>
        <v>2014 Tot Exp/Non-Appr Must Be:</v>
      </c>
      <c r="H68" s="812"/>
      <c r="I68" s="813"/>
      <c r="J68" s="814">
        <f>IF(J66&gt;0,IF(E77&lt;E61,IF(J66=G79,E77,((J66-G79)*(1-D79))+E61),E77+(J66-G79)),0)</f>
        <v>0</v>
      </c>
    </row>
    <row r="69" spans="2:11" x14ac:dyDescent="0.2">
      <c r="B69" s="265"/>
      <c r="C69" s="249"/>
      <c r="D69" s="249"/>
      <c r="E69" s="56"/>
      <c r="G69" s="815" t="s">
        <v>665</v>
      </c>
      <c r="H69" s="816"/>
      <c r="I69" s="816"/>
      <c r="J69" s="783">
        <f>IF(J66&gt;0,J68-E77,0)</f>
        <v>0</v>
      </c>
    </row>
    <row r="70" spans="2:11" x14ac:dyDescent="0.25">
      <c r="B70" s="266" t="s">
        <v>729</v>
      </c>
      <c r="C70" s="249"/>
      <c r="D70" s="249"/>
      <c r="E70" s="71" t="str">
        <f>nhood!E16</f>
        <v/>
      </c>
      <c r="J70" s="2"/>
    </row>
    <row r="71" spans="2:11" x14ac:dyDescent="0.2">
      <c r="B71" s="266" t="s">
        <v>730</v>
      </c>
      <c r="C71" s="249"/>
      <c r="D71" s="249"/>
      <c r="E71" s="56"/>
      <c r="G71" s="995" t="str">
        <f>CONCATENATE("Projected Carryover Into ",E1+1,"")</f>
        <v>Projected Carryover Into 2015</v>
      </c>
      <c r="H71" s="997"/>
      <c r="I71" s="997"/>
      <c r="J71" s="998"/>
    </row>
    <row r="72" spans="2:11" x14ac:dyDescent="0.2">
      <c r="B72" s="266" t="s">
        <v>639</v>
      </c>
      <c r="C72" s="254" t="str">
        <f>IF(C73*0.1&lt;C71,"Exceed 10% Rule","")</f>
        <v/>
      </c>
      <c r="D72" s="254" t="str">
        <f>IF(D73*0.1&lt;D71,"Exceed 10% Rule","")</f>
        <v/>
      </c>
      <c r="E72" s="291" t="str">
        <f>IF(E73*0.1&lt;E71,"Exceed 10% Rule","")</f>
        <v/>
      </c>
      <c r="G72" s="829"/>
      <c r="H72" s="805"/>
      <c r="I72" s="805"/>
      <c r="J72" s="836"/>
    </row>
    <row r="73" spans="2:11" x14ac:dyDescent="0.2">
      <c r="B73" s="256" t="s">
        <v>866</v>
      </c>
      <c r="C73" s="258">
        <f>SUM(C63:C71)</f>
        <v>0</v>
      </c>
      <c r="D73" s="258">
        <f>SUM(D63:D71)</f>
        <v>0</v>
      </c>
      <c r="E73" s="259">
        <f>SUM(E63:E71)</f>
        <v>0</v>
      </c>
      <c r="G73" s="831">
        <f>D74</f>
        <v>0</v>
      </c>
      <c r="H73" s="795" t="str">
        <f>CONCATENATE("",E1-1," Ending Cash Balance (est.)")</f>
        <v>2013 Ending Cash Balance (est.)</v>
      </c>
      <c r="I73" s="832"/>
      <c r="J73" s="836"/>
    </row>
    <row r="74" spans="2:11" x14ac:dyDescent="0.2">
      <c r="B74" s="141" t="s">
        <v>972</v>
      </c>
      <c r="C74" s="262">
        <f>C61-C73</f>
        <v>0</v>
      </c>
      <c r="D74" s="262">
        <f>D61-D73</f>
        <v>0</v>
      </c>
      <c r="E74" s="277" t="s">
        <v>839</v>
      </c>
      <c r="G74" s="831">
        <f>E60</f>
        <v>0</v>
      </c>
      <c r="H74" s="806" t="str">
        <f>CONCATENATE("",E1," Non-AV Receipts (est.)")</f>
        <v>2014 Non-AV Receipts (est.)</v>
      </c>
      <c r="I74" s="832"/>
      <c r="J74" s="836"/>
    </row>
    <row r="75" spans="2:11" x14ac:dyDescent="0.2">
      <c r="B75" s="127" t="str">
        <f>CONCATENATE("",E1-2,"/",E1-1," Budget Authority Amount:")</f>
        <v>2012/2013 Budget Authority Amount:</v>
      </c>
      <c r="C75" s="378">
        <f>inputOth!B73</f>
        <v>0</v>
      </c>
      <c r="D75" s="231">
        <f>inputPrYr!D28</f>
        <v>0</v>
      </c>
      <c r="E75" s="277" t="s">
        <v>839</v>
      </c>
      <c r="F75" s="268"/>
      <c r="G75" s="833">
        <f>IF(D79&gt;0,E78,E80)</f>
        <v>0</v>
      </c>
      <c r="H75" s="806" t="str">
        <f>CONCATENATE("",E1," Ad Valorem Tax (est.)")</f>
        <v>2014 Ad Valorem Tax (est.)</v>
      </c>
      <c r="I75" s="832"/>
      <c r="J75" s="836"/>
      <c r="K75" s="788" t="str">
        <f>IF(G75=E80,"","Note: Does not include Delinquent Taxes")</f>
        <v/>
      </c>
    </row>
    <row r="76" spans="2:11" x14ac:dyDescent="0.2">
      <c r="B76" s="127"/>
      <c r="C76" s="977" t="s">
        <v>483</v>
      </c>
      <c r="D76" s="978"/>
      <c r="E76" s="92"/>
      <c r="F76" s="891" t="str">
        <f>IF(E73/0.95-E73&lt;E76,"Exceeds 5%","")</f>
        <v/>
      </c>
      <c r="G76" s="835">
        <f>SUM(G73:G75)</f>
        <v>0</v>
      </c>
      <c r="H76" s="806" t="str">
        <f>CONCATENATE("Total ",E1," Resources Available")</f>
        <v>Total 2014 Resources Available</v>
      </c>
      <c r="I76" s="836"/>
      <c r="J76" s="836"/>
    </row>
    <row r="77" spans="2:11" x14ac:dyDescent="0.2">
      <c r="B77" s="540" t="str">
        <f>CONCATENATE(C96,"     ",D96)</f>
        <v xml:space="preserve">     </v>
      </c>
      <c r="C77" s="979" t="s">
        <v>484</v>
      </c>
      <c r="D77" s="980"/>
      <c r="E77" s="218">
        <f>E73+E76</f>
        <v>0</v>
      </c>
      <c r="G77" s="837"/>
      <c r="H77" s="838"/>
      <c r="I77" s="805"/>
      <c r="J77" s="836"/>
    </row>
    <row r="78" spans="2:11" x14ac:dyDescent="0.2">
      <c r="B78" s="540" t="str">
        <f>CONCATENATE(C97,"     ",D97)</f>
        <v xml:space="preserve">     </v>
      </c>
      <c r="C78" s="269"/>
      <c r="D78" s="160" t="s">
        <v>867</v>
      </c>
      <c r="E78" s="71">
        <f>IF(E77-E61&gt;0,E77-E61,0)</f>
        <v>0</v>
      </c>
      <c r="G78" s="839">
        <f>ROUND(C73*0.05+C73,0)</f>
        <v>0</v>
      </c>
      <c r="H78" s="838" t="str">
        <f>CONCATENATE("Less ",E1-2," Expenditures + 5%")</f>
        <v>Less 2012 Expenditures + 5%</v>
      </c>
      <c r="I78" s="836"/>
      <c r="J78" s="836"/>
    </row>
    <row r="79" spans="2:11" x14ac:dyDescent="0.25">
      <c r="B79" s="127"/>
      <c r="C79" s="381" t="s">
        <v>482</v>
      </c>
      <c r="D79" s="751">
        <f>inputOth!$E$50</f>
        <v>0.05</v>
      </c>
      <c r="E79" s="218">
        <f>ROUND(IF(D79&gt;0,(E78*D79),0),0)</f>
        <v>0</v>
      </c>
      <c r="G79" s="840">
        <f>G76-G78</f>
        <v>0</v>
      </c>
      <c r="H79" s="841" t="str">
        <f>CONCATENATE("Projected ",E1+1," carryover (est.)")</f>
        <v>Projected 2015 carryover (est.)</v>
      </c>
      <c r="I79" s="842"/>
      <c r="J79" s="843"/>
    </row>
    <row r="80" spans="2:11" ht="16.5" thickBot="1" x14ac:dyDescent="0.3">
      <c r="B80" s="160"/>
      <c r="C80" s="981" t="str">
        <f>CONCATENATE("Amount of  ",$E$1-1," Ad Valorem Tax")</f>
        <v>Amount of  2013 Ad Valorem Tax</v>
      </c>
      <c r="D80" s="982"/>
      <c r="E80" s="754">
        <f>E78+E79</f>
        <v>0</v>
      </c>
      <c r="G80" s="2"/>
      <c r="H80" s="2"/>
      <c r="I80" s="2"/>
    </row>
    <row r="81" spans="2:10" ht="16.5" thickTop="1" x14ac:dyDescent="0.2">
      <c r="B81" s="36"/>
      <c r="C81" s="36"/>
      <c r="D81" s="36"/>
      <c r="E81" s="36"/>
      <c r="G81" s="974" t="s">
        <v>666</v>
      </c>
      <c r="H81" s="975"/>
      <c r="I81" s="975"/>
      <c r="J81" s="976"/>
    </row>
    <row r="82" spans="2:10" x14ac:dyDescent="0.2">
      <c r="B82" s="127" t="s">
        <v>869</v>
      </c>
      <c r="C82" s="273"/>
      <c r="D82" s="36"/>
      <c r="E82" s="36"/>
      <c r="G82" s="794"/>
      <c r="H82" s="795"/>
      <c r="I82" s="796"/>
      <c r="J82" s="797"/>
    </row>
    <row r="83" spans="2:10" x14ac:dyDescent="0.2">
      <c r="B83" s="160"/>
      <c r="G83" s="798" t="str">
        <f>summ!H25</f>
        <v xml:space="preserve">  </v>
      </c>
      <c r="H83" s="795" t="str">
        <f>CONCATENATE("",E1," Fund Mill Rate")</f>
        <v>2014 Fund Mill Rate</v>
      </c>
      <c r="I83" s="796"/>
      <c r="J83" s="797"/>
    </row>
    <row r="84" spans="2:10" x14ac:dyDescent="0.2">
      <c r="G84" s="799" t="str">
        <f>summ!E25</f>
        <v xml:space="preserve">  </v>
      </c>
      <c r="H84" s="795" t="str">
        <f>CONCATENATE("",E1-1," Fund Mill Rate")</f>
        <v>2013 Fund Mill Rate</v>
      </c>
      <c r="I84" s="796"/>
      <c r="J84" s="797"/>
    </row>
    <row r="85" spans="2:10" x14ac:dyDescent="0.2">
      <c r="G85" s="800">
        <f>summ!H52</f>
        <v>59.936</v>
      </c>
      <c r="H85" s="795" t="str">
        <f>CONCATENATE("Total ",E1," Mill Rate")</f>
        <v>Total 2014 Mill Rate</v>
      </c>
      <c r="I85" s="796"/>
      <c r="J85" s="797"/>
    </row>
    <row r="86" spans="2:10" x14ac:dyDescent="0.2">
      <c r="G86" s="799">
        <f>summ!E52</f>
        <v>58.256999999999998</v>
      </c>
      <c r="H86" s="801" t="str">
        <f>CONCATENATE("Total ",E1-1," Mill Rate")</f>
        <v>Total 2013 Mill Rate</v>
      </c>
      <c r="I86" s="802"/>
      <c r="J86" s="803"/>
    </row>
    <row r="94" spans="2:10" hidden="1" x14ac:dyDescent="0.2">
      <c r="C94" s="539" t="str">
        <f>IF(C33&gt;C35,"See Tab A","")</f>
        <v/>
      </c>
      <c r="D94" s="539" t="str">
        <f>IF(D31&gt;D35,"See Tab C","")</f>
        <v/>
      </c>
    </row>
    <row r="95" spans="2:10" hidden="1" x14ac:dyDescent="0.2">
      <c r="C95" s="539" t="str">
        <f>IF(C34&lt;0,"See Tab B","")</f>
        <v/>
      </c>
      <c r="D95" s="539" t="str">
        <f>IF(D34&lt;0,"See Tab D","")</f>
        <v/>
      </c>
    </row>
    <row r="96" spans="2:10" hidden="1" x14ac:dyDescent="0.2">
      <c r="C96" s="539" t="str">
        <f>IF(C71&gt;C75,"See Tab A","")</f>
        <v/>
      </c>
      <c r="D96" s="539" t="str">
        <f>IF(D71&gt;D75,"See Tab C","")</f>
        <v/>
      </c>
    </row>
    <row r="97" spans="3:4" hidden="1" x14ac:dyDescent="0.2">
      <c r="C97" s="539" t="str">
        <f>IF(C74&lt;0,"See Tab B","")</f>
        <v/>
      </c>
      <c r="D97" s="539" t="str">
        <f>IF(D74&lt;0,"See Tab D","")</f>
        <v/>
      </c>
    </row>
  </sheetData>
  <sheetProtection sheet="1"/>
  <mergeCells count="12">
    <mergeCell ref="C36:D36"/>
    <mergeCell ref="C37:D37"/>
    <mergeCell ref="C80:D80"/>
    <mergeCell ref="C40:D40"/>
    <mergeCell ref="C76:D76"/>
    <mergeCell ref="C77:D77"/>
    <mergeCell ref="G81:J81"/>
    <mergeCell ref="G24:J24"/>
    <mergeCell ref="G31:J31"/>
    <mergeCell ref="G41:J41"/>
    <mergeCell ref="G64:J64"/>
    <mergeCell ref="G71:J71"/>
  </mergeCells>
  <phoneticPr fontId="0" type="noConversion"/>
  <conditionalFormatting sqref="E31">
    <cfRule type="cellIs" dxfId="77" priority="3" stopIfTrue="1" operator="greaterThan">
      <formula>$E$33*0.1</formula>
    </cfRule>
  </conditionalFormatting>
  <conditionalFormatting sqref="E36">
    <cfRule type="cellIs" dxfId="76" priority="4" stopIfTrue="1" operator="greaterThan">
      <formula>$E$33/0.95-$E$33</formula>
    </cfRule>
  </conditionalFormatting>
  <conditionalFormatting sqref="E71">
    <cfRule type="cellIs" dxfId="75" priority="5" stopIfTrue="1" operator="greaterThan">
      <formula>$E$73*0.1</formula>
    </cfRule>
  </conditionalFormatting>
  <conditionalFormatting sqref="E76">
    <cfRule type="cellIs" dxfId="74" priority="6" stopIfTrue="1" operator="greaterThan">
      <formula>$E$73/0.95-$E$73</formula>
    </cfRule>
  </conditionalFormatting>
  <conditionalFormatting sqref="C31">
    <cfRule type="cellIs" dxfId="73" priority="7" stopIfTrue="1" operator="greaterThan">
      <formula>$C$33*0.1</formula>
    </cfRule>
  </conditionalFormatting>
  <conditionalFormatting sqref="D31">
    <cfRule type="cellIs" dxfId="72" priority="8" stopIfTrue="1" operator="greaterThan">
      <formula>$D$33*0.1</formula>
    </cfRule>
  </conditionalFormatting>
  <conditionalFormatting sqref="D33">
    <cfRule type="cellIs" dxfId="71" priority="9" stopIfTrue="1" operator="greaterThan">
      <formula>$C$35</formula>
    </cfRule>
  </conditionalFormatting>
  <conditionalFormatting sqref="C33">
    <cfRule type="cellIs" dxfId="70" priority="10" stopIfTrue="1" operator="greaterThan">
      <formula>$C$35</formula>
    </cfRule>
  </conditionalFormatting>
  <conditionalFormatting sqref="C34 C74">
    <cfRule type="cellIs" dxfId="69" priority="11" stopIfTrue="1" operator="lessThan">
      <formula>0</formula>
    </cfRule>
  </conditionalFormatting>
  <conditionalFormatting sqref="C71">
    <cfRule type="cellIs" dxfId="68" priority="12" stopIfTrue="1" operator="greaterThan">
      <formula>$C$73*0.1</formula>
    </cfRule>
  </conditionalFormatting>
  <conditionalFormatting sqref="D73">
    <cfRule type="cellIs" dxfId="67" priority="13" stopIfTrue="1" operator="greaterThan">
      <formula>$C$75</formula>
    </cfRule>
  </conditionalFormatting>
  <conditionalFormatting sqref="C73">
    <cfRule type="cellIs" dxfId="66" priority="14" stopIfTrue="1" operator="greaterThan">
      <formula>$C$75</formula>
    </cfRule>
  </conditionalFormatting>
  <conditionalFormatting sqref="D71">
    <cfRule type="cellIs" dxfId="65" priority="15" stopIfTrue="1" operator="greaterThan">
      <formula>$D$73*0.1</formula>
    </cfRule>
  </conditionalFormatting>
  <conditionalFormatting sqref="D18">
    <cfRule type="cellIs" dxfId="64" priority="16" stopIfTrue="1" operator="greaterThan">
      <formula>$D$20*0.1</formula>
    </cfRule>
  </conditionalFormatting>
  <conditionalFormatting sqref="C18">
    <cfRule type="cellIs" dxfId="63" priority="17" stopIfTrue="1" operator="greaterThan">
      <formula>$C$20*0.1</formula>
    </cfRule>
  </conditionalFormatting>
  <conditionalFormatting sqref="D58">
    <cfRule type="cellIs" dxfId="62" priority="18" stopIfTrue="1" operator="greaterThan">
      <formula>$D$60*0.1</formula>
    </cfRule>
  </conditionalFormatting>
  <conditionalFormatting sqref="C58">
    <cfRule type="cellIs" dxfId="61" priority="19" stopIfTrue="1" operator="greaterThan">
      <formula>$C$60*0.1</formula>
    </cfRule>
  </conditionalFormatting>
  <conditionalFormatting sqref="E58">
    <cfRule type="cellIs" dxfId="60" priority="20" stopIfTrue="1" operator="greaterThan">
      <formula>$E$60*0.1+E80</formula>
    </cfRule>
  </conditionalFormatting>
  <conditionalFormatting sqref="E18">
    <cfRule type="cellIs" dxfId="59" priority="21" stopIfTrue="1" operator="greaterThan">
      <formula>$E$20*0.1+E40</formula>
    </cfRule>
  </conditionalFormatting>
  <conditionalFormatting sqref="D74 D34">
    <cfRule type="cellIs" dxfId="58" priority="2" stopIfTrue="1" operator="lessThan">
      <formula>0</formula>
    </cfRule>
  </conditionalFormatting>
  <pageMargins left="0.5" right="0.5" top="1" bottom="0.5" header="0.5" footer="0.5"/>
  <pageSetup scale="58" orientation="portrait" blackAndWhite="1" horizontalDpi="120" verticalDpi="144"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7"/>
  <sheetViews>
    <sheetView zoomScaleNormal="100" workbookViewId="0">
      <selection activeCell="C10" activeCellId="1" sqref="C21:C25 C10:C12"/>
    </sheetView>
  </sheetViews>
  <sheetFormatPr defaultRowHeight="15.75" x14ac:dyDescent="0.2"/>
  <cols>
    <col min="1" max="1" width="2.44140625" style="34" customWidth="1"/>
    <col min="2" max="2" width="31.109375" style="34" customWidth="1"/>
    <col min="3" max="4" width="15.77734375" style="34" customWidth="1"/>
    <col min="5" max="5" width="16.21875" style="34" customWidth="1"/>
    <col min="6" max="6" width="8.109375" style="34" customWidth="1"/>
    <col min="7" max="7" width="10.21875" style="34" customWidth="1"/>
    <col min="8" max="8" width="8.88671875" style="34"/>
    <col min="9" max="9" width="5" style="34" customWidth="1"/>
    <col min="10" max="10" width="10" style="34" customWidth="1"/>
    <col min="11" max="16384" width="8.88671875" style="34"/>
  </cols>
  <sheetData>
    <row r="1" spans="2:5" x14ac:dyDescent="0.2">
      <c r="B1" s="188" t="str">
        <f>(inputPrYr!D2)</f>
        <v>City of Osawatomie</v>
      </c>
      <c r="C1" s="36"/>
      <c r="D1" s="36"/>
      <c r="E1" s="238">
        <f>inputPrYr!C5</f>
        <v>2014</v>
      </c>
    </row>
    <row r="2" spans="2:5" x14ac:dyDescent="0.2">
      <c r="B2" s="36"/>
      <c r="C2" s="36"/>
      <c r="D2" s="36"/>
      <c r="E2" s="160"/>
    </row>
    <row r="3" spans="2:5" x14ac:dyDescent="0.2">
      <c r="B3" s="239" t="s">
        <v>917</v>
      </c>
      <c r="C3" s="193"/>
      <c r="D3" s="193"/>
      <c r="E3" s="279"/>
    </row>
    <row r="4" spans="2:5" x14ac:dyDescent="0.2">
      <c r="B4" s="41" t="s">
        <v>850</v>
      </c>
      <c r="C4" s="418" t="s">
        <v>662</v>
      </c>
      <c r="D4" s="417" t="s">
        <v>663</v>
      </c>
      <c r="E4" s="394" t="s">
        <v>664</v>
      </c>
    </row>
    <row r="5" spans="2:5" x14ac:dyDescent="0.2">
      <c r="B5" s="544">
        <f>inputPrYr!B29</f>
        <v>0</v>
      </c>
      <c r="C5" s="419" t="str">
        <f>CONCATENATE("Actual for ",E1-2,"")</f>
        <v>Actual for 2012</v>
      </c>
      <c r="D5" s="419" t="str">
        <f>CONCATENATE("Estimate for ",E1-1,"")</f>
        <v>Estimate for 2013</v>
      </c>
      <c r="E5" s="403" t="str">
        <f>CONCATENATE("Year for ",E1,"")</f>
        <v>Year for 2014</v>
      </c>
    </row>
    <row r="6" spans="2:5" x14ac:dyDescent="0.2">
      <c r="B6" s="244" t="s">
        <v>971</v>
      </c>
      <c r="C6" s="249"/>
      <c r="D6" s="247">
        <f>C34</f>
        <v>0</v>
      </c>
      <c r="E6" s="218">
        <f>D34</f>
        <v>0</v>
      </c>
    </row>
    <row r="7" spans="2:5" x14ac:dyDescent="0.2">
      <c r="B7" s="248" t="s">
        <v>973</v>
      </c>
      <c r="C7" s="150"/>
      <c r="D7" s="150"/>
      <c r="E7" s="76"/>
    </row>
    <row r="8" spans="2:5" x14ac:dyDescent="0.2">
      <c r="B8" s="141" t="s">
        <v>851</v>
      </c>
      <c r="C8" s="249"/>
      <c r="D8" s="247">
        <f>IF(inputPrYr!H16&gt;0,inputPrYr!G29,inputPrYr!E29)</f>
        <v>0</v>
      </c>
      <c r="E8" s="277" t="s">
        <v>839</v>
      </c>
    </row>
    <row r="9" spans="2:5" x14ac:dyDescent="0.2">
      <c r="B9" s="141" t="s">
        <v>852</v>
      </c>
      <c r="C9" s="249"/>
      <c r="D9" s="249"/>
      <c r="E9" s="56"/>
    </row>
    <row r="10" spans="2:5" x14ac:dyDescent="0.2">
      <c r="B10" s="141" t="s">
        <v>853</v>
      </c>
      <c r="C10" s="249"/>
      <c r="D10" s="249"/>
      <c r="E10" s="218" t="str">
        <f>mvalloc!D18</f>
        <v xml:space="preserve">  </v>
      </c>
    </row>
    <row r="11" spans="2:5" x14ac:dyDescent="0.2">
      <c r="B11" s="141" t="s">
        <v>854</v>
      </c>
      <c r="C11" s="249"/>
      <c r="D11" s="249"/>
      <c r="E11" s="218" t="str">
        <f>mvalloc!E18</f>
        <v xml:space="preserve"> </v>
      </c>
    </row>
    <row r="12" spans="2:5" x14ac:dyDescent="0.2">
      <c r="B12" s="150" t="s">
        <v>949</v>
      </c>
      <c r="C12" s="249"/>
      <c r="D12" s="249"/>
      <c r="E12" s="218" t="str">
        <f>mvalloc!F18</f>
        <v xml:space="preserve"> </v>
      </c>
    </row>
    <row r="13" spans="2:5" x14ac:dyDescent="0.2">
      <c r="B13" s="265"/>
      <c r="C13" s="249"/>
      <c r="D13" s="249"/>
      <c r="E13" s="56"/>
    </row>
    <row r="14" spans="2:5" x14ac:dyDescent="0.2">
      <c r="B14" s="265"/>
      <c r="C14" s="249"/>
      <c r="D14" s="249"/>
      <c r="E14" s="56"/>
    </row>
    <row r="15" spans="2:5" x14ac:dyDescent="0.2">
      <c r="B15" s="265"/>
      <c r="C15" s="249"/>
      <c r="D15" s="249"/>
      <c r="E15" s="56"/>
    </row>
    <row r="16" spans="2:5" x14ac:dyDescent="0.2">
      <c r="B16" s="265"/>
      <c r="C16" s="249"/>
      <c r="D16" s="249"/>
      <c r="E16" s="56"/>
    </row>
    <row r="17" spans="2:10" x14ac:dyDescent="0.2">
      <c r="B17" s="253" t="s">
        <v>858</v>
      </c>
      <c r="C17" s="249"/>
      <c r="D17" s="249"/>
      <c r="E17" s="56"/>
    </row>
    <row r="18" spans="2:10" x14ac:dyDescent="0.2">
      <c r="B18" s="150" t="s">
        <v>730</v>
      </c>
      <c r="C18" s="249"/>
      <c r="D18" s="249"/>
      <c r="E18" s="56"/>
    </row>
    <row r="19" spans="2:10" x14ac:dyDescent="0.2">
      <c r="B19" s="244" t="s">
        <v>638</v>
      </c>
      <c r="C19" s="254" t="str">
        <f>IF(C20*0.1&lt;C18,"Exceed 10% Rule","")</f>
        <v/>
      </c>
      <c r="D19" s="254" t="str">
        <f>IF(D20*0.1&lt;D18,"Exceed 10% Rule","")</f>
        <v/>
      </c>
      <c r="E19" s="291" t="str">
        <f>IF(E20*0.1+E40&lt;E18,"Exceed 10% Rule","")</f>
        <v/>
      </c>
    </row>
    <row r="20" spans="2:10" x14ac:dyDescent="0.2">
      <c r="B20" s="256" t="s">
        <v>859</v>
      </c>
      <c r="C20" s="258">
        <f>SUM(C8:C18)</f>
        <v>0</v>
      </c>
      <c r="D20" s="258">
        <f>SUM(D8:D18)</f>
        <v>0</v>
      </c>
      <c r="E20" s="259">
        <f>SUM(E8:E18)</f>
        <v>0</v>
      </c>
    </row>
    <row r="21" spans="2:10" x14ac:dyDescent="0.2">
      <c r="B21" s="256" t="s">
        <v>860</v>
      </c>
      <c r="C21" s="258">
        <f>C6+C20</f>
        <v>0</v>
      </c>
      <c r="D21" s="258">
        <f>D6+D20</f>
        <v>0</v>
      </c>
      <c r="E21" s="259">
        <f>E6+E20</f>
        <v>0</v>
      </c>
    </row>
    <row r="22" spans="2:10" x14ac:dyDescent="0.2">
      <c r="B22" s="141" t="s">
        <v>862</v>
      </c>
      <c r="C22" s="266"/>
      <c r="D22" s="266"/>
      <c r="E22" s="54"/>
    </row>
    <row r="23" spans="2:10" x14ac:dyDescent="0.2">
      <c r="B23" s="265"/>
      <c r="C23" s="249"/>
      <c r="D23" s="249"/>
      <c r="E23" s="56"/>
    </row>
    <row r="24" spans="2:10" x14ac:dyDescent="0.2">
      <c r="B24" s="265"/>
      <c r="C24" s="249"/>
      <c r="D24" s="249"/>
      <c r="E24" s="56"/>
      <c r="G24" s="995" t="str">
        <f>CONCATENATE("Desired Carryover Into ",E1+1,"")</f>
        <v>Desired Carryover Into 2015</v>
      </c>
      <c r="H24" s="972"/>
      <c r="I24" s="972"/>
      <c r="J24" s="973"/>
    </row>
    <row r="25" spans="2:10" x14ac:dyDescent="0.2">
      <c r="B25" s="265"/>
      <c r="C25" s="249"/>
      <c r="D25" s="249"/>
      <c r="E25" s="56"/>
      <c r="G25" s="804"/>
      <c r="H25" s="805"/>
      <c r="I25" s="806"/>
      <c r="J25" s="807"/>
    </row>
    <row r="26" spans="2:10" x14ac:dyDescent="0.2">
      <c r="B26" s="265"/>
      <c r="C26" s="249"/>
      <c r="D26" s="249"/>
      <c r="E26" s="56"/>
      <c r="G26" s="808" t="s">
        <v>626</v>
      </c>
      <c r="H26" s="806"/>
      <c r="I26" s="806"/>
      <c r="J26" s="809">
        <v>0</v>
      </c>
    </row>
    <row r="27" spans="2:10" x14ac:dyDescent="0.2">
      <c r="B27" s="265"/>
      <c r="C27" s="249"/>
      <c r="D27" s="249"/>
      <c r="E27" s="56"/>
      <c r="G27" s="804" t="s">
        <v>627</v>
      </c>
      <c r="H27" s="805"/>
      <c r="I27" s="805"/>
      <c r="J27" s="810" t="str">
        <f>IF(J26=0,"",ROUND((J26+E40-G39)/inputOth!E9*1000,3)-G44)</f>
        <v/>
      </c>
    </row>
    <row r="28" spans="2:10" x14ac:dyDescent="0.2">
      <c r="B28" s="265"/>
      <c r="C28" s="249"/>
      <c r="D28" s="249"/>
      <c r="E28" s="56"/>
      <c r="G28" s="811" t="str">
        <f>CONCATENATE("",E1," Tot Exp/Non-Appr Must Be:")</f>
        <v>2014 Tot Exp/Non-Appr Must Be:</v>
      </c>
      <c r="H28" s="812"/>
      <c r="I28" s="813"/>
      <c r="J28" s="814">
        <f>IF(J26&gt;0,IF(E37&lt;E21,IF(J26=G39,E37,((J26-G39)*(1-D39))+E21),E37+(J26-G39)),0)</f>
        <v>0</v>
      </c>
    </row>
    <row r="29" spans="2:10" x14ac:dyDescent="0.2">
      <c r="B29" s="265"/>
      <c r="C29" s="249"/>
      <c r="D29" s="249"/>
      <c r="E29" s="56"/>
      <c r="G29" s="815" t="s">
        <v>665</v>
      </c>
      <c r="H29" s="816"/>
      <c r="I29" s="816"/>
      <c r="J29" s="783">
        <f>IF(J26&gt;0,J28-E37,0)</f>
        <v>0</v>
      </c>
    </row>
    <row r="30" spans="2:10" x14ac:dyDescent="0.25">
      <c r="B30" s="266" t="s">
        <v>729</v>
      </c>
      <c r="C30" s="249"/>
      <c r="D30" s="249"/>
      <c r="E30" s="71" t="str">
        <f>nhood!E17</f>
        <v/>
      </c>
      <c r="J30" s="2"/>
    </row>
    <row r="31" spans="2:10" x14ac:dyDescent="0.2">
      <c r="B31" s="266" t="s">
        <v>730</v>
      </c>
      <c r="C31" s="249"/>
      <c r="D31" s="249"/>
      <c r="E31" s="56"/>
      <c r="G31" s="995" t="str">
        <f>CONCATENATE("Projected Carryover Into ",E1+1,"")</f>
        <v>Projected Carryover Into 2015</v>
      </c>
      <c r="H31" s="999"/>
      <c r="I31" s="999"/>
      <c r="J31" s="998"/>
    </row>
    <row r="32" spans="2:10" x14ac:dyDescent="0.25">
      <c r="B32" s="266" t="s">
        <v>639</v>
      </c>
      <c r="C32" s="254" t="str">
        <f>IF(C33*0.1&lt;C31,"Exceed 10% Rule","")</f>
        <v/>
      </c>
      <c r="D32" s="254" t="str">
        <f>IF(D33*0.1&lt;D31,"Exceed 10% Rule","")</f>
        <v/>
      </c>
      <c r="E32" s="291" t="str">
        <f>IF(E33*0.1&lt;E31,"Exceed 10% Rule","")</f>
        <v/>
      </c>
      <c r="G32" s="804"/>
      <c r="H32" s="806"/>
      <c r="I32" s="806"/>
      <c r="J32" s="830"/>
    </row>
    <row r="33" spans="2:11" x14ac:dyDescent="0.25">
      <c r="B33" s="256" t="s">
        <v>866</v>
      </c>
      <c r="C33" s="258">
        <f>SUM(C23:C31)</f>
        <v>0</v>
      </c>
      <c r="D33" s="258">
        <f>SUM(D23:D31)</f>
        <v>0</v>
      </c>
      <c r="E33" s="259">
        <f>SUM(E23:E31)</f>
        <v>0</v>
      </c>
      <c r="G33" s="831">
        <f>D34</f>
        <v>0</v>
      </c>
      <c r="H33" s="795" t="str">
        <f>CONCATENATE("",E1-1," Ending Cash Balance (est.)")</f>
        <v>2013 Ending Cash Balance (est.)</v>
      </c>
      <c r="I33" s="832"/>
      <c r="J33" s="830"/>
    </row>
    <row r="34" spans="2:11" x14ac:dyDescent="0.25">
      <c r="B34" s="141" t="s">
        <v>972</v>
      </c>
      <c r="C34" s="262">
        <f>C21-C33</f>
        <v>0</v>
      </c>
      <c r="D34" s="262">
        <f>D21-D33</f>
        <v>0</v>
      </c>
      <c r="E34" s="277" t="s">
        <v>839</v>
      </c>
      <c r="G34" s="831">
        <f>E20</f>
        <v>0</v>
      </c>
      <c r="H34" s="806" t="str">
        <f>CONCATENATE("",E1," Non-AV Receipts (est.)")</f>
        <v>2014 Non-AV Receipts (est.)</v>
      </c>
      <c r="I34" s="832"/>
      <c r="J34" s="830"/>
    </row>
    <row r="35" spans="2:11" x14ac:dyDescent="0.2">
      <c r="B35" s="127" t="str">
        <f>CONCATENATE("",E1-2,"/",E1-1," Budget Authority Amount:")</f>
        <v>2012/2013 Budget Authority Amount:</v>
      </c>
      <c r="C35" s="231">
        <f>inputOth!B74</f>
        <v>0</v>
      </c>
      <c r="D35" s="231">
        <f>inputPrYr!D29</f>
        <v>0</v>
      </c>
      <c r="E35" s="277" t="s">
        <v>839</v>
      </c>
      <c r="F35" s="268"/>
      <c r="G35" s="833">
        <f>IF(E39&gt;0,E38,E40)</f>
        <v>0</v>
      </c>
      <c r="H35" s="806" t="str">
        <f>CONCATENATE("",E1," Ad Valorem Tax (est.)")</f>
        <v>2014 Ad Valorem Tax (est.)</v>
      </c>
      <c r="I35" s="832"/>
      <c r="J35" s="818"/>
      <c r="K35" s="788" t="str">
        <f>IF(G35=E40,"","Note: Does not include Delinquent Taxes")</f>
        <v/>
      </c>
    </row>
    <row r="36" spans="2:11" x14ac:dyDescent="0.25">
      <c r="B36" s="127"/>
      <c r="C36" s="977" t="s">
        <v>483</v>
      </c>
      <c r="D36" s="978"/>
      <c r="E36" s="56"/>
      <c r="F36" s="891" t="str">
        <f>IF(E33/0.95-E33&lt;E36,"Exceeds 5%","")</f>
        <v/>
      </c>
      <c r="G36" s="831">
        <f>SUM(G33:G35)</f>
        <v>0</v>
      </c>
      <c r="H36" s="806" t="str">
        <f>CONCATENATE("Total ",E1," Resources Available")</f>
        <v>Total 2014 Resources Available</v>
      </c>
      <c r="I36" s="832"/>
      <c r="J36" s="830"/>
    </row>
    <row r="37" spans="2:11" x14ac:dyDescent="0.25">
      <c r="B37" s="540" t="str">
        <f>CONCATENATE(C94,"     ",D94)</f>
        <v xml:space="preserve">     </v>
      </c>
      <c r="C37" s="979" t="s">
        <v>484</v>
      </c>
      <c r="D37" s="980"/>
      <c r="E37" s="218">
        <f>E33+E36</f>
        <v>0</v>
      </c>
      <c r="G37" s="850"/>
      <c r="H37" s="806"/>
      <c r="I37" s="806"/>
      <c r="J37" s="830"/>
    </row>
    <row r="38" spans="2:11" x14ac:dyDescent="0.25">
      <c r="B38" s="540" t="str">
        <f>CONCATENATE(C95,"     ",D95)</f>
        <v xml:space="preserve">     </v>
      </c>
      <c r="C38" s="269"/>
      <c r="D38" s="160" t="s">
        <v>867</v>
      </c>
      <c r="E38" s="71">
        <f>IF(E37-E21&gt;0,E37-E21,0)</f>
        <v>0</v>
      </c>
      <c r="G38" s="833">
        <f>ROUND(C33*0.05+C33,0)</f>
        <v>0</v>
      </c>
      <c r="H38" s="806" t="str">
        <f>CONCATENATE("Less ",E1-2," Expenditures + 5%")</f>
        <v>Less 2012 Expenditures + 5%</v>
      </c>
      <c r="I38" s="832"/>
      <c r="J38" s="830"/>
    </row>
    <row r="39" spans="2:11" x14ac:dyDescent="0.25">
      <c r="B39" s="160"/>
      <c r="C39" s="381" t="s">
        <v>482</v>
      </c>
      <c r="D39" s="751">
        <f>inputOth!$E$50</f>
        <v>0.05</v>
      </c>
      <c r="E39" s="218">
        <f>ROUND(IF(D39&gt;0,(E38*D39),0),0)</f>
        <v>0</v>
      </c>
      <c r="G39" s="851">
        <f>G36-G38</f>
        <v>0</v>
      </c>
      <c r="H39" s="852" t="str">
        <f>CONCATENATE("Projected ",E1+1," carryover (est.)")</f>
        <v>Projected 2015 carryover (est.)</v>
      </c>
      <c r="I39" s="853"/>
      <c r="J39" s="843"/>
    </row>
    <row r="40" spans="2:11" ht="16.5" thickBot="1" x14ac:dyDescent="0.3">
      <c r="B40" s="36"/>
      <c r="C40" s="981" t="str">
        <f>CONCATENATE("Amount of  ",$E$1-1," Ad Valorem Tax")</f>
        <v>Amount of  2013 Ad Valorem Tax</v>
      </c>
      <c r="D40" s="982"/>
      <c r="E40" s="754">
        <f>E38+E39</f>
        <v>0</v>
      </c>
      <c r="G40" s="2"/>
      <c r="H40" s="2"/>
      <c r="I40" s="2"/>
      <c r="J40" s="2"/>
    </row>
    <row r="41" spans="2:11" ht="16.5" thickTop="1" x14ac:dyDescent="0.2">
      <c r="B41" s="36"/>
      <c r="C41" s="36"/>
      <c r="D41" s="36"/>
      <c r="E41" s="36"/>
      <c r="G41" s="974" t="s">
        <v>666</v>
      </c>
      <c r="H41" s="975"/>
      <c r="I41" s="975"/>
      <c r="J41" s="976"/>
    </row>
    <row r="42" spans="2:11" x14ac:dyDescent="0.2">
      <c r="B42" s="41"/>
      <c r="C42" s="133"/>
      <c r="D42" s="133"/>
      <c r="E42" s="133"/>
      <c r="G42" s="794"/>
      <c r="H42" s="795"/>
      <c r="I42" s="796"/>
      <c r="J42" s="797"/>
    </row>
    <row r="43" spans="2:11" x14ac:dyDescent="0.2">
      <c r="B43" s="41" t="s">
        <v>850</v>
      </c>
      <c r="C43" s="418" t="s">
        <v>662</v>
      </c>
      <c r="D43" s="417" t="s">
        <v>663</v>
      </c>
      <c r="E43" s="394" t="s">
        <v>664</v>
      </c>
      <c r="G43" s="798" t="str">
        <f>summ!H26</f>
        <v xml:space="preserve">  </v>
      </c>
      <c r="H43" s="795" t="str">
        <f>CONCATENATE("",E1," Fund Mill Rate")</f>
        <v>2014 Fund Mill Rate</v>
      </c>
      <c r="I43" s="796"/>
      <c r="J43" s="797"/>
    </row>
    <row r="44" spans="2:11" x14ac:dyDescent="0.2">
      <c r="B44" s="544">
        <f>inputPrYr!B30</f>
        <v>0</v>
      </c>
      <c r="C44" s="419" t="str">
        <f>CONCATENATE("Actual for ",E1-2,"")</f>
        <v>Actual for 2012</v>
      </c>
      <c r="D44" s="419" t="str">
        <f>CONCATENATE("Estimate for ",E1-1,"")</f>
        <v>Estimate for 2013</v>
      </c>
      <c r="E44" s="403" t="str">
        <f>CONCATENATE("Year for ",E1,"")</f>
        <v>Year for 2014</v>
      </c>
      <c r="G44" s="799" t="str">
        <f>summ!E26</f>
        <v xml:space="preserve">  </v>
      </c>
      <c r="H44" s="795" t="str">
        <f>CONCATENATE("",E1-1," Fund Mill Rate")</f>
        <v>2013 Fund Mill Rate</v>
      </c>
      <c r="I44" s="796"/>
      <c r="J44" s="797"/>
    </row>
    <row r="45" spans="2:11" x14ac:dyDescent="0.2">
      <c r="B45" s="244" t="s">
        <v>971</v>
      </c>
      <c r="C45" s="249"/>
      <c r="D45" s="247">
        <f>C74</f>
        <v>0</v>
      </c>
      <c r="E45" s="218">
        <f>D74</f>
        <v>0</v>
      </c>
      <c r="G45" s="800">
        <f>summ!H52</f>
        <v>59.936</v>
      </c>
      <c r="H45" s="795" t="str">
        <f>CONCATENATE("Total ",E1," Mill Rate")</f>
        <v>Total 2014 Mill Rate</v>
      </c>
      <c r="I45" s="796"/>
      <c r="J45" s="797"/>
    </row>
    <row r="46" spans="2:11" x14ac:dyDescent="0.2">
      <c r="B46" s="248" t="s">
        <v>973</v>
      </c>
      <c r="C46" s="150"/>
      <c r="D46" s="150"/>
      <c r="E46" s="76"/>
      <c r="G46" s="799">
        <f>summ!E52</f>
        <v>58.256999999999998</v>
      </c>
      <c r="H46" s="801" t="str">
        <f>CONCATENATE("Total ",E1-1," Mill Rate")</f>
        <v>Total 2013 Mill Rate</v>
      </c>
      <c r="I46" s="802"/>
      <c r="J46" s="803"/>
    </row>
    <row r="47" spans="2:11" x14ac:dyDescent="0.2">
      <c r="B47" s="141" t="s">
        <v>851</v>
      </c>
      <c r="C47" s="249"/>
      <c r="D47" s="247">
        <f>IF(inputPrYr!H16&gt;0,inputPrYr!G30,inputPrYr!E30)</f>
        <v>0</v>
      </c>
      <c r="E47" s="277" t="s">
        <v>839</v>
      </c>
    </row>
    <row r="48" spans="2:11" x14ac:dyDescent="0.2">
      <c r="B48" s="141" t="s">
        <v>852</v>
      </c>
      <c r="C48" s="249"/>
      <c r="D48" s="249"/>
      <c r="E48" s="56"/>
    </row>
    <row r="49" spans="2:10" x14ac:dyDescent="0.2">
      <c r="B49" s="141" t="s">
        <v>853</v>
      </c>
      <c r="C49" s="249"/>
      <c r="D49" s="249"/>
      <c r="E49" s="218" t="str">
        <f>mvalloc!D19</f>
        <v xml:space="preserve">  </v>
      </c>
    </row>
    <row r="50" spans="2:10" x14ac:dyDescent="0.2">
      <c r="B50" s="141" t="s">
        <v>854</v>
      </c>
      <c r="C50" s="249"/>
      <c r="D50" s="249"/>
      <c r="E50" s="218" t="str">
        <f>mvalloc!E19</f>
        <v xml:space="preserve"> </v>
      </c>
    </row>
    <row r="51" spans="2:10" x14ac:dyDescent="0.2">
      <c r="B51" s="150" t="s">
        <v>949</v>
      </c>
      <c r="C51" s="249"/>
      <c r="D51" s="249"/>
      <c r="E51" s="218" t="str">
        <f>mvalloc!F19</f>
        <v xml:space="preserve"> </v>
      </c>
    </row>
    <row r="52" spans="2:10" x14ac:dyDescent="0.2">
      <c r="B52" s="265"/>
      <c r="C52" s="249"/>
      <c r="D52" s="249"/>
      <c r="E52" s="56"/>
    </row>
    <row r="53" spans="2:10" x14ac:dyDescent="0.2">
      <c r="B53" s="265"/>
      <c r="C53" s="249"/>
      <c r="D53" s="249"/>
      <c r="E53" s="56"/>
    </row>
    <row r="54" spans="2:10" x14ac:dyDescent="0.2">
      <c r="B54" s="265"/>
      <c r="C54" s="249"/>
      <c r="D54" s="249"/>
      <c r="E54" s="56"/>
    </row>
    <row r="55" spans="2:10" x14ac:dyDescent="0.2">
      <c r="B55" s="265"/>
      <c r="C55" s="249"/>
      <c r="D55" s="249"/>
      <c r="E55" s="56"/>
    </row>
    <row r="56" spans="2:10" x14ac:dyDescent="0.2">
      <c r="B56" s="265"/>
      <c r="C56" s="249"/>
      <c r="D56" s="249"/>
      <c r="E56" s="56"/>
    </row>
    <row r="57" spans="2:10" x14ac:dyDescent="0.2">
      <c r="B57" s="253" t="s">
        <v>858</v>
      </c>
      <c r="C57" s="249"/>
      <c r="D57" s="249"/>
      <c r="E57" s="56"/>
    </row>
    <row r="58" spans="2:10" x14ac:dyDescent="0.2">
      <c r="B58" s="150" t="s">
        <v>730</v>
      </c>
      <c r="C58" s="249"/>
      <c r="D58" s="249"/>
      <c r="E58" s="56"/>
    </row>
    <row r="59" spans="2:10" x14ac:dyDescent="0.2">
      <c r="B59" s="244" t="s">
        <v>638</v>
      </c>
      <c r="C59" s="254" t="str">
        <f>IF(C60*0.1&lt;C58,"Exceed 10% Rule","")</f>
        <v/>
      </c>
      <c r="D59" s="254" t="str">
        <f>IF(D60*0.1&lt;D58,"Exceed 10% Rule","")</f>
        <v/>
      </c>
      <c r="E59" s="291" t="str">
        <f>IF(E60*0.1+E80&lt;E58,"Exceed 10% Rule","")</f>
        <v/>
      </c>
    </row>
    <row r="60" spans="2:10" x14ac:dyDescent="0.2">
      <c r="B60" s="256" t="s">
        <v>859</v>
      </c>
      <c r="C60" s="258">
        <f>SUM(C47:C58)</f>
        <v>0</v>
      </c>
      <c r="D60" s="258">
        <f>SUM(D47:D58)</f>
        <v>0</v>
      </c>
      <c r="E60" s="259">
        <f>SUM(E47:E58)</f>
        <v>0</v>
      </c>
    </row>
    <row r="61" spans="2:10" x14ac:dyDescent="0.2">
      <c r="B61" s="256" t="s">
        <v>860</v>
      </c>
      <c r="C61" s="258">
        <f>C45+C60</f>
        <v>0</v>
      </c>
      <c r="D61" s="258">
        <f>D45+D60</f>
        <v>0</v>
      </c>
      <c r="E61" s="259">
        <f>E45+E60</f>
        <v>0</v>
      </c>
    </row>
    <row r="62" spans="2:10" x14ac:dyDescent="0.2">
      <c r="B62" s="141" t="s">
        <v>862</v>
      </c>
      <c r="C62" s="266"/>
      <c r="D62" s="266"/>
      <c r="E62" s="54"/>
    </row>
    <row r="63" spans="2:10" x14ac:dyDescent="0.2">
      <c r="B63" s="265"/>
      <c r="C63" s="249"/>
      <c r="D63" s="249"/>
      <c r="E63" s="56"/>
    </row>
    <row r="64" spans="2:10" x14ac:dyDescent="0.2">
      <c r="B64" s="265"/>
      <c r="C64" s="249"/>
      <c r="D64" s="249"/>
      <c r="E64" s="56"/>
      <c r="G64" s="995" t="str">
        <f>CONCATENATE("Desired Carryover Into ",E1+1,"")</f>
        <v>Desired Carryover Into 2015</v>
      </c>
      <c r="H64" s="972"/>
      <c r="I64" s="972"/>
      <c r="J64" s="973"/>
    </row>
    <row r="65" spans="2:11" x14ac:dyDescent="0.2">
      <c r="B65" s="265"/>
      <c r="C65" s="249"/>
      <c r="D65" s="249"/>
      <c r="E65" s="56"/>
      <c r="G65" s="804"/>
      <c r="H65" s="805"/>
      <c r="I65" s="806"/>
      <c r="J65" s="807"/>
    </row>
    <row r="66" spans="2:11" x14ac:dyDescent="0.2">
      <c r="B66" s="265"/>
      <c r="C66" s="249"/>
      <c r="D66" s="249"/>
      <c r="E66" s="56"/>
      <c r="G66" s="808" t="s">
        <v>626</v>
      </c>
      <c r="H66" s="806"/>
      <c r="I66" s="806"/>
      <c r="J66" s="809">
        <v>0</v>
      </c>
    </row>
    <row r="67" spans="2:11" x14ac:dyDescent="0.2">
      <c r="B67" s="265"/>
      <c r="C67" s="249"/>
      <c r="D67" s="249"/>
      <c r="E67" s="56"/>
      <c r="G67" s="804" t="s">
        <v>627</v>
      </c>
      <c r="H67" s="805"/>
      <c r="I67" s="805"/>
      <c r="J67" s="810" t="str">
        <f>IF(J66=0,"",ROUND((J66+E80-G79)/inputOth!E9*1000,3)-G84)</f>
        <v/>
      </c>
    </row>
    <row r="68" spans="2:11" x14ac:dyDescent="0.2">
      <c r="B68" s="265"/>
      <c r="C68" s="249"/>
      <c r="D68" s="249"/>
      <c r="E68" s="56"/>
      <c r="G68" s="811" t="str">
        <f>CONCATENATE("",E1," Tot Exp/Non-Appr Must Be:")</f>
        <v>2014 Tot Exp/Non-Appr Must Be:</v>
      </c>
      <c r="H68" s="812"/>
      <c r="I68" s="813"/>
      <c r="J68" s="814">
        <f>IF(J66&gt;0,IF(E77&lt;E61,IF(J66=G79,E77,((J66-G79)*(1-D79))+E61),E77+(J66-G79)),0)</f>
        <v>0</v>
      </c>
    </row>
    <row r="69" spans="2:11" x14ac:dyDescent="0.2">
      <c r="B69" s="265"/>
      <c r="C69" s="249"/>
      <c r="D69" s="249"/>
      <c r="E69" s="56"/>
      <c r="G69" s="815" t="s">
        <v>665</v>
      </c>
      <c r="H69" s="816"/>
      <c r="I69" s="816"/>
      <c r="J69" s="783">
        <f>IF(J66&gt;0,J68-E78,0)</f>
        <v>0</v>
      </c>
    </row>
    <row r="70" spans="2:11" x14ac:dyDescent="0.25">
      <c r="B70" s="266" t="s">
        <v>729</v>
      </c>
      <c r="C70" s="249"/>
      <c r="D70" s="249"/>
      <c r="E70" s="71" t="str">
        <f>nhood!E18</f>
        <v/>
      </c>
      <c r="J70" s="2"/>
    </row>
    <row r="71" spans="2:11" x14ac:dyDescent="0.2">
      <c r="B71" s="266" t="s">
        <v>730</v>
      </c>
      <c r="C71" s="249"/>
      <c r="D71" s="249"/>
      <c r="E71" s="56"/>
      <c r="G71" s="995" t="str">
        <f>CONCATENATE("Projected Carryover Into ",E1+1,"")</f>
        <v>Projected Carryover Into 2015</v>
      </c>
      <c r="H71" s="997"/>
      <c r="I71" s="997"/>
      <c r="J71" s="998"/>
    </row>
    <row r="72" spans="2:11" x14ac:dyDescent="0.2">
      <c r="B72" s="266" t="s">
        <v>639</v>
      </c>
      <c r="C72" s="254" t="str">
        <f>IF(C73*0.1&lt;C71,"Exceed 10% Rule","")</f>
        <v/>
      </c>
      <c r="D72" s="254" t="str">
        <f>IF(D73*0.1&lt;D71,"Exceed 10% Rule","")</f>
        <v/>
      </c>
      <c r="E72" s="291" t="str">
        <f>IF(E73*0.1&lt;E71,"Exceed 10% Rule","")</f>
        <v/>
      </c>
      <c r="G72" s="829"/>
      <c r="H72" s="805"/>
      <c r="I72" s="805"/>
      <c r="J72" s="836"/>
    </row>
    <row r="73" spans="2:11" x14ac:dyDescent="0.2">
      <c r="B73" s="256" t="s">
        <v>866</v>
      </c>
      <c r="C73" s="258">
        <f>SUM(C63:C71)</f>
        <v>0</v>
      </c>
      <c r="D73" s="258">
        <f>SUM(D63:D71)</f>
        <v>0</v>
      </c>
      <c r="E73" s="259">
        <f>SUM(E63:E71)</f>
        <v>0</v>
      </c>
      <c r="G73" s="831">
        <f>D74</f>
        <v>0</v>
      </c>
      <c r="H73" s="795" t="str">
        <f>CONCATENATE("",E1-1," Ending Cash Balance (est.)")</f>
        <v>2013 Ending Cash Balance (est.)</v>
      </c>
      <c r="I73" s="832"/>
      <c r="J73" s="836"/>
    </row>
    <row r="74" spans="2:11" x14ac:dyDescent="0.2">
      <c r="B74" s="141" t="s">
        <v>972</v>
      </c>
      <c r="C74" s="262">
        <f>C61-C73</f>
        <v>0</v>
      </c>
      <c r="D74" s="262">
        <f>D61-D73</f>
        <v>0</v>
      </c>
      <c r="E74" s="277" t="s">
        <v>839</v>
      </c>
      <c r="G74" s="831">
        <f>E60</f>
        <v>0</v>
      </c>
      <c r="H74" s="806" t="str">
        <f>CONCATENATE("",E1," Non-AV Receipts (est.)")</f>
        <v>2014 Non-AV Receipts (est.)</v>
      </c>
      <c r="I74" s="832"/>
      <c r="J74" s="836"/>
    </row>
    <row r="75" spans="2:11" x14ac:dyDescent="0.2">
      <c r="B75" s="127" t="str">
        <f>CONCATENATE("",E1-2,"/",E1-1," Budget Authority Amount:")</f>
        <v>2012/2013 Budget Authority Amount:</v>
      </c>
      <c r="C75" s="231">
        <f>inputOth!B75</f>
        <v>0</v>
      </c>
      <c r="D75" s="231">
        <f>inputPrYr!D30</f>
        <v>0</v>
      </c>
      <c r="E75" s="277" t="s">
        <v>839</v>
      </c>
      <c r="F75" s="268"/>
      <c r="G75" s="833">
        <f>IF(D79&gt;0,E78,E80)</f>
        <v>0</v>
      </c>
      <c r="H75" s="806" t="str">
        <f>CONCATENATE("",E1," Ad Valorem Tax (est.)")</f>
        <v>2014 Ad Valorem Tax (est.)</v>
      </c>
      <c r="I75" s="832"/>
      <c r="J75" s="836"/>
      <c r="K75" s="788" t="str">
        <f>IF(G75=E80,"","Note: Does not include Delinquent Taxes")</f>
        <v/>
      </c>
    </row>
    <row r="76" spans="2:11" x14ac:dyDescent="0.2">
      <c r="B76" s="127"/>
      <c r="C76" s="977" t="s">
        <v>483</v>
      </c>
      <c r="D76" s="978"/>
      <c r="E76" s="56"/>
      <c r="F76" s="891" t="str">
        <f>IF(E73/0.95-E73&lt;E76,"Exceeds 5%","")</f>
        <v/>
      </c>
      <c r="G76" s="835">
        <f>SUM(G73:G75)</f>
        <v>0</v>
      </c>
      <c r="H76" s="806" t="str">
        <f>CONCATENATE("Total ",E1," Resources Available")</f>
        <v>Total 2014 Resources Available</v>
      </c>
      <c r="I76" s="836"/>
      <c r="J76" s="836"/>
    </row>
    <row r="77" spans="2:11" x14ac:dyDescent="0.2">
      <c r="B77" s="540" t="str">
        <f>CONCATENATE(C96,"     ",D96)</f>
        <v xml:space="preserve">     </v>
      </c>
      <c r="C77" s="979" t="s">
        <v>484</v>
      </c>
      <c r="D77" s="980"/>
      <c r="E77" s="218">
        <f>E73+E76</f>
        <v>0</v>
      </c>
      <c r="G77" s="837"/>
      <c r="H77" s="838"/>
      <c r="I77" s="805"/>
      <c r="J77" s="836"/>
    </row>
    <row r="78" spans="2:11" x14ac:dyDescent="0.2">
      <c r="B78" s="540" t="str">
        <f>CONCATENATE(C97,"     ",D97)</f>
        <v xml:space="preserve">     </v>
      </c>
      <c r="C78" s="269"/>
      <c r="D78" s="160" t="s">
        <v>867</v>
      </c>
      <c r="E78" s="71">
        <f>IF(E77-E61&gt;0,E77-E61,0)</f>
        <v>0</v>
      </c>
      <c r="G78" s="839">
        <f>ROUND(C73*0.05+C73,0)</f>
        <v>0</v>
      </c>
      <c r="H78" s="838" t="str">
        <f>CONCATENATE("Less ",E1-2," Expenditures + 5%")</f>
        <v>Less 2012 Expenditures + 5%</v>
      </c>
      <c r="I78" s="836"/>
      <c r="J78" s="836"/>
    </row>
    <row r="79" spans="2:11" x14ac:dyDescent="0.25">
      <c r="B79" s="127"/>
      <c r="C79" s="381" t="s">
        <v>482</v>
      </c>
      <c r="D79" s="751">
        <f>inputOth!$E$50</f>
        <v>0.05</v>
      </c>
      <c r="E79" s="218">
        <f>ROUND(IF(D79&gt;0,(E78*D79),0),0)</f>
        <v>0</v>
      </c>
      <c r="G79" s="840">
        <f>G76-G78</f>
        <v>0</v>
      </c>
      <c r="H79" s="841" t="str">
        <f>CONCATENATE("Projected ",E1+1," carryover (est.)")</f>
        <v>Projected 2015 carryover (est.)</v>
      </c>
      <c r="I79" s="842"/>
      <c r="J79" s="843"/>
    </row>
    <row r="80" spans="2:11" ht="16.5" thickBot="1" x14ac:dyDescent="0.3">
      <c r="B80" s="160"/>
      <c r="C80" s="981" t="str">
        <f>CONCATENATE("Amount of  ",$E$1-1," Ad Valorem Tax")</f>
        <v>Amount of  2013 Ad Valorem Tax</v>
      </c>
      <c r="D80" s="982"/>
      <c r="E80" s="754">
        <f>E78+E79</f>
        <v>0</v>
      </c>
      <c r="G80" s="2"/>
      <c r="H80" s="2"/>
      <c r="I80" s="2"/>
    </row>
    <row r="81" spans="2:10" ht="16.5" thickTop="1" x14ac:dyDescent="0.2">
      <c r="B81" s="36"/>
      <c r="C81" s="36"/>
      <c r="D81" s="36"/>
      <c r="E81" s="36"/>
      <c r="G81" s="974" t="s">
        <v>666</v>
      </c>
      <c r="H81" s="975"/>
      <c r="I81" s="975"/>
      <c r="J81" s="976"/>
    </row>
    <row r="82" spans="2:10" x14ac:dyDescent="0.2">
      <c r="B82" s="127" t="s">
        <v>869</v>
      </c>
      <c r="C82" s="273"/>
      <c r="D82" s="36"/>
      <c r="E82" s="36"/>
      <c r="G82" s="794"/>
      <c r="H82" s="795"/>
      <c r="I82" s="796"/>
      <c r="J82" s="797"/>
    </row>
    <row r="83" spans="2:10" x14ac:dyDescent="0.2">
      <c r="B83" s="87"/>
      <c r="G83" s="798" t="str">
        <f>summ!H27</f>
        <v xml:space="preserve">  </v>
      </c>
      <c r="H83" s="795" t="str">
        <f>CONCATENATE("",E1," Fund Mill Rate")</f>
        <v>2014 Fund Mill Rate</v>
      </c>
      <c r="I83" s="796"/>
      <c r="J83" s="797"/>
    </row>
    <row r="84" spans="2:10" x14ac:dyDescent="0.2">
      <c r="G84" s="799" t="str">
        <f>summ!E27</f>
        <v xml:space="preserve">  </v>
      </c>
      <c r="H84" s="795" t="str">
        <f>CONCATENATE("",E1-1," Fund Mill Rate")</f>
        <v>2013 Fund Mill Rate</v>
      </c>
      <c r="I84" s="796"/>
      <c r="J84" s="797"/>
    </row>
    <row r="85" spans="2:10" x14ac:dyDescent="0.2">
      <c r="G85" s="800">
        <f>summ!H52</f>
        <v>59.936</v>
      </c>
      <c r="H85" s="795" t="str">
        <f>CONCATENATE("Total ",E1," Mill Rate")</f>
        <v>Total 2014 Mill Rate</v>
      </c>
      <c r="I85" s="796"/>
      <c r="J85" s="797"/>
    </row>
    <row r="86" spans="2:10" x14ac:dyDescent="0.2">
      <c r="G86" s="799">
        <f>summ!E52</f>
        <v>58.256999999999998</v>
      </c>
      <c r="H86" s="801" t="str">
        <f>CONCATENATE("Total ",E1-1," Mill Rate")</f>
        <v>Total 2013 Mill Rate</v>
      </c>
      <c r="I86" s="802"/>
      <c r="J86" s="803"/>
    </row>
    <row r="94" spans="2:10" hidden="1" x14ac:dyDescent="0.2">
      <c r="C94" s="539" t="str">
        <f>IF(C33&gt;C35,"See Tab A","")</f>
        <v/>
      </c>
      <c r="D94" s="539" t="str">
        <f>IF(D31&gt;D35,"See Tab C","")</f>
        <v/>
      </c>
    </row>
    <row r="95" spans="2:10" hidden="1" x14ac:dyDescent="0.2">
      <c r="C95" s="539" t="str">
        <f>IF(C34&lt;0,"See Tab B","")</f>
        <v/>
      </c>
      <c r="D95" s="539" t="str">
        <f>IF(D34&lt;0,"See Tab D","")</f>
        <v/>
      </c>
    </row>
    <row r="96" spans="2:10" hidden="1" x14ac:dyDescent="0.2">
      <c r="C96" s="539" t="str">
        <f>IF(C71&gt;C75,"See Tab A","")</f>
        <v/>
      </c>
      <c r="D96" s="539" t="str">
        <f>IF(D71&gt;D75,"See Tab C","")</f>
        <v/>
      </c>
    </row>
    <row r="97" spans="3:4" hidden="1" x14ac:dyDescent="0.2">
      <c r="C97" s="539" t="str">
        <f>IF(C74&lt;0,"See Tab B","")</f>
        <v/>
      </c>
      <c r="D97" s="539" t="str">
        <f>IF(D74&lt;0,"See Tab D","")</f>
        <v/>
      </c>
    </row>
  </sheetData>
  <sheetProtection sheet="1"/>
  <mergeCells count="12">
    <mergeCell ref="C36:D36"/>
    <mergeCell ref="C37:D37"/>
    <mergeCell ref="C80:D80"/>
    <mergeCell ref="C40:D40"/>
    <mergeCell ref="C76:D76"/>
    <mergeCell ref="C77:D77"/>
    <mergeCell ref="G81:J81"/>
    <mergeCell ref="G24:J24"/>
    <mergeCell ref="G31:J31"/>
    <mergeCell ref="G41:J41"/>
    <mergeCell ref="G64:J64"/>
    <mergeCell ref="G71:J71"/>
  </mergeCells>
  <phoneticPr fontId="0" type="noConversion"/>
  <conditionalFormatting sqref="E31">
    <cfRule type="cellIs" dxfId="57" priority="3" stopIfTrue="1" operator="greaterThan">
      <formula>$E$33*0.1</formula>
    </cfRule>
  </conditionalFormatting>
  <conditionalFormatting sqref="E36">
    <cfRule type="cellIs" dxfId="56" priority="4" stopIfTrue="1" operator="greaterThan">
      <formula>$E$33/0.95-$E$33</formula>
    </cfRule>
  </conditionalFormatting>
  <conditionalFormatting sqref="E71">
    <cfRule type="cellIs" dxfId="55" priority="5" stopIfTrue="1" operator="greaterThan">
      <formula>$E$73*0.1</formula>
    </cfRule>
  </conditionalFormatting>
  <conditionalFormatting sqref="E76">
    <cfRule type="cellIs" dxfId="54" priority="6" stopIfTrue="1" operator="greaterThan">
      <formula>$E$73/0.95-$E$73</formula>
    </cfRule>
  </conditionalFormatting>
  <conditionalFormatting sqref="C31">
    <cfRule type="cellIs" dxfId="53" priority="7" stopIfTrue="1" operator="greaterThan">
      <formula>$C$33*0.1</formula>
    </cfRule>
  </conditionalFormatting>
  <conditionalFormatting sqref="D31">
    <cfRule type="cellIs" dxfId="52" priority="8" stopIfTrue="1" operator="greaterThan">
      <formula>$D$33*0.1</formula>
    </cfRule>
  </conditionalFormatting>
  <conditionalFormatting sqref="D33">
    <cfRule type="cellIs" dxfId="51" priority="9" stopIfTrue="1" operator="greaterThan">
      <formula>$C$35</formula>
    </cfRule>
  </conditionalFormatting>
  <conditionalFormatting sqref="C33">
    <cfRule type="cellIs" dxfId="50" priority="10" stopIfTrue="1" operator="greaterThan">
      <formula>$C$35</formula>
    </cfRule>
  </conditionalFormatting>
  <conditionalFormatting sqref="C34 C74">
    <cfRule type="cellIs" dxfId="49" priority="11" stopIfTrue="1" operator="lessThan">
      <formula>0</formula>
    </cfRule>
  </conditionalFormatting>
  <conditionalFormatting sqref="C71">
    <cfRule type="cellIs" dxfId="48" priority="12" stopIfTrue="1" operator="greaterThan">
      <formula>$C$73*0.1</formula>
    </cfRule>
  </conditionalFormatting>
  <conditionalFormatting sqref="D71">
    <cfRule type="cellIs" dxfId="47" priority="13" stopIfTrue="1" operator="greaterThan">
      <formula>$D$73*0.1</formula>
    </cfRule>
  </conditionalFormatting>
  <conditionalFormatting sqref="D73">
    <cfRule type="cellIs" dxfId="46" priority="14" stopIfTrue="1" operator="greaterThan">
      <formula>$C$75</formula>
    </cfRule>
  </conditionalFormatting>
  <conditionalFormatting sqref="C73">
    <cfRule type="cellIs" dxfId="45" priority="15" stopIfTrue="1" operator="greaterThan">
      <formula>$C$75</formula>
    </cfRule>
  </conditionalFormatting>
  <conditionalFormatting sqref="D18">
    <cfRule type="cellIs" dxfId="44" priority="16" stopIfTrue="1" operator="greaterThan">
      <formula>$D$20*0.1</formula>
    </cfRule>
  </conditionalFormatting>
  <conditionalFormatting sqref="C18">
    <cfRule type="cellIs" dxfId="43" priority="17" stopIfTrue="1" operator="greaterThan">
      <formula>$C$20*0.1</formula>
    </cfRule>
  </conditionalFormatting>
  <conditionalFormatting sqref="D58">
    <cfRule type="cellIs" dxfId="42" priority="18" stopIfTrue="1" operator="greaterThan">
      <formula>$D$60*0.1</formula>
    </cfRule>
  </conditionalFormatting>
  <conditionalFormatting sqref="C58">
    <cfRule type="cellIs" dxfId="41" priority="19" stopIfTrue="1" operator="greaterThan">
      <formula>$C$60*0.1</formula>
    </cfRule>
  </conditionalFormatting>
  <conditionalFormatting sqref="E58">
    <cfRule type="cellIs" dxfId="40" priority="20" stopIfTrue="1" operator="greaterThan">
      <formula>$E$60*0.1+E80</formula>
    </cfRule>
  </conditionalFormatting>
  <conditionalFormatting sqref="E18">
    <cfRule type="cellIs" dxfId="39" priority="21" stopIfTrue="1" operator="greaterThan">
      <formula>$E$20*0.1+E40</formula>
    </cfRule>
  </conditionalFormatting>
  <conditionalFormatting sqref="D74 D34">
    <cfRule type="cellIs" dxfId="38" priority="2" stopIfTrue="1" operator="lessThan">
      <formula>0</formula>
    </cfRule>
  </conditionalFormatting>
  <pageMargins left="0.5" right="0.5" top="1" bottom="0.5" header="0.5" footer="0.5"/>
  <pageSetup scale="58" orientation="portrait" blackAndWhite="1" horizontalDpi="120" verticalDpi="144"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6"/>
  <sheetViews>
    <sheetView zoomScaleNormal="100" workbookViewId="0">
      <selection activeCell="A30" sqref="A30"/>
    </sheetView>
  </sheetViews>
  <sheetFormatPr defaultRowHeight="15" x14ac:dyDescent="0.2"/>
  <cols>
    <col min="1" max="1" width="15.77734375" style="95" customWidth="1"/>
    <col min="2" max="2" width="20.77734375" style="95" customWidth="1"/>
    <col min="3" max="3" width="9.77734375" style="95" customWidth="1"/>
    <col min="4" max="4" width="15.109375" style="95" customWidth="1"/>
    <col min="5" max="5" width="15.77734375" style="95" customWidth="1"/>
    <col min="6" max="16384" width="8.88671875" style="95"/>
  </cols>
  <sheetData>
    <row r="1" spans="1:5" ht="15.75" x14ac:dyDescent="0.2">
      <c r="A1" s="165" t="str">
        <f>inputPrYr!$D$2</f>
        <v>City of Osawatomie</v>
      </c>
      <c r="B1" s="57"/>
      <c r="C1" s="57"/>
      <c r="D1" s="57"/>
      <c r="E1" s="164">
        <f>inputPrYr!C5</f>
        <v>2014</v>
      </c>
    </row>
    <row r="2" spans="1:5" x14ac:dyDescent="0.2">
      <c r="A2" s="57"/>
      <c r="B2" s="57"/>
      <c r="C2" s="57"/>
      <c r="D2" s="57"/>
      <c r="E2" s="57"/>
    </row>
    <row r="3" spans="1:5" ht="15.75" x14ac:dyDescent="0.2">
      <c r="A3" s="925" t="s">
        <v>1073</v>
      </c>
      <c r="B3" s="926"/>
      <c r="C3" s="926"/>
      <c r="D3" s="926"/>
      <c r="E3" s="926"/>
    </row>
    <row r="4" spans="1:5" x14ac:dyDescent="0.2">
      <c r="A4" s="57"/>
      <c r="B4" s="57"/>
      <c r="C4" s="57"/>
      <c r="D4" s="57"/>
      <c r="E4" s="57"/>
    </row>
    <row r="5" spans="1:5" ht="15.75" x14ac:dyDescent="0.2">
      <c r="A5" s="940" t="s">
        <v>492</v>
      </c>
      <c r="B5" s="941"/>
      <c r="C5" s="436"/>
      <c r="D5" s="440" t="s">
        <v>493</v>
      </c>
      <c r="E5" s="439" t="s">
        <v>494</v>
      </c>
    </row>
    <row r="6" spans="1:5" ht="15.75" x14ac:dyDescent="0.2">
      <c r="A6" s="436" t="s">
        <v>495</v>
      </c>
      <c r="B6" s="498"/>
      <c r="C6" s="438"/>
      <c r="D6" s="437" t="s">
        <v>488</v>
      </c>
      <c r="E6" s="497"/>
    </row>
    <row r="7" spans="1:5" x14ac:dyDescent="0.2">
      <c r="A7" s="57"/>
      <c r="B7" s="57"/>
      <c r="C7" s="57"/>
      <c r="D7" s="57"/>
      <c r="E7" s="57"/>
    </row>
    <row r="8" spans="1:5" ht="15.75" x14ac:dyDescent="0.2">
      <c r="A8" s="48" t="str">
        <f>CONCATENATE("From the County Clerks ",E1," Budget Information:")</f>
        <v>From the County Clerks 2014 Budget Information:</v>
      </c>
      <c r="B8" s="49"/>
      <c r="C8" s="36"/>
      <c r="D8" s="36"/>
      <c r="E8" s="86"/>
    </row>
    <row r="9" spans="1:5" ht="15.75" x14ac:dyDescent="0.2">
      <c r="A9" s="96" t="str">
        <f>CONCATENATE("Total Assessed Valuation for ",E1-1,"")</f>
        <v>Total Assessed Valuation for 2013</v>
      </c>
      <c r="B9" s="61"/>
      <c r="C9" s="61"/>
      <c r="D9" s="61"/>
      <c r="E9" s="56">
        <v>22522195</v>
      </c>
    </row>
    <row r="10" spans="1:5" ht="15.75" x14ac:dyDescent="0.2">
      <c r="A10" s="96" t="str">
        <f>CONCATENATE("New Improvements for ",E1-1,"")</f>
        <v>New Improvements for 2013</v>
      </c>
      <c r="B10" s="61"/>
      <c r="C10" s="61"/>
      <c r="D10" s="61"/>
      <c r="E10" s="97">
        <v>79936</v>
      </c>
    </row>
    <row r="11" spans="1:5" ht="15.75" x14ac:dyDescent="0.2">
      <c r="A11" s="96" t="str">
        <f>CONCATENATE("Personal Property excluding oil, gas, mobile homes - ",E1-1,"")</f>
        <v>Personal Property excluding oil, gas, mobile homes - 2013</v>
      </c>
      <c r="B11" s="61"/>
      <c r="C11" s="61"/>
      <c r="D11" s="61"/>
      <c r="E11" s="97">
        <v>305207</v>
      </c>
    </row>
    <row r="12" spans="1:5" ht="15.75" x14ac:dyDescent="0.2">
      <c r="A12" s="98" t="s">
        <v>1007</v>
      </c>
      <c r="B12" s="61"/>
      <c r="C12" s="61"/>
      <c r="D12" s="61"/>
      <c r="E12" s="76"/>
    </row>
    <row r="13" spans="1:5" ht="15.75" x14ac:dyDescent="0.2">
      <c r="A13" s="96" t="s">
        <v>964</v>
      </c>
      <c r="B13" s="61"/>
      <c r="C13" s="61"/>
      <c r="D13" s="61"/>
      <c r="E13" s="97">
        <v>0</v>
      </c>
    </row>
    <row r="14" spans="1:5" ht="15.75" x14ac:dyDescent="0.2">
      <c r="A14" s="96" t="s">
        <v>965</v>
      </c>
      <c r="B14" s="61"/>
      <c r="C14" s="61"/>
      <c r="D14" s="61"/>
      <c r="E14" s="97">
        <v>0</v>
      </c>
    </row>
    <row r="15" spans="1:5" ht="15.75" x14ac:dyDescent="0.2">
      <c r="A15" s="96" t="s">
        <v>966</v>
      </c>
      <c r="B15" s="61"/>
      <c r="C15" s="61"/>
      <c r="D15" s="61"/>
      <c r="E15" s="97">
        <v>0</v>
      </c>
    </row>
    <row r="16" spans="1:5" ht="15.75" x14ac:dyDescent="0.2">
      <c r="A16" s="96" t="str">
        <f>CONCATENATE("Property that has changed in use for ",E1-1,"")</f>
        <v>Property that has changed in use for 2013</v>
      </c>
      <c r="B16" s="61"/>
      <c r="C16" s="61"/>
      <c r="D16" s="61"/>
      <c r="E16" s="97">
        <v>0</v>
      </c>
    </row>
    <row r="17" spans="1:5" ht="15.75" x14ac:dyDescent="0.2">
      <c r="A17" s="96" t="str">
        <f>CONCATENATE("Personal Property  excluding oil, gas, mobile homes- ",E1-2,"")</f>
        <v>Personal Property  excluding oil, gas, mobile homes- 2012</v>
      </c>
      <c r="B17" s="61"/>
      <c r="C17" s="61"/>
      <c r="D17" s="61"/>
      <c r="E17" s="56">
        <v>309589</v>
      </c>
    </row>
    <row r="18" spans="1:5" ht="15.75" x14ac:dyDescent="0.2">
      <c r="A18" s="96" t="str">
        <f>CONCATENATE("Gross earnings (intangible) tax estimate for ",E1,"")</f>
        <v>Gross earnings (intangible) tax estimate for 2014</v>
      </c>
      <c r="B18" s="61"/>
      <c r="C18" s="61"/>
      <c r="D18" s="82"/>
      <c r="E18" s="56">
        <v>0</v>
      </c>
    </row>
    <row r="19" spans="1:5" ht="15.75" x14ac:dyDescent="0.2">
      <c r="A19" s="96" t="s">
        <v>1008</v>
      </c>
      <c r="B19" s="61"/>
      <c r="C19" s="61"/>
      <c r="D19" s="61"/>
      <c r="E19" s="92">
        <v>0</v>
      </c>
    </row>
    <row r="20" spans="1:5" ht="15.75" x14ac:dyDescent="0.2">
      <c r="A20" s="64"/>
      <c r="B20" s="65"/>
      <c r="C20" s="65"/>
      <c r="D20" s="65"/>
      <c r="E20" s="73"/>
    </row>
    <row r="21" spans="1:5" ht="15.75" x14ac:dyDescent="0.2">
      <c r="A21" s="64" t="str">
        <f>CONCATENATE("Actual Tax Rates for the ",E1-1," Budget:")</f>
        <v>Actual Tax Rates for the 2013 Budget:</v>
      </c>
      <c r="B21" s="65"/>
      <c r="C21" s="65"/>
      <c r="D21" s="65"/>
      <c r="E21" s="73"/>
    </row>
    <row r="22" spans="1:5" ht="15.75" x14ac:dyDescent="0.2">
      <c r="A22" s="934" t="s">
        <v>836</v>
      </c>
      <c r="B22" s="935"/>
      <c r="C22" s="57"/>
      <c r="D22" s="99" t="s">
        <v>890</v>
      </c>
      <c r="E22" s="73"/>
    </row>
    <row r="23" spans="1:5" ht="15.75" x14ac:dyDescent="0.2">
      <c r="A23" s="59" t="s">
        <v>820</v>
      </c>
      <c r="B23" s="60"/>
      <c r="C23" s="65"/>
      <c r="D23" s="100">
        <v>25.375</v>
      </c>
      <c r="E23" s="73"/>
    </row>
    <row r="24" spans="1:5" ht="15.75" x14ac:dyDescent="0.2">
      <c r="A24" s="96" t="s">
        <v>791</v>
      </c>
      <c r="B24" s="61"/>
      <c r="C24" s="65"/>
      <c r="D24" s="101">
        <v>10.449</v>
      </c>
      <c r="E24" s="73"/>
    </row>
    <row r="25" spans="1:5" ht="15.75" x14ac:dyDescent="0.2">
      <c r="A25" s="96" t="str">
        <f>IF(inputPrYr!B19&gt;" ",(inputPrYr!B19)," ")</f>
        <v>Library</v>
      </c>
      <c r="B25" s="61"/>
      <c r="C25" s="65"/>
      <c r="D25" s="101"/>
      <c r="E25" s="73"/>
    </row>
    <row r="26" spans="1:5" ht="15.75" x14ac:dyDescent="0.2">
      <c r="A26" s="96" t="str">
        <f>IF(inputPrYr!B21&gt;" ",(inputPrYr!B21)," ")</f>
        <v>Industrial</v>
      </c>
      <c r="B26" s="61"/>
      <c r="C26" s="65"/>
      <c r="D26" s="101"/>
      <c r="E26" s="73"/>
    </row>
    <row r="27" spans="1:5" ht="15.75" x14ac:dyDescent="0.2">
      <c r="A27" s="96" t="str">
        <f>IF(inputPrYr!B22&gt;" ",(inputPrYr!B22)," ")</f>
        <v>Employee Benefits</v>
      </c>
      <c r="B27" s="61"/>
      <c r="C27" s="65"/>
      <c r="D27" s="101">
        <v>22.433</v>
      </c>
      <c r="E27" s="73"/>
    </row>
    <row r="28" spans="1:5" ht="15.75" x14ac:dyDescent="0.2">
      <c r="A28" s="96" t="str">
        <f>IF(inputPrYr!B23&gt;" ",(inputPrYr!B23)," ")</f>
        <v>Public Safety Equipment</v>
      </c>
      <c r="B28" s="61"/>
      <c r="C28" s="65"/>
      <c r="D28" s="101"/>
      <c r="E28" s="73"/>
    </row>
    <row r="29" spans="1:5" ht="15.75" x14ac:dyDescent="0.2">
      <c r="A29" s="96" t="str">
        <f>IF(inputPrYr!B24&gt;" ",(inputPrYr!B24)," ")</f>
        <v>Recreation Employee Benefits</v>
      </c>
      <c r="B29" s="102"/>
      <c r="C29" s="65"/>
      <c r="D29" s="103"/>
      <c r="E29" s="73"/>
    </row>
    <row r="30" spans="1:5" ht="15.75" x14ac:dyDescent="0.2">
      <c r="A30" s="96" t="str">
        <f>IF(inputPrYr!B25&gt;" ",(inputPrYr!B25)," ")</f>
        <v xml:space="preserve"> </v>
      </c>
      <c r="B30" s="102"/>
      <c r="C30" s="65"/>
      <c r="D30" s="103"/>
      <c r="E30" s="73"/>
    </row>
    <row r="31" spans="1:5" ht="15.75" x14ac:dyDescent="0.2">
      <c r="A31" s="96" t="str">
        <f>IF(inputPrYr!B26&gt;" ",(inputPrYr!B26)," ")</f>
        <v xml:space="preserve"> </v>
      </c>
      <c r="B31" s="102"/>
      <c r="C31" s="65"/>
      <c r="D31" s="103"/>
      <c r="E31" s="73"/>
    </row>
    <row r="32" spans="1:5" ht="15.75" x14ac:dyDescent="0.2">
      <c r="A32" s="96" t="str">
        <f>IF(inputPrYr!B27&gt;" ",(inputPrYr!B27)," ")</f>
        <v xml:space="preserve"> </v>
      </c>
      <c r="B32" s="102"/>
      <c r="C32" s="65"/>
      <c r="D32" s="103"/>
      <c r="E32" s="73"/>
    </row>
    <row r="33" spans="1:5" ht="15.75" x14ac:dyDescent="0.2">
      <c r="A33" s="96" t="str">
        <f>IF(inputPrYr!B28&gt;" ",(inputPrYr!B28)," ")</f>
        <v xml:space="preserve"> </v>
      </c>
      <c r="B33" s="102"/>
      <c r="C33" s="65"/>
      <c r="D33" s="103"/>
      <c r="E33" s="73"/>
    </row>
    <row r="34" spans="1:5" ht="15.75" x14ac:dyDescent="0.2">
      <c r="A34" s="96" t="str">
        <f>IF(inputPrYr!B29&gt;" ",(inputPrYr!B29)," ")</f>
        <v xml:space="preserve"> </v>
      </c>
      <c r="B34" s="102"/>
      <c r="C34" s="65"/>
      <c r="D34" s="103"/>
      <c r="E34" s="73"/>
    </row>
    <row r="35" spans="1:5" ht="15.75" x14ac:dyDescent="0.2">
      <c r="A35" s="96" t="str">
        <f>IF(inputPrYr!B30&gt;" ",(inputPrYr!B30)," ")</f>
        <v xml:space="preserve"> </v>
      </c>
      <c r="B35" s="102"/>
      <c r="C35" s="65"/>
      <c r="D35" s="103"/>
      <c r="E35" s="73"/>
    </row>
    <row r="36" spans="1:5" ht="15.75" x14ac:dyDescent="0.2">
      <c r="A36" s="96" t="str">
        <f>inputPrYr!B33</f>
        <v>Recreation</v>
      </c>
      <c r="B36" s="102"/>
      <c r="C36" s="65"/>
      <c r="D36" s="103"/>
      <c r="E36" s="73"/>
    </row>
    <row r="37" spans="1:5" ht="15.75" x14ac:dyDescent="0.2">
      <c r="A37" s="104"/>
      <c r="B37" s="54" t="s">
        <v>822</v>
      </c>
      <c r="C37" s="105"/>
      <c r="D37" s="106">
        <f>SUM(D23:D36)</f>
        <v>58.256999999999998</v>
      </c>
      <c r="E37" s="104"/>
    </row>
    <row r="38" spans="1:5" x14ac:dyDescent="0.2">
      <c r="A38" s="104"/>
      <c r="B38" s="104"/>
      <c r="C38" s="104"/>
      <c r="D38" s="104"/>
      <c r="E38" s="104"/>
    </row>
    <row r="39" spans="1:5" ht="15.75" x14ac:dyDescent="0.2">
      <c r="A39" s="60" t="str">
        <f>CONCATENATE("Final Assessed Valuation from the November 1, ",E1-2," Abstract")</f>
        <v>Final Assessed Valuation from the November 1, 2012 Abstract</v>
      </c>
      <c r="B39" s="107"/>
      <c r="C39" s="107"/>
      <c r="D39" s="107"/>
      <c r="E39" s="92">
        <v>22720472</v>
      </c>
    </row>
    <row r="40" spans="1:5" x14ac:dyDescent="0.2">
      <c r="A40" s="104"/>
      <c r="B40" s="104"/>
      <c r="C40" s="104"/>
      <c r="D40" s="104"/>
      <c r="E40" s="104"/>
    </row>
    <row r="41" spans="1:5" ht="15.75" x14ac:dyDescent="0.2">
      <c r="A41" s="108" t="str">
        <f>CONCATENATE("From the County Treasurer's Budget Information - ",E1," Budget Year Estimates:")</f>
        <v>From the County Treasurer's Budget Information - 2014 Budget Year Estimates:</v>
      </c>
      <c r="B41" s="47"/>
      <c r="C41" s="47"/>
      <c r="D41" s="109"/>
      <c r="E41" s="86"/>
    </row>
    <row r="42" spans="1:5" ht="15.75" x14ac:dyDescent="0.2">
      <c r="A42" s="59" t="s">
        <v>823</v>
      </c>
      <c r="B42" s="60"/>
      <c r="C42" s="60"/>
      <c r="D42" s="110"/>
      <c r="E42" s="56">
        <v>128421.31</v>
      </c>
    </row>
    <row r="43" spans="1:5" ht="15.75" x14ac:dyDescent="0.2">
      <c r="A43" s="96" t="s">
        <v>824</v>
      </c>
      <c r="B43" s="61"/>
      <c r="C43" s="61"/>
      <c r="D43" s="111"/>
      <c r="E43" s="56">
        <v>1843.93</v>
      </c>
    </row>
    <row r="44" spans="1:5" ht="15.75" x14ac:dyDescent="0.2">
      <c r="A44" s="96" t="s">
        <v>1009</v>
      </c>
      <c r="B44" s="61"/>
      <c r="C44" s="61"/>
      <c r="D44" s="111"/>
      <c r="E44" s="56">
        <v>999.25</v>
      </c>
    </row>
    <row r="45" spans="1:5" ht="15.75" x14ac:dyDescent="0.2">
      <c r="A45" s="96" t="s">
        <v>1010</v>
      </c>
      <c r="B45" s="61"/>
      <c r="C45" s="61"/>
      <c r="D45" s="111"/>
      <c r="E45" s="56">
        <v>0</v>
      </c>
    </row>
    <row r="46" spans="1:5" ht="15.75" x14ac:dyDescent="0.2">
      <c r="A46" s="96" t="s">
        <v>1011</v>
      </c>
      <c r="B46" s="61"/>
      <c r="C46" s="61"/>
      <c r="D46" s="111"/>
      <c r="E46" s="56">
        <v>0</v>
      </c>
    </row>
    <row r="47" spans="1:5" ht="15.75" x14ac:dyDescent="0.2">
      <c r="A47" s="36" t="s">
        <v>1012</v>
      </c>
      <c r="B47" s="36"/>
      <c r="C47" s="36"/>
      <c r="D47" s="36"/>
      <c r="E47" s="36"/>
    </row>
    <row r="48" spans="1:5" ht="15.75" x14ac:dyDescent="0.2">
      <c r="A48" s="35" t="s">
        <v>844</v>
      </c>
      <c r="B48" s="45"/>
      <c r="C48" s="45"/>
      <c r="D48" s="36"/>
      <c r="E48" s="36"/>
    </row>
    <row r="49" spans="1:5" ht="15.75" x14ac:dyDescent="0.2">
      <c r="A49" s="59" t="str">
        <f>CONCATENATE("Actual Delinquency for ",E1-3," Tax - (rate .01213 = 1.213%, key in 1.2)")</f>
        <v>Actual Delinquency for 2011 Tax - (rate .01213 = 1.213%, key in 1.2)</v>
      </c>
      <c r="B49" s="60"/>
      <c r="C49" s="60"/>
      <c r="D49" s="70"/>
      <c r="E49" s="764">
        <v>3.5263000000000003E-2</v>
      </c>
    </row>
    <row r="50" spans="1:5" ht="15.75" x14ac:dyDescent="0.2">
      <c r="A50" s="59" t="s">
        <v>761</v>
      </c>
      <c r="B50" s="59"/>
      <c r="C50" s="60"/>
      <c r="D50" s="60"/>
      <c r="E50" s="765">
        <v>0.05</v>
      </c>
    </row>
    <row r="51" spans="1:5" ht="15.75" x14ac:dyDescent="0.2">
      <c r="A51" s="36"/>
      <c r="B51" s="36"/>
      <c r="C51" s="36"/>
      <c r="D51" s="36"/>
      <c r="E51" s="36"/>
    </row>
    <row r="52" spans="1:5" ht="15.75" x14ac:dyDescent="0.2">
      <c r="A52" s="112" t="s">
        <v>721</v>
      </c>
      <c r="B52" s="113"/>
      <c r="C52" s="114"/>
      <c r="D52" s="114"/>
      <c r="E52" s="114"/>
    </row>
    <row r="53" spans="1:5" ht="15.75" x14ac:dyDescent="0.2">
      <c r="A53" s="115" t="str">
        <f>CONCATENATE("",E1," State Distribution for Kansas Gas Tax")</f>
        <v>2014 State Distribution for Kansas Gas Tax</v>
      </c>
      <c r="B53" s="116"/>
      <c r="C53" s="116"/>
      <c r="D53" s="117"/>
      <c r="E53" s="92">
        <v>115590</v>
      </c>
    </row>
    <row r="54" spans="1:5" ht="15.75" x14ac:dyDescent="0.2">
      <c r="A54" s="118" t="str">
        <f>CONCATENATE("",E1," County Transfers for Gas**")</f>
        <v>2014 County Transfers for Gas**</v>
      </c>
      <c r="B54" s="119"/>
      <c r="C54" s="119"/>
      <c r="D54" s="120"/>
      <c r="E54" s="92"/>
    </row>
    <row r="55" spans="1:5" ht="15.75" x14ac:dyDescent="0.2">
      <c r="A55" s="118" t="str">
        <f>CONCATENATE("Adjusted ",E1-1," State Distribution for Kansas Gas Tax")</f>
        <v>Adjusted 2013 State Distribution for Kansas Gas Tax</v>
      </c>
      <c r="B55" s="119"/>
      <c r="C55" s="119"/>
      <c r="D55" s="120"/>
      <c r="E55" s="92">
        <v>111580</v>
      </c>
    </row>
    <row r="56" spans="1:5" ht="15.75" x14ac:dyDescent="0.2">
      <c r="A56" s="118" t="str">
        <f>CONCATENATE("Adjusted ",E1-1," County Transfers for Gas**")</f>
        <v>Adjusted 2013 County Transfers for Gas**</v>
      </c>
      <c r="B56" s="119"/>
      <c r="C56" s="119"/>
      <c r="D56" s="120"/>
      <c r="E56" s="92"/>
    </row>
    <row r="57" spans="1:5" x14ac:dyDescent="0.2">
      <c r="A57" s="936" t="s">
        <v>1068</v>
      </c>
      <c r="B57" s="937"/>
      <c r="C57" s="937"/>
      <c r="D57" s="937"/>
      <c r="E57" s="937"/>
    </row>
    <row r="58" spans="1:5" x14ac:dyDescent="0.2">
      <c r="A58" s="121" t="s">
        <v>1069</v>
      </c>
      <c r="B58" s="121"/>
      <c r="C58" s="121"/>
      <c r="D58" s="121"/>
      <c r="E58" s="121"/>
    </row>
    <row r="59" spans="1:5" x14ac:dyDescent="0.2">
      <c r="A59" s="57"/>
      <c r="B59" s="57"/>
      <c r="C59" s="57"/>
      <c r="D59" s="57"/>
      <c r="E59" s="57"/>
    </row>
    <row r="60" spans="1:5" ht="15.75" x14ac:dyDescent="0.2">
      <c r="A60" s="938" t="str">
        <f>CONCATENATE("From the ",E1-2," Budget Certificate Page")</f>
        <v>From the 2012 Budget Certificate Page</v>
      </c>
      <c r="B60" s="939"/>
      <c r="C60" s="57"/>
      <c r="D60" s="57"/>
      <c r="E60" s="57"/>
    </row>
    <row r="61" spans="1:5" ht="15.75" x14ac:dyDescent="0.2">
      <c r="A61" s="122"/>
      <c r="B61" s="122" t="str">
        <f>CONCATENATE("",E1-2," Expenditure Amounts")</f>
        <v>2012 Expenditure Amounts</v>
      </c>
      <c r="C61" s="932" t="str">
        <f>CONCATENATE("Note: If the ",E1-2," budget was amended, then the")</f>
        <v>Note: If the 2012 budget was amended, then the</v>
      </c>
      <c r="D61" s="933"/>
      <c r="E61" s="933"/>
    </row>
    <row r="62" spans="1:5" ht="15.75" x14ac:dyDescent="0.2">
      <c r="A62" s="123" t="s">
        <v>725</v>
      </c>
      <c r="B62" s="123" t="s">
        <v>726</v>
      </c>
      <c r="C62" s="124" t="s">
        <v>727</v>
      </c>
      <c r="D62" s="125"/>
      <c r="E62" s="125"/>
    </row>
    <row r="63" spans="1:5" ht="15.75" x14ac:dyDescent="0.2">
      <c r="A63" s="126" t="str">
        <f>inputPrYr!B17</f>
        <v>General</v>
      </c>
      <c r="B63" s="92">
        <v>2291543</v>
      </c>
      <c r="C63" s="124" t="s">
        <v>728</v>
      </c>
      <c r="D63" s="125"/>
      <c r="E63" s="125"/>
    </row>
    <row r="64" spans="1:5" ht="15.75" x14ac:dyDescent="0.2">
      <c r="A64" s="126" t="str">
        <f>inputPrYr!B18</f>
        <v>Bond &amp; Interest</v>
      </c>
      <c r="B64" s="92">
        <v>565000</v>
      </c>
      <c r="C64" s="124"/>
      <c r="D64" s="125"/>
      <c r="E64" s="125"/>
    </row>
    <row r="65" spans="1:5" ht="15.75" x14ac:dyDescent="0.2">
      <c r="A65" s="126" t="str">
        <f>inputPrYr!B19</f>
        <v>Library</v>
      </c>
      <c r="B65" s="92">
        <v>109551</v>
      </c>
      <c r="C65" s="124"/>
      <c r="D65" s="125"/>
      <c r="E65" s="125"/>
    </row>
    <row r="66" spans="1:5" ht="15.75" x14ac:dyDescent="0.2">
      <c r="A66" s="126" t="str">
        <f>inputPrYr!B21</f>
        <v>Industrial</v>
      </c>
      <c r="B66" s="92">
        <v>12000</v>
      </c>
      <c r="C66" s="57"/>
      <c r="D66" s="57"/>
      <c r="E66" s="57"/>
    </row>
    <row r="67" spans="1:5" ht="15.75" x14ac:dyDescent="0.2">
      <c r="A67" s="126" t="str">
        <f>inputPrYr!B22</f>
        <v>Employee Benefits</v>
      </c>
      <c r="B67" s="92">
        <v>610000</v>
      </c>
      <c r="C67" s="57"/>
      <c r="D67" s="57"/>
      <c r="E67" s="57"/>
    </row>
    <row r="68" spans="1:5" ht="15.75" x14ac:dyDescent="0.2">
      <c r="A68" s="126" t="str">
        <f>inputPrYr!B23</f>
        <v>Public Safety Equipment</v>
      </c>
      <c r="B68" s="92">
        <v>9520</v>
      </c>
      <c r="C68" s="57"/>
      <c r="D68" s="57"/>
      <c r="E68" s="57"/>
    </row>
    <row r="69" spans="1:5" ht="15.75" x14ac:dyDescent="0.2">
      <c r="A69" s="126" t="str">
        <f>inputPrYr!B24</f>
        <v>Recreation Employee Benefits</v>
      </c>
      <c r="B69" s="92">
        <v>13500</v>
      </c>
      <c r="C69" s="57"/>
      <c r="D69" s="57"/>
      <c r="E69" s="57"/>
    </row>
    <row r="70" spans="1:5" ht="15.75" x14ac:dyDescent="0.2">
      <c r="A70" s="126">
        <f>inputPrYr!B25</f>
        <v>0</v>
      </c>
      <c r="B70" s="92"/>
      <c r="C70" s="57"/>
      <c r="D70" s="57"/>
      <c r="E70" s="57"/>
    </row>
    <row r="71" spans="1:5" ht="15.75" x14ac:dyDescent="0.2">
      <c r="A71" s="126">
        <f>inputPrYr!B26</f>
        <v>0</v>
      </c>
      <c r="B71" s="92"/>
      <c r="C71" s="57"/>
      <c r="D71" s="57"/>
      <c r="E71" s="57"/>
    </row>
    <row r="72" spans="1:5" ht="15.75" x14ac:dyDescent="0.2">
      <c r="A72" s="126">
        <f>inputPrYr!B27</f>
        <v>0</v>
      </c>
      <c r="B72" s="92"/>
      <c r="C72" s="57"/>
      <c r="D72" s="57"/>
      <c r="E72" s="57"/>
    </row>
    <row r="73" spans="1:5" ht="15.75" x14ac:dyDescent="0.2">
      <c r="A73" s="126">
        <f>inputPrYr!B28</f>
        <v>0</v>
      </c>
      <c r="B73" s="92"/>
      <c r="C73" s="57"/>
      <c r="D73" s="57"/>
      <c r="E73" s="57"/>
    </row>
    <row r="74" spans="1:5" ht="15.75" x14ac:dyDescent="0.2">
      <c r="A74" s="126">
        <f>inputPrYr!B29</f>
        <v>0</v>
      </c>
      <c r="B74" s="92"/>
      <c r="C74" s="57"/>
      <c r="D74" s="57"/>
      <c r="E74" s="57"/>
    </row>
    <row r="75" spans="1:5" ht="15.75" x14ac:dyDescent="0.2">
      <c r="A75" s="126">
        <f>inputPrYr!B30</f>
        <v>0</v>
      </c>
      <c r="B75" s="92"/>
      <c r="C75" s="57"/>
      <c r="D75" s="57"/>
      <c r="E75" s="57"/>
    </row>
    <row r="76" spans="1:5" ht="15.75" x14ac:dyDescent="0.2">
      <c r="A76" s="126" t="str">
        <f>inputPrYr!B33</f>
        <v>Recreation</v>
      </c>
      <c r="B76" s="92">
        <v>174829</v>
      </c>
      <c r="C76" s="57"/>
      <c r="D76" s="57"/>
      <c r="E76" s="57"/>
    </row>
    <row r="77" spans="1:5" ht="15.75" x14ac:dyDescent="0.2">
      <c r="A77" s="126" t="str">
        <f>inputPrYr!B36</f>
        <v>Street Improvements</v>
      </c>
      <c r="B77" s="92">
        <v>120500</v>
      </c>
      <c r="C77" s="57"/>
      <c r="D77" s="57"/>
      <c r="E77" s="57"/>
    </row>
    <row r="78" spans="1:5" ht="15.75" x14ac:dyDescent="0.2">
      <c r="A78" s="126" t="str">
        <f>inputPrYr!B37</f>
        <v>Refuse</v>
      </c>
      <c r="B78" s="92">
        <v>376700</v>
      </c>
      <c r="C78" s="57"/>
      <c r="D78" s="57"/>
      <c r="E78" s="57"/>
    </row>
    <row r="79" spans="1:5" ht="15.75" x14ac:dyDescent="0.2">
      <c r="A79" s="126" t="str">
        <f>inputPrYr!B38</f>
        <v>Golf Course</v>
      </c>
      <c r="B79" s="92">
        <v>282892</v>
      </c>
      <c r="C79" s="57"/>
      <c r="D79" s="57"/>
      <c r="E79" s="57"/>
    </row>
    <row r="80" spans="1:5" ht="15.75" x14ac:dyDescent="0.2">
      <c r="A80" s="126" t="str">
        <f>inputPrYr!B39</f>
        <v>Special Revenue (911)</v>
      </c>
      <c r="B80" s="92">
        <v>9897</v>
      </c>
      <c r="C80" s="57"/>
      <c r="D80" s="57"/>
      <c r="E80" s="57"/>
    </row>
    <row r="81" spans="1:5" ht="15.75" x14ac:dyDescent="0.2">
      <c r="A81" s="126" t="str">
        <f>inputPrYr!B40</f>
        <v>Tourism</v>
      </c>
      <c r="B81" s="92">
        <v>48000</v>
      </c>
      <c r="C81" s="57"/>
      <c r="D81" s="57"/>
      <c r="E81" s="57"/>
    </row>
    <row r="82" spans="1:5" ht="15.75" x14ac:dyDescent="0.2">
      <c r="A82" s="126">
        <f>inputPrYr!B41</f>
        <v>0</v>
      </c>
      <c r="B82" s="92"/>
      <c r="C82" s="57"/>
      <c r="D82" s="57"/>
      <c r="E82" s="57"/>
    </row>
    <row r="83" spans="1:5" ht="15.75" x14ac:dyDescent="0.2">
      <c r="A83" s="126">
        <f>inputPrYr!B42</f>
        <v>0</v>
      </c>
      <c r="B83" s="92"/>
      <c r="C83" s="57"/>
      <c r="D83" s="57"/>
      <c r="E83" s="57"/>
    </row>
    <row r="84" spans="1:5" ht="15.75" x14ac:dyDescent="0.2">
      <c r="A84" s="126">
        <f>inputPrYr!B43</f>
        <v>0</v>
      </c>
      <c r="B84" s="92"/>
      <c r="C84" s="57"/>
      <c r="D84" s="57"/>
      <c r="E84" s="57"/>
    </row>
    <row r="85" spans="1:5" ht="15.75" x14ac:dyDescent="0.2">
      <c r="A85" s="126">
        <f>inputPrYr!B44</f>
        <v>0</v>
      </c>
      <c r="B85" s="92"/>
      <c r="C85" s="57"/>
      <c r="D85" s="57"/>
      <c r="E85" s="57"/>
    </row>
    <row r="86" spans="1:5" ht="15.75" x14ac:dyDescent="0.2">
      <c r="A86" s="126">
        <f>inputPrYr!B45</f>
        <v>0</v>
      </c>
      <c r="B86" s="92"/>
      <c r="C86" s="57"/>
      <c r="D86" s="57"/>
      <c r="E86" s="57"/>
    </row>
    <row r="87" spans="1:5" ht="15.75" x14ac:dyDescent="0.2">
      <c r="A87" s="126">
        <f>inputPrYr!B46</f>
        <v>0</v>
      </c>
      <c r="B87" s="92"/>
      <c r="C87" s="57"/>
      <c r="D87" s="57"/>
      <c r="E87" s="57"/>
    </row>
    <row r="88" spans="1:5" ht="15.75" x14ac:dyDescent="0.2">
      <c r="A88" s="126">
        <f>inputPrYr!B47</f>
        <v>0</v>
      </c>
      <c r="B88" s="92"/>
      <c r="C88" s="57"/>
      <c r="D88" s="57"/>
      <c r="E88" s="57"/>
    </row>
    <row r="89" spans="1:5" ht="15.75" x14ac:dyDescent="0.2">
      <c r="A89" s="126">
        <f>inputPrYr!B48</f>
        <v>0</v>
      </c>
      <c r="B89" s="92"/>
      <c r="C89" s="57"/>
      <c r="D89" s="57"/>
      <c r="E89" s="57"/>
    </row>
    <row r="90" spans="1:5" ht="15.75" x14ac:dyDescent="0.2">
      <c r="A90" s="126">
        <f>inputPrYr!B49</f>
        <v>0</v>
      </c>
      <c r="B90" s="92"/>
      <c r="C90" s="57"/>
      <c r="D90" s="57"/>
      <c r="E90" s="57"/>
    </row>
    <row r="91" spans="1:5" ht="15.75" x14ac:dyDescent="0.2">
      <c r="A91" s="126">
        <f>inputPrYr!B50</f>
        <v>0</v>
      </c>
      <c r="B91" s="92"/>
      <c r="C91" s="57"/>
      <c r="D91" s="57"/>
      <c r="E91" s="57"/>
    </row>
    <row r="92" spans="1:5" ht="15.75" x14ac:dyDescent="0.2">
      <c r="A92" s="126">
        <f>inputPrYr!B51</f>
        <v>0</v>
      </c>
      <c r="B92" s="92"/>
      <c r="C92" s="57"/>
      <c r="D92" s="57"/>
      <c r="E92" s="57"/>
    </row>
    <row r="93" spans="1:5" ht="15.75" x14ac:dyDescent="0.2">
      <c r="A93" s="126" t="str">
        <f>inputPrYr!B53</f>
        <v>Water</v>
      </c>
      <c r="B93" s="92">
        <v>832025</v>
      </c>
      <c r="C93" s="57"/>
      <c r="D93" s="57"/>
      <c r="E93" s="57"/>
    </row>
    <row r="94" spans="1:5" ht="15.75" x14ac:dyDescent="0.2">
      <c r="A94" s="126" t="str">
        <f>inputPrYr!B54</f>
        <v>Electric</v>
      </c>
      <c r="B94" s="92">
        <v>3765012</v>
      </c>
      <c r="C94" s="57"/>
      <c r="D94" s="57"/>
      <c r="E94" s="57"/>
    </row>
    <row r="95" spans="1:5" ht="15.75" x14ac:dyDescent="0.2">
      <c r="A95" s="126" t="str">
        <f>inputPrYr!B55</f>
        <v>Sewer</v>
      </c>
      <c r="B95" s="92">
        <v>837988</v>
      </c>
      <c r="C95" s="57"/>
      <c r="D95" s="57"/>
      <c r="E95" s="57"/>
    </row>
    <row r="96" spans="1:5" ht="15.75" x14ac:dyDescent="0.2">
      <c r="A96" s="126" t="str">
        <f>inputPrYr!B56</f>
        <v>Special Parks &amp; Recreation</v>
      </c>
      <c r="B96" s="92">
        <v>265000</v>
      </c>
      <c r="C96" s="57"/>
      <c r="D96" s="57"/>
      <c r="E96" s="57"/>
    </row>
  </sheetData>
  <sheetProtection sheet="1"/>
  <mergeCells count="6">
    <mergeCell ref="C61:E61"/>
    <mergeCell ref="A22:B22"/>
    <mergeCell ref="A57:E57"/>
    <mergeCell ref="A3:E3"/>
    <mergeCell ref="A60:B60"/>
    <mergeCell ref="A5:B5"/>
  </mergeCells>
  <phoneticPr fontId="9" type="noConversion"/>
  <pageMargins left="0.75" right="0.75" top="1" bottom="1" header="0.5" footer="0.5"/>
  <pageSetup scale="44"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4"/>
  <sheetViews>
    <sheetView view="pageBreakPreview" zoomScale="60" zoomScaleNormal="100" workbookViewId="0">
      <selection activeCell="C12" sqref="C12"/>
    </sheetView>
  </sheetViews>
  <sheetFormatPr defaultRowHeight="15" x14ac:dyDescent="0.2"/>
  <cols>
    <col min="1" max="1" width="2.44140625" style="95" customWidth="1"/>
    <col min="2" max="2" width="31.109375" style="95" customWidth="1"/>
    <col min="3" max="4" width="15.77734375" style="95" customWidth="1"/>
    <col min="5" max="5" width="16.33203125" style="95" customWidth="1"/>
    <col min="6" max="16384" width="8.88671875" style="95"/>
  </cols>
  <sheetData>
    <row r="1" spans="2:5" ht="15.75" x14ac:dyDescent="0.2">
      <c r="B1" s="188" t="str">
        <f>(inputPrYr!D2)</f>
        <v>City of Osawatomie</v>
      </c>
      <c r="C1" s="36"/>
      <c r="D1" s="36"/>
      <c r="E1" s="209">
        <f>inputPrYr!$C$5</f>
        <v>2014</v>
      </c>
    </row>
    <row r="2" spans="2:5" ht="15.75" x14ac:dyDescent="0.2">
      <c r="B2" s="36"/>
      <c r="C2" s="36"/>
      <c r="D2" s="36"/>
      <c r="E2" s="160"/>
    </row>
    <row r="3" spans="2:5" ht="15.75" x14ac:dyDescent="0.2">
      <c r="B3" s="239" t="s">
        <v>918</v>
      </c>
      <c r="C3" s="288"/>
      <c r="D3" s="288"/>
      <c r="E3" s="289"/>
    </row>
    <row r="4" spans="2:5" ht="15.75" x14ac:dyDescent="0.2">
      <c r="B4" s="41" t="s">
        <v>850</v>
      </c>
      <c r="C4" s="418" t="s">
        <v>662</v>
      </c>
      <c r="D4" s="417" t="s">
        <v>663</v>
      </c>
      <c r="E4" s="394" t="s">
        <v>664</v>
      </c>
    </row>
    <row r="5" spans="2:5" ht="15.75" x14ac:dyDescent="0.2">
      <c r="B5" s="544" t="str">
        <f>(inputPrYr!B53)</f>
        <v>Water</v>
      </c>
      <c r="C5" s="419" t="str">
        <f>CONCATENATE("Actual for ",E1-2,"")</f>
        <v>Actual for 2012</v>
      </c>
      <c r="D5" s="419" t="str">
        <f>CONCATENATE("Estimate for ",E1-1,"")</f>
        <v>Estimate for 2013</v>
      </c>
      <c r="E5" s="403" t="str">
        <f>CONCATENATE("Year for ",E1,"")</f>
        <v>Year for 2014</v>
      </c>
    </row>
    <row r="6" spans="2:5" ht="15.75" x14ac:dyDescent="0.2">
      <c r="B6" s="141" t="s">
        <v>971</v>
      </c>
      <c r="C6" s="249">
        <v>43575</v>
      </c>
      <c r="D6" s="247">
        <f>C39</f>
        <v>176093</v>
      </c>
      <c r="E6" s="218">
        <f>D39</f>
        <v>193611</v>
      </c>
    </row>
    <row r="7" spans="2:5" ht="15.75" x14ac:dyDescent="0.2">
      <c r="B7" s="276" t="s">
        <v>973</v>
      </c>
      <c r="C7" s="150"/>
      <c r="D7" s="150"/>
      <c r="E7" s="76"/>
    </row>
    <row r="8" spans="2:5" ht="15.75" x14ac:dyDescent="0.2">
      <c r="B8" s="265" t="s">
        <v>204</v>
      </c>
      <c r="C8" s="249">
        <v>805843</v>
      </c>
      <c r="D8" s="249">
        <v>630189</v>
      </c>
      <c r="E8" s="252">
        <v>630621</v>
      </c>
    </row>
    <row r="9" spans="2:5" ht="15.75" x14ac:dyDescent="0.2">
      <c r="B9" s="265" t="s">
        <v>265</v>
      </c>
      <c r="C9" s="249"/>
      <c r="D9" s="249">
        <v>210432</v>
      </c>
      <c r="E9" s="252">
        <v>210000</v>
      </c>
    </row>
    <row r="10" spans="2:5" ht="15.75" x14ac:dyDescent="0.2">
      <c r="B10" s="265" t="s">
        <v>198</v>
      </c>
      <c r="C10" s="249">
        <v>20087</v>
      </c>
      <c r="D10" s="249">
        <v>16000</v>
      </c>
      <c r="E10" s="252">
        <v>17000</v>
      </c>
    </row>
    <row r="11" spans="2:5" ht="15.75" x14ac:dyDescent="0.2">
      <c r="B11" s="265" t="s">
        <v>199</v>
      </c>
      <c r="C11" s="249">
        <v>1500</v>
      </c>
      <c r="D11" s="249">
        <v>1000</v>
      </c>
      <c r="E11" s="252">
        <v>1000</v>
      </c>
    </row>
    <row r="12" spans="2:5" ht="15.75" x14ac:dyDescent="0.2">
      <c r="B12" s="265" t="s">
        <v>200</v>
      </c>
      <c r="C12" s="249">
        <v>551</v>
      </c>
      <c r="D12" s="249">
        <v>1000</v>
      </c>
      <c r="E12" s="252">
        <v>1000</v>
      </c>
    </row>
    <row r="13" spans="2:5" ht="15.75" x14ac:dyDescent="0.2">
      <c r="B13" s="265" t="s">
        <v>120</v>
      </c>
      <c r="C13" s="249">
        <v>8785</v>
      </c>
      <c r="D13" s="249">
        <v>4000</v>
      </c>
      <c r="E13" s="252">
        <v>4000</v>
      </c>
    </row>
    <row r="14" spans="2:5" ht="15.75" x14ac:dyDescent="0.2">
      <c r="B14" s="283" t="s">
        <v>201</v>
      </c>
      <c r="C14" s="249">
        <v>3426</v>
      </c>
      <c r="D14" s="249">
        <v>2836</v>
      </c>
      <c r="E14" s="97">
        <v>3555</v>
      </c>
    </row>
    <row r="15" spans="2:5" ht="15.75" x14ac:dyDescent="0.2">
      <c r="B15" s="265" t="s">
        <v>202</v>
      </c>
      <c r="C15" s="249">
        <v>11592</v>
      </c>
      <c r="D15" s="249">
        <v>11592</v>
      </c>
      <c r="E15" s="252">
        <v>11592</v>
      </c>
    </row>
    <row r="16" spans="2:5" ht="15.75" hidden="1" x14ac:dyDescent="0.2">
      <c r="B16" s="290" t="s">
        <v>858</v>
      </c>
      <c r="C16" s="249"/>
      <c r="D16" s="249"/>
      <c r="E16" s="252"/>
    </row>
    <row r="17" spans="2:9" ht="15.75" hidden="1" x14ac:dyDescent="0.2">
      <c r="B17" s="150" t="s">
        <v>730</v>
      </c>
      <c r="C17" s="249"/>
      <c r="D17" s="249"/>
      <c r="E17" s="252"/>
    </row>
    <row r="18" spans="2:9" ht="15.75" hidden="1" x14ac:dyDescent="0.2">
      <c r="B18" s="244" t="s">
        <v>638</v>
      </c>
      <c r="C18" s="254" t="str">
        <f>IF(C19*0.1&lt;C17,"Exceed 10% Rule","")</f>
        <v/>
      </c>
      <c r="D18" s="254" t="str">
        <f>IF(D19*0.1&lt;D17,"Exceed 10% Rule","")</f>
        <v/>
      </c>
      <c r="E18" s="291" t="str">
        <f>IF(E19*0.1&lt;E17,"Exceed 10% Rule","")</f>
        <v/>
      </c>
    </row>
    <row r="19" spans="2:9" ht="15.75" x14ac:dyDescent="0.2">
      <c r="B19" s="256" t="s">
        <v>859</v>
      </c>
      <c r="C19" s="258">
        <f>SUM(C8:C17)</f>
        <v>851784</v>
      </c>
      <c r="D19" s="258">
        <f>SUM(D8:D17)</f>
        <v>877049</v>
      </c>
      <c r="E19" s="259">
        <f>SUM(E8:E17)</f>
        <v>878768</v>
      </c>
    </row>
    <row r="20" spans="2:9" ht="15.75" x14ac:dyDescent="0.2">
      <c r="B20" s="256" t="s">
        <v>860</v>
      </c>
      <c r="C20" s="258">
        <f>C6+C19</f>
        <v>895359</v>
      </c>
      <c r="D20" s="258">
        <f>D6+D19</f>
        <v>1053142</v>
      </c>
      <c r="E20" s="259">
        <f>E6+E19</f>
        <v>1072379</v>
      </c>
    </row>
    <row r="21" spans="2:9" ht="15.75" x14ac:dyDescent="0.2">
      <c r="B21" s="141" t="s">
        <v>862</v>
      </c>
      <c r="C21" s="150"/>
      <c r="D21" s="150"/>
      <c r="E21" s="76"/>
    </row>
    <row r="22" spans="2:9" ht="15.75" x14ac:dyDescent="0.2">
      <c r="B22" s="265" t="s">
        <v>266</v>
      </c>
      <c r="C22" s="249">
        <v>137261</v>
      </c>
      <c r="D22" s="249">
        <v>128959</v>
      </c>
      <c r="E22" s="252">
        <v>139439</v>
      </c>
      <c r="G22" s="922">
        <f>SUM(D22:D24)</f>
        <v>180099</v>
      </c>
    </row>
    <row r="23" spans="2:9" ht="15.75" x14ac:dyDescent="0.2">
      <c r="B23" s="265" t="s">
        <v>142</v>
      </c>
      <c r="C23" s="249">
        <v>19236</v>
      </c>
      <c r="D23" s="249">
        <v>24545</v>
      </c>
      <c r="E23" s="252">
        <v>29232</v>
      </c>
    </row>
    <row r="24" spans="2:9" ht="15.75" x14ac:dyDescent="0.2">
      <c r="B24" s="265" t="s">
        <v>267</v>
      </c>
      <c r="C24" s="249">
        <v>27352</v>
      </c>
      <c r="D24" s="249">
        <v>26595</v>
      </c>
      <c r="E24" s="97">
        <v>29488</v>
      </c>
    </row>
    <row r="25" spans="2:9" ht="15.75" x14ac:dyDescent="0.2">
      <c r="B25" s="265" t="s">
        <v>183</v>
      </c>
      <c r="C25" s="249">
        <v>85849</v>
      </c>
      <c r="D25" s="249">
        <v>91003</v>
      </c>
      <c r="E25" s="97">
        <v>94171</v>
      </c>
    </row>
    <row r="26" spans="2:9" ht="15.75" x14ac:dyDescent="0.2">
      <c r="B26" s="265" t="s">
        <v>268</v>
      </c>
      <c r="C26" s="249">
        <v>137076</v>
      </c>
      <c r="D26" s="249">
        <v>145150</v>
      </c>
      <c r="E26" s="97">
        <v>148050</v>
      </c>
    </row>
    <row r="27" spans="2:9" ht="15.75" x14ac:dyDescent="0.2">
      <c r="B27" s="265" t="s">
        <v>152</v>
      </c>
      <c r="C27" s="249">
        <v>3649</v>
      </c>
      <c r="D27" s="249">
        <v>12250</v>
      </c>
      <c r="E27" s="97">
        <v>12750</v>
      </c>
    </row>
    <row r="28" spans="2:9" ht="15.75" x14ac:dyDescent="0.2">
      <c r="B28" s="265" t="s">
        <v>269</v>
      </c>
      <c r="C28" s="249">
        <v>12124</v>
      </c>
      <c r="D28" s="249">
        <v>15000</v>
      </c>
      <c r="E28" s="97">
        <v>16500</v>
      </c>
    </row>
    <row r="29" spans="2:9" ht="15.75" x14ac:dyDescent="0.2">
      <c r="B29" s="265" t="s">
        <v>270</v>
      </c>
      <c r="C29" s="249">
        <v>40151</v>
      </c>
      <c r="D29" s="249">
        <v>41985</v>
      </c>
      <c r="E29" s="97">
        <v>44237</v>
      </c>
    </row>
    <row r="30" spans="2:9" ht="15.75" x14ac:dyDescent="0.2">
      <c r="B30" s="265" t="s">
        <v>240</v>
      </c>
      <c r="C30" s="249">
        <v>77400</v>
      </c>
      <c r="D30" s="249">
        <v>87346</v>
      </c>
      <c r="E30" s="97">
        <v>89314</v>
      </c>
    </row>
    <row r="31" spans="2:9" ht="15.75" x14ac:dyDescent="0.2">
      <c r="B31" s="265" t="s">
        <v>272</v>
      </c>
      <c r="C31" s="249">
        <v>81442</v>
      </c>
      <c r="D31" s="249">
        <v>108871</v>
      </c>
      <c r="E31" s="97">
        <v>112459</v>
      </c>
    </row>
    <row r="32" spans="2:9" ht="15.75" x14ac:dyDescent="0.2">
      <c r="B32" s="265" t="s">
        <v>271</v>
      </c>
      <c r="C32" s="249">
        <v>0</v>
      </c>
      <c r="D32" s="249">
        <v>77000</v>
      </c>
      <c r="E32" s="97">
        <v>85000</v>
      </c>
      <c r="G32" s="922"/>
      <c r="H32" s="922"/>
      <c r="I32" s="922"/>
    </row>
    <row r="33" spans="2:5" ht="15.75" x14ac:dyDescent="0.2">
      <c r="B33" s="265" t="s">
        <v>273</v>
      </c>
      <c r="C33" s="249">
        <v>32491</v>
      </c>
      <c r="D33" s="249">
        <v>0</v>
      </c>
      <c r="E33" s="97">
        <v>0</v>
      </c>
    </row>
    <row r="34" spans="2:5" ht="15.75" x14ac:dyDescent="0.2">
      <c r="B34" s="265" t="s">
        <v>275</v>
      </c>
      <c r="C34" s="249">
        <v>38000</v>
      </c>
      <c r="D34" s="249">
        <v>41000</v>
      </c>
      <c r="E34" s="252">
        <v>43000</v>
      </c>
    </row>
    <row r="35" spans="2:5" ht="15.75" x14ac:dyDescent="0.2">
      <c r="B35" s="265" t="s">
        <v>276</v>
      </c>
      <c r="C35" s="249">
        <v>27235</v>
      </c>
      <c r="D35" s="249">
        <v>59827</v>
      </c>
      <c r="E35" s="252">
        <v>59827</v>
      </c>
    </row>
    <row r="36" spans="2:5" ht="15.75" hidden="1" x14ac:dyDescent="0.2">
      <c r="B36" s="266" t="s">
        <v>730</v>
      </c>
      <c r="C36" s="249"/>
      <c r="D36" s="249"/>
      <c r="E36" s="252"/>
    </row>
    <row r="37" spans="2:5" ht="15.75" hidden="1" x14ac:dyDescent="0.2">
      <c r="B37" s="266" t="s">
        <v>639</v>
      </c>
      <c r="C37" s="254" t="str">
        <f>IF(C38*0.1&lt;C36,"Exceed 10% Rule","")</f>
        <v/>
      </c>
      <c r="D37" s="254" t="str">
        <f>IF(D38*0.1&lt;D36,"Exceed 10% Rule","")</f>
        <v/>
      </c>
      <c r="E37" s="291" t="str">
        <f>IF(E38*0.1&lt;E36,"Exceed 10% Rule","")</f>
        <v/>
      </c>
    </row>
    <row r="38" spans="2:5" ht="15.75" x14ac:dyDescent="0.2">
      <c r="B38" s="256" t="s">
        <v>866</v>
      </c>
      <c r="C38" s="258">
        <f>SUM(C22:C36)</f>
        <v>719266</v>
      </c>
      <c r="D38" s="258">
        <f>SUM(D22:D36)</f>
        <v>859531</v>
      </c>
      <c r="E38" s="259">
        <f>SUM(E22:E36)</f>
        <v>903467</v>
      </c>
    </row>
    <row r="39" spans="2:5" ht="15.75" x14ac:dyDescent="0.2">
      <c r="B39" s="141" t="s">
        <v>972</v>
      </c>
      <c r="C39" s="262">
        <f>C20-C38</f>
        <v>176093</v>
      </c>
      <c r="D39" s="262">
        <f>D20-D38</f>
        <v>193611</v>
      </c>
      <c r="E39" s="71">
        <f>E20-E38</f>
        <v>168912</v>
      </c>
    </row>
    <row r="40" spans="2:5" ht="15.75" x14ac:dyDescent="0.2">
      <c r="B40" s="127" t="str">
        <f>CONCATENATE("",E1-2," Budget Authority Limited Amount:")</f>
        <v>2012 Budget Authority Limited Amount:</v>
      </c>
      <c r="C40" s="231">
        <f>inputOth!B93</f>
        <v>832025</v>
      </c>
      <c r="D40" s="231">
        <f>inputPrYr!D53</f>
        <v>814796</v>
      </c>
      <c r="E40" s="373" t="str">
        <f>IF(E39&lt;0,"See Tab E","")</f>
        <v/>
      </c>
    </row>
    <row r="41" spans="2:5" ht="15.75" x14ac:dyDescent="0.2">
      <c r="B41" s="127"/>
      <c r="C41" s="269" t="str">
        <f>IF(C38&gt;C40,"See Tab A","")</f>
        <v/>
      </c>
      <c r="D41" s="269" t="str">
        <f>IF(D38&gt;D40,"See Tab C","")</f>
        <v>See Tab C</v>
      </c>
      <c r="E41" s="57"/>
    </row>
    <row r="42" spans="2:5" ht="15.75" x14ac:dyDescent="0.2">
      <c r="B42" s="127"/>
      <c r="C42" s="269" t="str">
        <f>IF(C39&lt;0,"See Tab B","")</f>
        <v/>
      </c>
      <c r="D42" s="269" t="str">
        <f>IF(D39&lt;0,"See Tab D","")</f>
        <v/>
      </c>
      <c r="E42" s="57"/>
    </row>
    <row r="43" spans="2:5" x14ac:dyDescent="0.2">
      <c r="B43" s="57"/>
      <c r="C43" s="57"/>
      <c r="D43" s="57"/>
      <c r="E43" s="57"/>
    </row>
    <row r="44" spans="2:5" ht="15.75" x14ac:dyDescent="0.2">
      <c r="B44" s="160" t="s">
        <v>869</v>
      </c>
      <c r="C44" s="273">
        <v>20</v>
      </c>
      <c r="D44" s="57"/>
      <c r="E44" s="57"/>
    </row>
  </sheetData>
  <phoneticPr fontId="9" type="noConversion"/>
  <conditionalFormatting sqref="E17">
    <cfRule type="cellIs" dxfId="37" priority="4" stopIfTrue="1" operator="greaterThan">
      <formula>$E$19*0.1</formula>
    </cfRule>
  </conditionalFormatting>
  <conditionalFormatting sqref="E36">
    <cfRule type="cellIs" dxfId="36" priority="5" stopIfTrue="1" operator="greaterThan">
      <formula>$E$38*0.1</formula>
    </cfRule>
  </conditionalFormatting>
  <conditionalFormatting sqref="C36">
    <cfRule type="cellIs" dxfId="35" priority="6" stopIfTrue="1" operator="greaterThan">
      <formula>$C$38*0.1</formula>
    </cfRule>
  </conditionalFormatting>
  <conditionalFormatting sqref="D36">
    <cfRule type="cellIs" dxfId="34" priority="7" stopIfTrue="1" operator="greaterThan">
      <formula>$D$38*0.1</formula>
    </cfRule>
  </conditionalFormatting>
  <conditionalFormatting sqref="D38">
    <cfRule type="cellIs" dxfId="33" priority="8" stopIfTrue="1" operator="greaterThan">
      <formula>$D$40</formula>
    </cfRule>
  </conditionalFormatting>
  <conditionalFormatting sqref="C38">
    <cfRule type="cellIs" dxfId="32" priority="9" stopIfTrue="1" operator="greaterThan">
      <formula>$C$40</formula>
    </cfRule>
  </conditionalFormatting>
  <conditionalFormatting sqref="C39 E39">
    <cfRule type="cellIs" dxfId="31" priority="10" stopIfTrue="1" operator="lessThan">
      <formula>0</formula>
    </cfRule>
  </conditionalFormatting>
  <conditionalFormatting sqref="D39">
    <cfRule type="cellIs" dxfId="30" priority="3" stopIfTrue="1" operator="lessThan">
      <formula>0</formula>
    </cfRule>
  </conditionalFormatting>
  <conditionalFormatting sqref="D17">
    <cfRule type="cellIs" dxfId="29" priority="2" stopIfTrue="1" operator="greaterThan">
      <formula>$D$19*0.1</formula>
    </cfRule>
  </conditionalFormatting>
  <conditionalFormatting sqref="C17">
    <cfRule type="cellIs" dxfId="28" priority="1" stopIfTrue="1" operator="greaterThan">
      <formula>$C$19*0.1</formula>
    </cfRule>
  </conditionalFormatting>
  <printOptions horizontalCentered="1"/>
  <pageMargins left="0.5" right="0.5" top="0.5" bottom="0.5" header="0.3" footer="0.3"/>
  <pageSetup scale="94" orientation="portrait" blackAndWhite="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view="pageBreakPreview" zoomScale="60" zoomScaleNormal="100" workbookViewId="0">
      <selection activeCell="C51" sqref="C51"/>
    </sheetView>
  </sheetViews>
  <sheetFormatPr defaultRowHeight="15" x14ac:dyDescent="0.2"/>
  <cols>
    <col min="1" max="1" width="2.44140625" style="95" customWidth="1"/>
    <col min="2" max="2" width="31.109375" style="95" customWidth="1"/>
    <col min="3" max="4" width="15.77734375" style="95" customWidth="1"/>
    <col min="5" max="5" width="16.21875" style="95" customWidth="1"/>
    <col min="6" max="6" width="8.88671875" style="95"/>
    <col min="7" max="7" width="10.77734375" style="95" bestFit="1" customWidth="1"/>
    <col min="8" max="8" width="10.5546875" style="95" customWidth="1"/>
    <col min="9" max="16384" width="8.88671875" style="95"/>
  </cols>
  <sheetData>
    <row r="1" spans="2:5" ht="15.75" x14ac:dyDescent="0.2">
      <c r="B1" s="188" t="str">
        <f>(inputPrYr!D2)</f>
        <v>City of Osawatomie</v>
      </c>
      <c r="C1" s="36"/>
      <c r="D1" s="36"/>
      <c r="E1" s="209">
        <f>inputPrYr!$C$5</f>
        <v>2014</v>
      </c>
    </row>
    <row r="2" spans="2:5" ht="15.75" x14ac:dyDescent="0.2">
      <c r="B2" s="36"/>
      <c r="C2" s="36"/>
      <c r="D2" s="36"/>
      <c r="E2" s="160"/>
    </row>
    <row r="3" spans="2:5" ht="15.75" x14ac:dyDescent="0.2">
      <c r="B3" s="239" t="s">
        <v>918</v>
      </c>
      <c r="C3" s="288"/>
      <c r="D3" s="288"/>
      <c r="E3" s="289"/>
    </row>
    <row r="4" spans="2:5" ht="15.75" x14ac:dyDescent="0.2">
      <c r="B4" s="41" t="s">
        <v>850</v>
      </c>
      <c r="C4" s="418" t="s">
        <v>662</v>
      </c>
      <c r="D4" s="417" t="s">
        <v>663</v>
      </c>
      <c r="E4" s="394" t="s">
        <v>664</v>
      </c>
    </row>
    <row r="5" spans="2:5" ht="15.75" x14ac:dyDescent="0.2">
      <c r="B5" s="544" t="str">
        <f>(inputPrYr!B54)</f>
        <v>Electric</v>
      </c>
      <c r="C5" s="419" t="str">
        <f>CONCATENATE("Actual for ",E1-2,"")</f>
        <v>Actual for 2012</v>
      </c>
      <c r="D5" s="419" t="str">
        <f>CONCATENATE("Estimate for ",E1-1,"")</f>
        <v>Estimate for 2013</v>
      </c>
      <c r="E5" s="403" t="str">
        <f>CONCATENATE("Year for ",E1,"")</f>
        <v>Year for 2014</v>
      </c>
    </row>
    <row r="6" spans="2:5" ht="15.75" x14ac:dyDescent="0.2">
      <c r="B6" s="141" t="s">
        <v>971</v>
      </c>
      <c r="C6" s="56">
        <v>216891</v>
      </c>
      <c r="D6" s="218">
        <f>C46</f>
        <v>443556.31000000006</v>
      </c>
      <c r="E6" s="218">
        <f>D46</f>
        <v>483203.31000000052</v>
      </c>
    </row>
    <row r="7" spans="2:5" ht="15.75" x14ac:dyDescent="0.2">
      <c r="B7" s="276" t="s">
        <v>973</v>
      </c>
      <c r="C7" s="76"/>
      <c r="D7" s="76"/>
      <c r="E7" s="76"/>
    </row>
    <row r="8" spans="2:5" ht="15.75" x14ac:dyDescent="0.2">
      <c r="B8" s="265" t="s">
        <v>204</v>
      </c>
      <c r="C8" s="252">
        <v>3476687</v>
      </c>
      <c r="D8" s="252">
        <v>3570686</v>
      </c>
      <c r="E8" s="252">
        <v>3754871</v>
      </c>
    </row>
    <row r="9" spans="2:5" ht="15.75" x14ac:dyDescent="0.2">
      <c r="B9" s="265" t="s">
        <v>205</v>
      </c>
      <c r="C9" s="252">
        <v>90238</v>
      </c>
      <c r="D9" s="252">
        <v>86750</v>
      </c>
      <c r="E9" s="252">
        <v>86750</v>
      </c>
    </row>
    <row r="10" spans="2:5" ht="15.75" x14ac:dyDescent="0.2">
      <c r="B10" s="265" t="s">
        <v>206</v>
      </c>
      <c r="C10" s="252">
        <v>58500</v>
      </c>
      <c r="D10" s="252">
        <v>50000</v>
      </c>
      <c r="E10" s="252">
        <v>50000</v>
      </c>
    </row>
    <row r="11" spans="2:5" ht="15.75" x14ac:dyDescent="0.2">
      <c r="B11" s="265" t="s">
        <v>207</v>
      </c>
      <c r="C11" s="252">
        <v>109636</v>
      </c>
      <c r="D11" s="252">
        <v>109852</v>
      </c>
      <c r="E11" s="252">
        <v>114825</v>
      </c>
    </row>
    <row r="12" spans="2:5" ht="15.75" x14ac:dyDescent="0.2">
      <c r="B12" s="265" t="s">
        <v>274</v>
      </c>
      <c r="C12" s="252">
        <v>291162</v>
      </c>
      <c r="D12" s="252">
        <v>160970</v>
      </c>
      <c r="E12" s="252">
        <v>0</v>
      </c>
    </row>
    <row r="13" spans="2:5" ht="15.75" x14ac:dyDescent="0.2">
      <c r="B13" s="265" t="s">
        <v>730</v>
      </c>
      <c r="C13" s="252">
        <v>56740</v>
      </c>
      <c r="D13" s="252">
        <v>14000</v>
      </c>
      <c r="E13" s="252">
        <v>14000</v>
      </c>
    </row>
    <row r="14" spans="2:5" ht="15.75" hidden="1" x14ac:dyDescent="0.2">
      <c r="B14" s="290" t="s">
        <v>858</v>
      </c>
      <c r="C14" s="252"/>
      <c r="D14" s="252"/>
      <c r="E14" s="252"/>
    </row>
    <row r="15" spans="2:5" ht="15.75" hidden="1" x14ac:dyDescent="0.2">
      <c r="B15" s="150" t="s">
        <v>730</v>
      </c>
      <c r="C15" s="252"/>
      <c r="D15" s="246"/>
      <c r="E15" s="246"/>
    </row>
    <row r="16" spans="2:5" ht="15.75" hidden="1" x14ac:dyDescent="0.2">
      <c r="B16" s="244" t="s">
        <v>638</v>
      </c>
      <c r="C16" s="291" t="str">
        <f>IF(C17*0.1&lt;C15,"Exceed 10% Rule","")</f>
        <v/>
      </c>
      <c r="D16" s="255" t="str">
        <f>IF(D17*0.1&lt;D15,"Exceed 10% Rule","")</f>
        <v/>
      </c>
      <c r="E16" s="255" t="str">
        <f>IF(E17*0.1&lt;E15,"Exceed 10% Rule","")</f>
        <v/>
      </c>
    </row>
    <row r="17" spans="2:8" ht="15.75" x14ac:dyDescent="0.2">
      <c r="B17" s="256" t="s">
        <v>859</v>
      </c>
      <c r="C17" s="259">
        <f>SUM(C8:C15)</f>
        <v>4082963</v>
      </c>
      <c r="D17" s="259">
        <f>SUM(D8:D15)</f>
        <v>3992258</v>
      </c>
      <c r="E17" s="259">
        <f>SUM(E8:E15)</f>
        <v>4020446</v>
      </c>
    </row>
    <row r="18" spans="2:8" ht="15.75" x14ac:dyDescent="0.2">
      <c r="B18" s="256" t="s">
        <v>860</v>
      </c>
      <c r="C18" s="259">
        <f>C6+C17</f>
        <v>4299854</v>
      </c>
      <c r="D18" s="259">
        <f>D6+D17</f>
        <v>4435814.3100000005</v>
      </c>
      <c r="E18" s="259">
        <f>E6+E17</f>
        <v>4503649.3100000005</v>
      </c>
    </row>
    <row r="19" spans="2:8" ht="15.75" x14ac:dyDescent="0.2">
      <c r="B19" s="141" t="s">
        <v>862</v>
      </c>
      <c r="C19" s="76"/>
      <c r="D19" s="76"/>
      <c r="E19" s="76"/>
    </row>
    <row r="20" spans="2:8" ht="15.75" x14ac:dyDescent="0.2">
      <c r="B20" s="265" t="s">
        <v>266</v>
      </c>
      <c r="C20" s="252">
        <v>335245</v>
      </c>
      <c r="D20" s="252">
        <v>368355</v>
      </c>
      <c r="E20" s="252">
        <v>399037</v>
      </c>
    </row>
    <row r="21" spans="2:8" ht="15.75" x14ac:dyDescent="0.2">
      <c r="B21" s="265" t="s">
        <v>142</v>
      </c>
      <c r="C21" s="252">
        <v>31187</v>
      </c>
      <c r="D21" s="252">
        <v>43381</v>
      </c>
      <c r="E21" s="252">
        <v>49254</v>
      </c>
    </row>
    <row r="22" spans="2:8" ht="15.75" x14ac:dyDescent="0.2">
      <c r="B22" s="265" t="s">
        <v>267</v>
      </c>
      <c r="C22" s="97">
        <v>64783</v>
      </c>
      <c r="D22" s="97">
        <v>73550</v>
      </c>
      <c r="E22" s="97">
        <v>81052</v>
      </c>
      <c r="G22" s="923">
        <f>SUM(D20:D22)</f>
        <v>485286</v>
      </c>
      <c r="H22" s="923">
        <f>SUM(E20:E22)</f>
        <v>529343</v>
      </c>
    </row>
    <row r="23" spans="2:8" ht="15.75" x14ac:dyDescent="0.2">
      <c r="B23" s="265" t="s">
        <v>277</v>
      </c>
      <c r="C23" s="97">
        <v>1944704</v>
      </c>
      <c r="D23" s="97">
        <v>2088446</v>
      </c>
      <c r="E23" s="97">
        <v>2154909</v>
      </c>
    </row>
    <row r="24" spans="2:8" ht="15.75" x14ac:dyDescent="0.2">
      <c r="B24" s="265" t="s">
        <v>278</v>
      </c>
      <c r="C24" s="97">
        <v>75958</v>
      </c>
      <c r="D24" s="97">
        <v>63000</v>
      </c>
      <c r="E24" s="97">
        <v>60060</v>
      </c>
    </row>
    <row r="25" spans="2:8" ht="15.75" hidden="1" x14ac:dyDescent="0.2">
      <c r="B25" s="265" t="s">
        <v>152</v>
      </c>
      <c r="C25" s="97">
        <v>16244.690000000002</v>
      </c>
      <c r="D25" s="97">
        <v>35000</v>
      </c>
      <c r="E25" s="97">
        <v>37000</v>
      </c>
    </row>
    <row r="26" spans="2:8" ht="15.75" x14ac:dyDescent="0.2">
      <c r="B26" s="265" t="s">
        <v>279</v>
      </c>
      <c r="C26" s="97">
        <v>63975</v>
      </c>
      <c r="D26" s="97">
        <v>81950</v>
      </c>
      <c r="E26" s="97">
        <v>91950</v>
      </c>
    </row>
    <row r="27" spans="2:8" ht="15.75" x14ac:dyDescent="0.2">
      <c r="B27" s="265" t="s">
        <v>280</v>
      </c>
      <c r="C27" s="97">
        <v>16406</v>
      </c>
      <c r="D27" s="97">
        <v>10000</v>
      </c>
      <c r="E27" s="97">
        <v>10800</v>
      </c>
    </row>
    <row r="28" spans="2:8" ht="15.75" x14ac:dyDescent="0.2">
      <c r="B28" s="265" t="s">
        <v>281</v>
      </c>
      <c r="C28" s="97">
        <v>125583</v>
      </c>
      <c r="D28" s="97">
        <v>127351</v>
      </c>
      <c r="E28" s="97">
        <v>125149</v>
      </c>
    </row>
    <row r="29" spans="2:8" ht="15.75" x14ac:dyDescent="0.2">
      <c r="B29" s="265" t="s">
        <v>282</v>
      </c>
      <c r="C29" s="97">
        <v>62426</v>
      </c>
      <c r="D29" s="97">
        <v>51000</v>
      </c>
      <c r="E29" s="97">
        <v>51000</v>
      </c>
    </row>
    <row r="30" spans="2:8" ht="15.75" x14ac:dyDescent="0.2">
      <c r="B30" s="265" t="s">
        <v>284</v>
      </c>
      <c r="C30" s="97">
        <v>202200</v>
      </c>
      <c r="D30" s="97">
        <v>230603</v>
      </c>
      <c r="E30" s="97">
        <v>235859</v>
      </c>
    </row>
    <row r="31" spans="2:8" ht="15.75" x14ac:dyDescent="0.2">
      <c r="B31" s="265" t="s">
        <v>283</v>
      </c>
      <c r="C31" s="97">
        <v>72787</v>
      </c>
      <c r="D31" s="97">
        <v>152975</v>
      </c>
      <c r="E31" s="97">
        <v>145543</v>
      </c>
    </row>
    <row r="32" spans="2:8" ht="15.75" x14ac:dyDescent="0.2">
      <c r="B32" s="265" t="s">
        <v>285</v>
      </c>
      <c r="C32" s="97">
        <v>32365</v>
      </c>
      <c r="D32" s="97">
        <v>60000</v>
      </c>
      <c r="E32" s="97">
        <v>60000</v>
      </c>
    </row>
    <row r="33" spans="2:9" ht="15.75" x14ac:dyDescent="0.2">
      <c r="B33" s="265" t="s">
        <v>286</v>
      </c>
      <c r="C33" s="97">
        <v>0</v>
      </c>
      <c r="D33" s="97">
        <v>1500</v>
      </c>
      <c r="E33" s="97">
        <v>0</v>
      </c>
    </row>
    <row r="34" spans="2:9" ht="15.75" x14ac:dyDescent="0.2">
      <c r="B34" s="265" t="s">
        <v>287</v>
      </c>
      <c r="C34" s="97">
        <f>309434-280000</f>
        <v>29434</v>
      </c>
      <c r="D34" s="97">
        <v>67500</v>
      </c>
      <c r="E34" s="97">
        <v>142500</v>
      </c>
      <c r="G34" s="923">
        <f>SUM(D23:D29,D31)</f>
        <v>2609722</v>
      </c>
      <c r="H34" s="923">
        <f>SUM(E23:E29,E31)</f>
        <v>2676411</v>
      </c>
    </row>
    <row r="35" spans="2:9" ht="15.75" x14ac:dyDescent="0.2">
      <c r="B35" s="265" t="s">
        <v>791</v>
      </c>
      <c r="C35" s="97"/>
      <c r="D35" s="97"/>
      <c r="E35" s="97"/>
      <c r="G35" s="923"/>
      <c r="H35" s="923"/>
      <c r="I35" s="923"/>
    </row>
    <row r="36" spans="2:9" ht="15.75" x14ac:dyDescent="0.2">
      <c r="B36" s="265" t="s">
        <v>153</v>
      </c>
      <c r="C36" s="97">
        <v>186000</v>
      </c>
      <c r="D36" s="97">
        <v>136000</v>
      </c>
      <c r="E36" s="97">
        <v>137000</v>
      </c>
      <c r="G36" s="923"/>
      <c r="H36" s="923"/>
      <c r="I36" s="923"/>
    </row>
    <row r="37" spans="2:9" ht="15.75" x14ac:dyDescent="0.2">
      <c r="B37" s="265" t="s">
        <v>289</v>
      </c>
      <c r="C37" s="97">
        <v>380000</v>
      </c>
      <c r="D37" s="97">
        <v>100000</v>
      </c>
      <c r="E37" s="97">
        <v>100000</v>
      </c>
    </row>
    <row r="38" spans="2:9" ht="15.75" x14ac:dyDescent="0.2">
      <c r="B38" s="265" t="s">
        <v>290</v>
      </c>
      <c r="C38" s="97">
        <v>45000</v>
      </c>
      <c r="D38" s="97">
        <v>45000</v>
      </c>
      <c r="E38" s="97">
        <v>45000</v>
      </c>
    </row>
    <row r="39" spans="2:9" ht="15.75" x14ac:dyDescent="0.2">
      <c r="B39" s="265" t="s">
        <v>291</v>
      </c>
      <c r="C39" s="97">
        <v>90000</v>
      </c>
      <c r="D39" s="97">
        <v>175000</v>
      </c>
      <c r="E39" s="97">
        <v>175000</v>
      </c>
    </row>
    <row r="40" spans="2:9" ht="15.75" x14ac:dyDescent="0.2">
      <c r="B40" s="265" t="s">
        <v>292</v>
      </c>
      <c r="C40" s="97">
        <v>12000</v>
      </c>
      <c r="D40" s="97">
        <v>12000</v>
      </c>
      <c r="E40" s="97">
        <v>12000</v>
      </c>
    </row>
    <row r="41" spans="2:9" ht="15.75" x14ac:dyDescent="0.2">
      <c r="B41" s="265" t="s">
        <v>293</v>
      </c>
      <c r="C41" s="97">
        <v>55000</v>
      </c>
      <c r="D41" s="97"/>
      <c r="E41" s="97"/>
    </row>
    <row r="42" spans="2:9" ht="15.75" x14ac:dyDescent="0.2">
      <c r="B42" s="265" t="s">
        <v>288</v>
      </c>
      <c r="C42" s="252">
        <v>15000</v>
      </c>
      <c r="D42" s="252">
        <v>30000</v>
      </c>
      <c r="E42" s="252">
        <v>30000</v>
      </c>
    </row>
    <row r="43" spans="2:9" ht="15.75" hidden="1" x14ac:dyDescent="0.2">
      <c r="B43" s="266" t="s">
        <v>730</v>
      </c>
      <c r="C43" s="252"/>
      <c r="D43" s="246"/>
      <c r="E43" s="246"/>
    </row>
    <row r="44" spans="2:9" ht="15.75" hidden="1" x14ac:dyDescent="0.2">
      <c r="B44" s="266" t="s">
        <v>639</v>
      </c>
      <c r="C44" s="291" t="str">
        <f>IF(C45*0.1&lt;C43,"Exceed 10% Rule","")</f>
        <v/>
      </c>
      <c r="D44" s="255" t="str">
        <f>IF(D45*0.1&lt;D43,"Exceed 10% Rule","")</f>
        <v/>
      </c>
      <c r="E44" s="255" t="str">
        <f>IF(E45*0.1&lt;E43,"Exceed 10% Rule","")</f>
        <v/>
      </c>
    </row>
    <row r="45" spans="2:9" ht="15.75" x14ac:dyDescent="0.2">
      <c r="B45" s="256" t="s">
        <v>866</v>
      </c>
      <c r="C45" s="259">
        <f>SUM(C20:C43)</f>
        <v>3856297.69</v>
      </c>
      <c r="D45" s="259">
        <f>SUM(D20:D43)</f>
        <v>3952611</v>
      </c>
      <c r="E45" s="259">
        <f>SUM(E20:E43)</f>
        <v>4143113</v>
      </c>
    </row>
    <row r="46" spans="2:9" ht="15.75" x14ac:dyDescent="0.2">
      <c r="B46" s="141" t="s">
        <v>972</v>
      </c>
      <c r="C46" s="71">
        <f>C18-C45</f>
        <v>443556.31000000006</v>
      </c>
      <c r="D46" s="71">
        <f>D18-D45</f>
        <v>483203.31000000052</v>
      </c>
      <c r="E46" s="71">
        <f>E18-E45</f>
        <v>360536.31000000052</v>
      </c>
    </row>
    <row r="47" spans="2:9" ht="15.75" x14ac:dyDescent="0.2">
      <c r="B47" s="127" t="str">
        <f>CONCATENATE("",E1-2," Budget Authority Limited Amount:")</f>
        <v>2012 Budget Authority Limited Amount:</v>
      </c>
      <c r="C47" s="231">
        <f>inputOth!B94</f>
        <v>3765012</v>
      </c>
      <c r="D47" s="231">
        <f>inputPrYr!D54</f>
        <v>4017520</v>
      </c>
      <c r="E47" s="373" t="str">
        <f>IF(E46&lt;0,"See Tab E","")</f>
        <v/>
      </c>
    </row>
    <row r="48" spans="2:9" ht="15.75" x14ac:dyDescent="0.2">
      <c r="B48" s="127"/>
      <c r="C48" s="269" t="str">
        <f>IF(C45&gt;C47,"See Tab A","")</f>
        <v>See Tab A</v>
      </c>
      <c r="D48" s="269" t="str">
        <f>IF(D45&gt;D47,"See Tab C","")</f>
        <v/>
      </c>
      <c r="E48" s="57"/>
    </row>
    <row r="49" spans="2:5" ht="15.75" x14ac:dyDescent="0.2">
      <c r="B49" s="127"/>
      <c r="C49" s="269" t="str">
        <f>IF(C46&lt;0,"See Tab B","")</f>
        <v/>
      </c>
      <c r="D49" s="269" t="str">
        <f>IF(D46&lt;0,"See Tab D","")</f>
        <v/>
      </c>
      <c r="E49" s="57"/>
    </row>
    <row r="50" spans="2:5" x14ac:dyDescent="0.2">
      <c r="B50" s="57"/>
      <c r="C50" s="57"/>
      <c r="D50" s="57"/>
      <c r="E50" s="57"/>
    </row>
    <row r="51" spans="2:5" ht="15.75" x14ac:dyDescent="0.2">
      <c r="B51" s="160" t="s">
        <v>869</v>
      </c>
      <c r="C51" s="273">
        <v>21</v>
      </c>
      <c r="D51" s="57"/>
      <c r="E51" s="57"/>
    </row>
  </sheetData>
  <phoneticPr fontId="9" type="noConversion"/>
  <conditionalFormatting sqref="E15">
    <cfRule type="cellIs" dxfId="27" priority="2" stopIfTrue="1" operator="greaterThan">
      <formula>$E$17*0.1</formula>
    </cfRule>
  </conditionalFormatting>
  <conditionalFormatting sqref="E43">
    <cfRule type="cellIs" dxfId="26" priority="3" stopIfTrue="1" operator="greaterThan">
      <formula>$E$45*0.1</formula>
    </cfRule>
  </conditionalFormatting>
  <conditionalFormatting sqref="D15">
    <cfRule type="cellIs" dxfId="25" priority="4" stopIfTrue="1" operator="greaterThan">
      <formula>$D$17*0.1</formula>
    </cfRule>
  </conditionalFormatting>
  <conditionalFormatting sqref="D43">
    <cfRule type="cellIs" dxfId="24" priority="5" stopIfTrue="1" operator="greaterThan">
      <formula>$D$45*0.1</formula>
    </cfRule>
  </conditionalFormatting>
  <conditionalFormatting sqref="C15">
    <cfRule type="cellIs" dxfId="23" priority="6" stopIfTrue="1" operator="greaterThan">
      <formula>$C$17*0.1</formula>
    </cfRule>
  </conditionalFormatting>
  <conditionalFormatting sqref="C43">
    <cfRule type="cellIs" dxfId="22" priority="7" stopIfTrue="1" operator="greaterThan">
      <formula>$C$45*0.1</formula>
    </cfRule>
  </conditionalFormatting>
  <conditionalFormatting sqref="D45">
    <cfRule type="cellIs" dxfId="21" priority="8" stopIfTrue="1" operator="greaterThan">
      <formula>$D$47</formula>
    </cfRule>
  </conditionalFormatting>
  <conditionalFormatting sqref="C45">
    <cfRule type="cellIs" dxfId="20" priority="9" stopIfTrue="1" operator="greaterThan">
      <formula>$C$47</formula>
    </cfRule>
  </conditionalFormatting>
  <conditionalFormatting sqref="C46 E46">
    <cfRule type="cellIs" dxfId="19" priority="10" stopIfTrue="1" operator="lessThan">
      <formula>0</formula>
    </cfRule>
  </conditionalFormatting>
  <conditionalFormatting sqref="D46">
    <cfRule type="cellIs" dxfId="18" priority="1" stopIfTrue="1" operator="lessThan">
      <formula>0</formula>
    </cfRule>
  </conditionalFormatting>
  <printOptions horizontalCentered="1"/>
  <pageMargins left="0.5" right="0.5" top="0.5" bottom="0.5" header="0.3" footer="0.3"/>
  <pageSetup scale="94" orientation="portrait" blackAndWhite="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5"/>
  <sheetViews>
    <sheetView view="pageBreakPreview" zoomScale="60" zoomScaleNormal="100" workbookViewId="0">
      <selection activeCell="C36" sqref="C36"/>
    </sheetView>
  </sheetViews>
  <sheetFormatPr defaultRowHeight="15" x14ac:dyDescent="0.2"/>
  <cols>
    <col min="1" max="1" width="2.44140625" style="95" customWidth="1"/>
    <col min="2" max="2" width="31.109375" style="95" customWidth="1"/>
    <col min="3" max="4" width="15.77734375" style="95" customWidth="1"/>
    <col min="5" max="5" width="16.44140625" style="95" customWidth="1"/>
    <col min="6" max="16384" width="8.88671875" style="95"/>
  </cols>
  <sheetData>
    <row r="1" spans="2:5" ht="15.75" x14ac:dyDescent="0.2">
      <c r="B1" s="188" t="str">
        <f>(inputPrYr!D2)</f>
        <v>City of Osawatomie</v>
      </c>
      <c r="C1" s="36"/>
      <c r="D1" s="36"/>
      <c r="E1" s="209">
        <f>inputPrYr!$C$5</f>
        <v>2014</v>
      </c>
    </row>
    <row r="2" spans="2:5" ht="15.75" x14ac:dyDescent="0.2">
      <c r="B2" s="36"/>
      <c r="C2" s="36"/>
      <c r="D2" s="36"/>
      <c r="E2" s="160"/>
    </row>
    <row r="3" spans="2:5" ht="15.75" x14ac:dyDescent="0.2">
      <c r="B3" s="239" t="s">
        <v>918</v>
      </c>
      <c r="C3" s="288"/>
      <c r="D3" s="288"/>
      <c r="E3" s="289"/>
    </row>
    <row r="4" spans="2:5" ht="15.75" x14ac:dyDescent="0.2">
      <c r="B4" s="41" t="s">
        <v>850</v>
      </c>
      <c r="C4" s="418" t="s">
        <v>662</v>
      </c>
      <c r="D4" s="417" t="s">
        <v>663</v>
      </c>
      <c r="E4" s="394" t="s">
        <v>664</v>
      </c>
    </row>
    <row r="5" spans="2:5" ht="15.75" x14ac:dyDescent="0.2">
      <c r="B5" s="544" t="str">
        <f>(inputPrYr!B55)</f>
        <v>Sewer</v>
      </c>
      <c r="C5" s="419" t="str">
        <f>CONCATENATE("Actual for ",E1-2,"")</f>
        <v>Actual for 2012</v>
      </c>
      <c r="D5" s="419" t="str">
        <f>CONCATENATE("Estimate for ",E1-1,"")</f>
        <v>Estimate for 2013</v>
      </c>
      <c r="E5" s="403" t="str">
        <f>CONCATENATE("Year for ",E1,"")</f>
        <v>Year for 2014</v>
      </c>
    </row>
    <row r="6" spans="2:5" ht="15.75" x14ac:dyDescent="0.2">
      <c r="B6" s="141" t="s">
        <v>971</v>
      </c>
      <c r="C6" s="249">
        <v>361440</v>
      </c>
      <c r="D6" s="247">
        <f>C30</f>
        <v>335552</v>
      </c>
      <c r="E6" s="218">
        <f>D30</f>
        <v>276870</v>
      </c>
    </row>
    <row r="7" spans="2:5" ht="15.75" x14ac:dyDescent="0.2">
      <c r="B7" s="276" t="s">
        <v>973</v>
      </c>
      <c r="C7" s="150"/>
      <c r="D7" s="150"/>
      <c r="E7" s="76"/>
    </row>
    <row r="8" spans="2:5" ht="15.75" x14ac:dyDescent="0.2">
      <c r="B8" s="265" t="s">
        <v>176</v>
      </c>
      <c r="C8" s="249">
        <v>748972</v>
      </c>
      <c r="D8" s="249">
        <v>775624</v>
      </c>
      <c r="E8" s="252">
        <v>775624</v>
      </c>
    </row>
    <row r="9" spans="2:5" ht="15.75" x14ac:dyDescent="0.2">
      <c r="B9" s="265" t="s">
        <v>199</v>
      </c>
      <c r="C9" s="249"/>
      <c r="D9" s="249">
        <v>500</v>
      </c>
      <c r="E9" s="252">
        <v>500</v>
      </c>
    </row>
    <row r="10" spans="2:5" ht="15.75" hidden="1" x14ac:dyDescent="0.2">
      <c r="B10" s="290" t="s">
        <v>858</v>
      </c>
      <c r="C10" s="249"/>
      <c r="D10" s="249"/>
      <c r="E10" s="252"/>
    </row>
    <row r="11" spans="2:5" ht="15.75" hidden="1" x14ac:dyDescent="0.2">
      <c r="B11" s="150" t="s">
        <v>730</v>
      </c>
      <c r="C11" s="249"/>
      <c r="D11" s="249"/>
      <c r="E11" s="252"/>
    </row>
    <row r="12" spans="2:5" ht="15.75" hidden="1" x14ac:dyDescent="0.2">
      <c r="B12" s="244" t="s">
        <v>638</v>
      </c>
      <c r="C12" s="254" t="str">
        <f>IF(C13*0.1&lt;C11,"Exceed 10% Rule","")</f>
        <v/>
      </c>
      <c r="D12" s="254" t="str">
        <f>IF(D13*0.1&lt;D11,"Exceed 10% Rule","")</f>
        <v/>
      </c>
      <c r="E12" s="291" t="str">
        <f>IF(E13*0.1&lt;E11,"Exceed 10% Rule","")</f>
        <v/>
      </c>
    </row>
    <row r="13" spans="2:5" ht="15.75" x14ac:dyDescent="0.2">
      <c r="B13" s="256" t="s">
        <v>859</v>
      </c>
      <c r="C13" s="258">
        <f>SUM(C8:C11)</f>
        <v>748972</v>
      </c>
      <c r="D13" s="258">
        <f>SUM(D8:D11)</f>
        <v>776124</v>
      </c>
      <c r="E13" s="259">
        <f>SUM(E8:E11)</f>
        <v>776124</v>
      </c>
    </row>
    <row r="14" spans="2:5" ht="15.75" x14ac:dyDescent="0.2">
      <c r="B14" s="256" t="s">
        <v>860</v>
      </c>
      <c r="C14" s="258">
        <f>C6+C13</f>
        <v>1110412</v>
      </c>
      <c r="D14" s="258">
        <f>D6+D13</f>
        <v>1111676</v>
      </c>
      <c r="E14" s="259">
        <f>E6+E13</f>
        <v>1052994</v>
      </c>
    </row>
    <row r="15" spans="2:5" ht="15.75" x14ac:dyDescent="0.2">
      <c r="B15" s="141" t="s">
        <v>862</v>
      </c>
      <c r="C15" s="150"/>
      <c r="D15" s="150"/>
      <c r="E15" s="76"/>
    </row>
    <row r="16" spans="2:5" ht="15.75" x14ac:dyDescent="0.2">
      <c r="B16" s="265" t="s">
        <v>1020</v>
      </c>
      <c r="C16" s="249">
        <v>107078</v>
      </c>
      <c r="D16" s="249">
        <v>112360</v>
      </c>
      <c r="E16" s="252">
        <v>130266</v>
      </c>
    </row>
    <row r="17" spans="2:5" ht="15.75" x14ac:dyDescent="0.2">
      <c r="B17" s="265" t="s">
        <v>183</v>
      </c>
      <c r="C17" s="249">
        <v>33363</v>
      </c>
      <c r="D17" s="249">
        <v>35000</v>
      </c>
      <c r="E17" s="252">
        <v>40000</v>
      </c>
    </row>
    <row r="18" spans="2:5" ht="15.75" x14ac:dyDescent="0.2">
      <c r="B18" s="265" t="s">
        <v>294</v>
      </c>
      <c r="C18" s="249">
        <v>32067</v>
      </c>
      <c r="D18" s="249">
        <v>22500</v>
      </c>
      <c r="E18" s="97">
        <v>30000</v>
      </c>
    </row>
    <row r="19" spans="2:5" ht="15.75" x14ac:dyDescent="0.2">
      <c r="B19" s="265" t="s">
        <v>295</v>
      </c>
      <c r="C19" s="249">
        <v>13801</v>
      </c>
      <c r="D19" s="249">
        <v>13000</v>
      </c>
      <c r="E19" s="97">
        <v>13000</v>
      </c>
    </row>
    <row r="20" spans="2:5" ht="15.75" x14ac:dyDescent="0.2">
      <c r="B20" s="265" t="s">
        <v>296</v>
      </c>
      <c r="C20" s="249">
        <v>18013</v>
      </c>
      <c r="D20" s="249">
        <v>25000</v>
      </c>
      <c r="E20" s="97">
        <v>25000</v>
      </c>
    </row>
    <row r="21" spans="2:5" ht="15.75" x14ac:dyDescent="0.2">
      <c r="B21" s="265" t="s">
        <v>263</v>
      </c>
      <c r="C21" s="249">
        <v>0</v>
      </c>
      <c r="D21" s="249">
        <v>30000</v>
      </c>
      <c r="E21" s="97">
        <v>25000</v>
      </c>
    </row>
    <row r="22" spans="2:5" ht="15.75" x14ac:dyDescent="0.2">
      <c r="B22" s="265" t="s">
        <v>240</v>
      </c>
      <c r="C22" s="249">
        <v>77400</v>
      </c>
      <c r="D22" s="249">
        <v>87346</v>
      </c>
      <c r="E22" s="97">
        <v>89315</v>
      </c>
    </row>
    <row r="23" spans="2:5" ht="15.75" x14ac:dyDescent="0.2">
      <c r="B23" s="265" t="s">
        <v>272</v>
      </c>
      <c r="C23" s="249">
        <v>18781</v>
      </c>
      <c r="D23" s="249">
        <v>36600</v>
      </c>
      <c r="E23" s="97">
        <v>47100.000000000116</v>
      </c>
    </row>
    <row r="24" spans="2:5" ht="15.75" x14ac:dyDescent="0.2">
      <c r="B24" s="265" t="s">
        <v>791</v>
      </c>
      <c r="C24" s="249">
        <v>125357</v>
      </c>
      <c r="D24" s="249"/>
      <c r="E24" s="97">
        <v>20200</v>
      </c>
    </row>
    <row r="25" spans="2:5" ht="15.75" x14ac:dyDescent="0.2">
      <c r="B25" s="265" t="s">
        <v>297</v>
      </c>
      <c r="C25" s="249">
        <v>310000</v>
      </c>
      <c r="D25" s="249">
        <v>434000</v>
      </c>
      <c r="E25" s="97">
        <v>435000</v>
      </c>
    </row>
    <row r="26" spans="2:5" ht="15.75" x14ac:dyDescent="0.2">
      <c r="B26" s="265" t="s">
        <v>275</v>
      </c>
      <c r="C26" s="249">
        <v>39000</v>
      </c>
      <c r="D26" s="249">
        <v>39000</v>
      </c>
      <c r="E26" s="97">
        <v>39000</v>
      </c>
    </row>
    <row r="27" spans="2:5" ht="15.75" hidden="1" x14ac:dyDescent="0.2">
      <c r="B27" s="266" t="s">
        <v>730</v>
      </c>
      <c r="C27" s="249"/>
      <c r="D27" s="249"/>
      <c r="E27" s="252"/>
    </row>
    <row r="28" spans="2:5" ht="15.75" hidden="1" x14ac:dyDescent="0.2">
      <c r="B28" s="266" t="s">
        <v>639</v>
      </c>
      <c r="C28" s="254" t="str">
        <f>IF(C29*0.1&lt;C27,"Exceed 10% Rule","")</f>
        <v/>
      </c>
      <c r="D28" s="254" t="str">
        <f>IF(D29*0.1&lt;D27,"Exceed 10% Rule","")</f>
        <v/>
      </c>
      <c r="E28" s="291" t="str">
        <f>IF(E29*0.1&lt;E27,"Exceed 10% Rule","")</f>
        <v/>
      </c>
    </row>
    <row r="29" spans="2:5" ht="15.75" x14ac:dyDescent="0.2">
      <c r="B29" s="256" t="s">
        <v>866</v>
      </c>
      <c r="C29" s="258">
        <f>SUM(C16:C27)</f>
        <v>774860</v>
      </c>
      <c r="D29" s="258">
        <f>SUM(D16:D27)</f>
        <v>834806</v>
      </c>
      <c r="E29" s="259">
        <f>SUM(E16:E27)</f>
        <v>893881.00000000012</v>
      </c>
    </row>
    <row r="30" spans="2:5" ht="15.75" x14ac:dyDescent="0.2">
      <c r="B30" s="141" t="s">
        <v>972</v>
      </c>
      <c r="C30" s="262">
        <f>C14-C29</f>
        <v>335552</v>
      </c>
      <c r="D30" s="262">
        <f>D14-D29</f>
        <v>276870</v>
      </c>
      <c r="E30" s="71">
        <f>E14-E29</f>
        <v>159112.99999999988</v>
      </c>
    </row>
    <row r="31" spans="2:5" ht="15.75" x14ac:dyDescent="0.2">
      <c r="B31" s="127" t="str">
        <f>CONCATENATE("",E1-2,"/",E1-1," Budget Authority Amount:")</f>
        <v>2012/2013 Budget Authority Amount:</v>
      </c>
      <c r="C31" s="231">
        <f>inputOth!B95</f>
        <v>837988</v>
      </c>
      <c r="D31" s="231">
        <f>inputPrYr!D55</f>
        <v>836249</v>
      </c>
      <c r="E31" s="373" t="str">
        <f>IF(E30&lt;0,"See Tab E","")</f>
        <v/>
      </c>
    </row>
    <row r="32" spans="2:5" ht="15.75" x14ac:dyDescent="0.2">
      <c r="B32" s="127"/>
      <c r="C32" s="269" t="str">
        <f>IF(C29&gt;C31,"See Tab A","")</f>
        <v/>
      </c>
      <c r="D32" s="269" t="str">
        <f>IF(D29&gt;D31,"See Tab C","")</f>
        <v/>
      </c>
      <c r="E32" s="57"/>
    </row>
    <row r="33" spans="2:5" ht="15.75" x14ac:dyDescent="0.2">
      <c r="B33" s="127"/>
      <c r="C33" s="269" t="str">
        <f>IF(C30&lt;0,"See Tab B","")</f>
        <v/>
      </c>
      <c r="D33" s="269" t="str">
        <f>IF(D30&lt;0,"See Tab D","")</f>
        <v/>
      </c>
      <c r="E33" s="57"/>
    </row>
    <row r="34" spans="2:5" x14ac:dyDescent="0.2">
      <c r="B34" s="57"/>
      <c r="C34" s="57"/>
      <c r="D34" s="57"/>
      <c r="E34" s="57"/>
    </row>
    <row r="35" spans="2:5" ht="15.75" x14ac:dyDescent="0.2">
      <c r="B35" s="160" t="s">
        <v>869</v>
      </c>
      <c r="C35" s="273">
        <v>22</v>
      </c>
      <c r="D35" s="57"/>
      <c r="E35" s="57"/>
    </row>
  </sheetData>
  <phoneticPr fontId="9" type="noConversion"/>
  <conditionalFormatting sqref="E11">
    <cfRule type="cellIs" dxfId="17" priority="4" stopIfTrue="1" operator="greaterThan">
      <formula>$E$13*0.1</formula>
    </cfRule>
  </conditionalFormatting>
  <conditionalFormatting sqref="E27">
    <cfRule type="cellIs" dxfId="16" priority="5" stopIfTrue="1" operator="greaterThan">
      <formula>$E$29*0.1</formula>
    </cfRule>
  </conditionalFormatting>
  <conditionalFormatting sqref="C27">
    <cfRule type="cellIs" dxfId="15" priority="6" stopIfTrue="1" operator="greaterThan">
      <formula>$C$29*0.1</formula>
    </cfRule>
  </conditionalFormatting>
  <conditionalFormatting sqref="D27">
    <cfRule type="cellIs" dxfId="14" priority="7" stopIfTrue="1" operator="greaterThan">
      <formula>$D$29*0.1</formula>
    </cfRule>
  </conditionalFormatting>
  <conditionalFormatting sqref="D29">
    <cfRule type="cellIs" dxfId="13" priority="8" stopIfTrue="1" operator="greaterThan">
      <formula>$D$31</formula>
    </cfRule>
  </conditionalFormatting>
  <conditionalFormatting sqref="C29">
    <cfRule type="cellIs" dxfId="12" priority="9" stopIfTrue="1" operator="greaterThan">
      <formula>$C$31</formula>
    </cfRule>
  </conditionalFormatting>
  <conditionalFormatting sqref="C30 E30">
    <cfRule type="cellIs" dxfId="11" priority="10" stopIfTrue="1" operator="lessThan">
      <formula>0</formula>
    </cfRule>
  </conditionalFormatting>
  <conditionalFormatting sqref="D30">
    <cfRule type="cellIs" dxfId="10" priority="3" stopIfTrue="1" operator="lessThan">
      <formula>0</formula>
    </cfRule>
  </conditionalFormatting>
  <conditionalFormatting sqref="D11">
    <cfRule type="cellIs" dxfId="9" priority="2" stopIfTrue="1" operator="greaterThan">
      <formula>$D$13*0.1</formula>
    </cfRule>
  </conditionalFormatting>
  <conditionalFormatting sqref="C11">
    <cfRule type="cellIs" dxfId="8" priority="1" stopIfTrue="1" operator="greaterThan">
      <formula>$C$13*0.1</formula>
    </cfRule>
  </conditionalFormatting>
  <printOptions horizontalCentered="1"/>
  <pageMargins left="0.5" right="0.5" top="0.5" bottom="0.5" header="0.3" footer="0.3"/>
  <pageSetup scale="94" orientation="portrait" blackAndWhite="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43"/>
  <sheetViews>
    <sheetView view="pageBreakPreview" zoomScale="60" zoomScaleNormal="100" workbookViewId="0">
      <selection activeCell="C43" sqref="C43"/>
    </sheetView>
  </sheetViews>
  <sheetFormatPr defaultRowHeight="15" x14ac:dyDescent="0.2"/>
  <cols>
    <col min="1" max="1" width="2.44140625" style="95" customWidth="1"/>
    <col min="2" max="2" width="31.109375" style="95" customWidth="1"/>
    <col min="3" max="4" width="15.77734375" style="95" customWidth="1"/>
    <col min="5" max="5" width="16.5546875" style="95" customWidth="1"/>
    <col min="6" max="16384" width="8.88671875" style="95"/>
  </cols>
  <sheetData>
    <row r="1" spans="2:5" ht="15.75" x14ac:dyDescent="0.2">
      <c r="B1" s="188" t="str">
        <f>(inputPrYr!D2)</f>
        <v>City of Osawatomie</v>
      </c>
      <c r="C1" s="36"/>
      <c r="D1" s="36"/>
      <c r="E1" s="209">
        <f>inputPrYr!$C$5</f>
        <v>2014</v>
      </c>
    </row>
    <row r="2" spans="2:5" ht="15.75" x14ac:dyDescent="0.2">
      <c r="B2" s="36"/>
      <c r="C2" s="36"/>
      <c r="D2" s="36"/>
      <c r="E2" s="160"/>
    </row>
    <row r="3" spans="2:5" ht="15.75" x14ac:dyDescent="0.2">
      <c r="B3" s="239" t="s">
        <v>918</v>
      </c>
      <c r="C3" s="288"/>
      <c r="D3" s="288"/>
      <c r="E3" s="289"/>
    </row>
    <row r="4" spans="2:5" ht="15.75" x14ac:dyDescent="0.2">
      <c r="B4" s="41" t="s">
        <v>850</v>
      </c>
      <c r="C4" s="418" t="s">
        <v>662</v>
      </c>
      <c r="D4" s="417" t="s">
        <v>663</v>
      </c>
      <c r="E4" s="394" t="s">
        <v>664</v>
      </c>
    </row>
    <row r="5" spans="2:5" ht="15.75" x14ac:dyDescent="0.2">
      <c r="B5" s="544" t="str">
        <f>(inputPrYr!B56)</f>
        <v>Special Parks &amp; Recreation</v>
      </c>
      <c r="C5" s="419" t="str">
        <f>CONCATENATE("Actual for ",E1-2,"")</f>
        <v>Actual for 2012</v>
      </c>
      <c r="D5" s="419" t="str">
        <f>CONCATENATE("Estimate for ",E1-1,"")</f>
        <v>Estimate for 2013</v>
      </c>
      <c r="E5" s="403" t="str">
        <f>CONCATENATE("Year for ",E1,"")</f>
        <v>Year for 2014</v>
      </c>
    </row>
    <row r="6" spans="2:5" ht="15.75" x14ac:dyDescent="0.2">
      <c r="B6" s="141" t="s">
        <v>971</v>
      </c>
      <c r="C6" s="249">
        <v>12692</v>
      </c>
      <c r="D6" s="247">
        <f>C38</f>
        <v>91073</v>
      </c>
      <c r="E6" s="218">
        <f>D38</f>
        <v>69670</v>
      </c>
    </row>
    <row r="7" spans="2:5" ht="15.75" x14ac:dyDescent="0.2">
      <c r="B7" s="276" t="s">
        <v>973</v>
      </c>
      <c r="C7" s="150"/>
      <c r="D7" s="150"/>
      <c r="E7" s="76"/>
    </row>
    <row r="8" spans="2:5" ht="15.75" x14ac:dyDescent="0.2">
      <c r="B8" s="265" t="s">
        <v>208</v>
      </c>
      <c r="C8" s="249">
        <v>2580</v>
      </c>
      <c r="D8" s="249">
        <v>3544</v>
      </c>
      <c r="E8" s="252">
        <v>3783</v>
      </c>
    </row>
    <row r="9" spans="2:5" ht="15.75" x14ac:dyDescent="0.2">
      <c r="B9" s="265" t="s">
        <v>209</v>
      </c>
      <c r="C9" s="249">
        <v>39203</v>
      </c>
      <c r="D9" s="249">
        <v>30000</v>
      </c>
      <c r="E9" s="252">
        <v>30000</v>
      </c>
    </row>
    <row r="10" spans="2:5" ht="15.75" x14ac:dyDescent="0.2">
      <c r="B10" s="265" t="s">
        <v>210</v>
      </c>
      <c r="C10" s="249">
        <v>460</v>
      </c>
      <c r="D10" s="249"/>
      <c r="E10" s="252"/>
    </row>
    <row r="11" spans="2:5" ht="15.75" x14ac:dyDescent="0.2">
      <c r="B11" s="265" t="s">
        <v>211</v>
      </c>
      <c r="C11" s="249">
        <v>1828</v>
      </c>
      <c r="D11" s="249">
        <v>1500</v>
      </c>
      <c r="E11" s="252">
        <v>1500</v>
      </c>
    </row>
    <row r="12" spans="2:5" ht="15.75" x14ac:dyDescent="0.2">
      <c r="B12" s="265" t="s">
        <v>212</v>
      </c>
      <c r="C12" s="249">
        <v>16960</v>
      </c>
      <c r="D12" s="249">
        <v>17000</v>
      </c>
      <c r="E12" s="252">
        <v>17000</v>
      </c>
    </row>
    <row r="13" spans="2:5" ht="15.75" x14ac:dyDescent="0.2">
      <c r="B13" s="265" t="s">
        <v>213</v>
      </c>
      <c r="C13" s="249">
        <v>3156</v>
      </c>
      <c r="D13" s="249">
        <v>3000</v>
      </c>
      <c r="E13" s="252">
        <v>3000</v>
      </c>
    </row>
    <row r="14" spans="2:5" ht="15.75" x14ac:dyDescent="0.2">
      <c r="B14" s="265" t="s">
        <v>151</v>
      </c>
      <c r="C14" s="249">
        <v>75</v>
      </c>
      <c r="D14" s="249"/>
      <c r="E14" s="252"/>
    </row>
    <row r="15" spans="2:5" ht="15.75" x14ac:dyDescent="0.2">
      <c r="B15" s="265" t="s">
        <v>120</v>
      </c>
      <c r="C15" s="249">
        <v>52995</v>
      </c>
      <c r="D15" s="249"/>
      <c r="E15" s="252"/>
    </row>
    <row r="16" spans="2:5" ht="15.75" x14ac:dyDescent="0.2">
      <c r="B16" s="283" t="s">
        <v>214</v>
      </c>
      <c r="C16" s="249">
        <v>101066</v>
      </c>
      <c r="D16" s="249">
        <v>13456</v>
      </c>
      <c r="E16" s="97">
        <v>783</v>
      </c>
    </row>
    <row r="17" spans="2:5" ht="15.75" x14ac:dyDescent="0.2">
      <c r="B17" s="265" t="s">
        <v>215</v>
      </c>
      <c r="C17" s="249">
        <v>90000</v>
      </c>
      <c r="D17" s="249">
        <v>175000</v>
      </c>
      <c r="E17" s="252">
        <v>175000</v>
      </c>
    </row>
    <row r="18" spans="2:5" ht="15.75" x14ac:dyDescent="0.2">
      <c r="B18" s="290" t="s">
        <v>216</v>
      </c>
      <c r="C18" s="249"/>
      <c r="D18" s="249"/>
      <c r="E18" s="252"/>
    </row>
    <row r="19" spans="2:5" ht="15.75" x14ac:dyDescent="0.2">
      <c r="B19" s="150" t="s">
        <v>730</v>
      </c>
      <c r="C19" s="249"/>
      <c r="D19" s="249">
        <v>5000</v>
      </c>
      <c r="E19" s="252">
        <v>5000</v>
      </c>
    </row>
    <row r="20" spans="2:5" ht="15.75" x14ac:dyDescent="0.2">
      <c r="B20" s="244" t="s">
        <v>638</v>
      </c>
      <c r="C20" s="254" t="str">
        <f>IF(C21*0.1&lt;C19,"Exceed 10% Rule","")</f>
        <v/>
      </c>
      <c r="D20" s="254" t="str">
        <f>IF(D21*0.1&lt;D19,"Exceed 10% Rule","")</f>
        <v/>
      </c>
      <c r="E20" s="291" t="str">
        <f>IF(E21*0.1&lt;E19,"Exceed 10% Rule","")</f>
        <v/>
      </c>
    </row>
    <row r="21" spans="2:5" ht="15.75" x14ac:dyDescent="0.2">
      <c r="B21" s="256" t="s">
        <v>859</v>
      </c>
      <c r="C21" s="258">
        <f>SUM(C8:C19)</f>
        <v>308323</v>
      </c>
      <c r="D21" s="258">
        <f>SUM(D8:D19)</f>
        <v>248500</v>
      </c>
      <c r="E21" s="259">
        <f>SUM(E8:E19)</f>
        <v>236066</v>
      </c>
    </row>
    <row r="22" spans="2:5" ht="15.75" x14ac:dyDescent="0.2">
      <c r="B22" s="256" t="s">
        <v>860</v>
      </c>
      <c r="C22" s="258">
        <f>C6+C21</f>
        <v>321015</v>
      </c>
      <c r="D22" s="258">
        <f>D6+D21</f>
        <v>339573</v>
      </c>
      <c r="E22" s="259">
        <f>E6+E21</f>
        <v>305736</v>
      </c>
    </row>
    <row r="23" spans="2:5" ht="15.75" x14ac:dyDescent="0.2">
      <c r="B23" s="141" t="s">
        <v>862</v>
      </c>
      <c r="C23" s="150"/>
      <c r="D23" s="150"/>
      <c r="E23" s="76"/>
    </row>
    <row r="24" spans="2:5" ht="15.75" x14ac:dyDescent="0.2">
      <c r="B24" s="913" t="s">
        <v>217</v>
      </c>
      <c r="C24" s="249"/>
      <c r="D24" s="249"/>
      <c r="E24" s="252"/>
    </row>
    <row r="25" spans="2:5" ht="15.75" x14ac:dyDescent="0.2">
      <c r="B25" s="265" t="s">
        <v>218</v>
      </c>
      <c r="C25" s="249">
        <v>57526</v>
      </c>
      <c r="D25" s="249">
        <v>62480</v>
      </c>
      <c r="E25" s="252">
        <v>64385</v>
      </c>
    </row>
    <row r="26" spans="2:5" ht="15.75" x14ac:dyDescent="0.2">
      <c r="B26" s="265" t="s">
        <v>203</v>
      </c>
      <c r="C26" s="249">
        <v>29940</v>
      </c>
      <c r="D26" s="249">
        <v>27300</v>
      </c>
      <c r="E26" s="97">
        <v>26536</v>
      </c>
    </row>
    <row r="27" spans="2:5" ht="15.75" x14ac:dyDescent="0.2">
      <c r="B27" s="265" t="s">
        <v>864</v>
      </c>
      <c r="C27" s="249">
        <v>21610</v>
      </c>
      <c r="D27" s="249">
        <v>28850</v>
      </c>
      <c r="E27" s="97">
        <v>30350</v>
      </c>
    </row>
    <row r="28" spans="2:5" ht="15.75" x14ac:dyDescent="0.2">
      <c r="B28" s="265" t="s">
        <v>865</v>
      </c>
      <c r="C28" s="249">
        <v>9999</v>
      </c>
      <c r="D28" s="249">
        <v>31345</v>
      </c>
      <c r="E28" s="97">
        <v>24500</v>
      </c>
    </row>
    <row r="29" spans="2:5" ht="15.75" x14ac:dyDescent="0.2">
      <c r="B29" s="913" t="s">
        <v>219</v>
      </c>
      <c r="C29" s="249"/>
      <c r="D29" s="249"/>
      <c r="E29" s="97"/>
    </row>
    <row r="30" spans="2:5" ht="15.75" x14ac:dyDescent="0.2">
      <c r="B30" s="265" t="s">
        <v>218</v>
      </c>
      <c r="C30" s="249">
        <v>43080</v>
      </c>
      <c r="D30" s="249">
        <v>52354</v>
      </c>
      <c r="E30" s="97">
        <v>53458</v>
      </c>
    </row>
    <row r="31" spans="2:5" ht="15.75" x14ac:dyDescent="0.2">
      <c r="B31" s="265" t="s">
        <v>203</v>
      </c>
      <c r="C31" s="249">
        <v>35075</v>
      </c>
      <c r="D31" s="249">
        <v>30185</v>
      </c>
      <c r="E31" s="97">
        <v>19685</v>
      </c>
    </row>
    <row r="32" spans="2:5" ht="15.75" x14ac:dyDescent="0.2">
      <c r="B32" s="265" t="s">
        <v>864</v>
      </c>
      <c r="C32" s="249">
        <v>29963</v>
      </c>
      <c r="D32" s="249">
        <v>35800</v>
      </c>
      <c r="E32" s="97">
        <v>35300</v>
      </c>
    </row>
    <row r="33" spans="2:5" ht="15.75" x14ac:dyDescent="0.2">
      <c r="B33" s="265" t="s">
        <v>865</v>
      </c>
      <c r="C33" s="249">
        <v>0</v>
      </c>
      <c r="D33" s="249">
        <v>0</v>
      </c>
      <c r="E33" s="97">
        <v>0</v>
      </c>
    </row>
    <row r="34" spans="2:5" ht="15.75" x14ac:dyDescent="0.2">
      <c r="B34" s="265" t="s">
        <v>298</v>
      </c>
      <c r="C34" s="249">
        <v>2749</v>
      </c>
      <c r="D34" s="249">
        <v>1589</v>
      </c>
      <c r="E34" s="97">
        <v>1552.2143247676327</v>
      </c>
    </row>
    <row r="35" spans="2:5" ht="15.75" hidden="1" x14ac:dyDescent="0.2">
      <c r="B35" s="266" t="s">
        <v>730</v>
      </c>
      <c r="C35" s="249"/>
      <c r="D35" s="249"/>
      <c r="E35" s="252"/>
    </row>
    <row r="36" spans="2:5" ht="15.75" hidden="1" x14ac:dyDescent="0.2">
      <c r="B36" s="266" t="s">
        <v>639</v>
      </c>
      <c r="C36" s="254" t="str">
        <f>IF(C37*0.1&lt;C35,"Exceed 10% Rule","")</f>
        <v/>
      </c>
      <c r="D36" s="254" t="str">
        <f>IF(D37*0.1&lt;D35,"Exceed 10% Rule","")</f>
        <v/>
      </c>
      <c r="E36" s="291" t="str">
        <f>IF(E37*0.1&lt;E35,"Exceed 10% Rule","")</f>
        <v/>
      </c>
    </row>
    <row r="37" spans="2:5" ht="15.75" x14ac:dyDescent="0.2">
      <c r="B37" s="256" t="s">
        <v>866</v>
      </c>
      <c r="C37" s="258">
        <f>SUM(C24:C35)</f>
        <v>229942</v>
      </c>
      <c r="D37" s="258">
        <f>SUM(D24:D35)</f>
        <v>269903</v>
      </c>
      <c r="E37" s="259">
        <f>SUM(E24:E35)</f>
        <v>255766.21432476764</v>
      </c>
    </row>
    <row r="38" spans="2:5" ht="15.75" x14ac:dyDescent="0.2">
      <c r="B38" s="141" t="s">
        <v>972</v>
      </c>
      <c r="C38" s="262">
        <f>C22-C37</f>
        <v>91073</v>
      </c>
      <c r="D38" s="262">
        <f>D22-D37</f>
        <v>69670</v>
      </c>
      <c r="E38" s="71">
        <f>E22-E37</f>
        <v>49969.785675232357</v>
      </c>
    </row>
    <row r="39" spans="2:5" ht="15.75" x14ac:dyDescent="0.2">
      <c r="B39" s="127" t="str">
        <f>CONCATENATE("",E1-2,"/",E1-1," Budget Authority Amount:")</f>
        <v>2012/2013 Budget Authority Amount:</v>
      </c>
      <c r="C39" s="231">
        <f>inputOth!B96</f>
        <v>265000</v>
      </c>
      <c r="D39" s="231">
        <f>inputPrYr!D56</f>
        <v>240278</v>
      </c>
      <c r="E39" s="373" t="str">
        <f>IF(E38&lt;0,"See Tab E","")</f>
        <v/>
      </c>
    </row>
    <row r="40" spans="2:5" ht="15.75" x14ac:dyDescent="0.2">
      <c r="B40" s="127"/>
      <c r="C40" s="269" t="str">
        <f>IF(C37&gt;C39,"See Tab A","")</f>
        <v/>
      </c>
      <c r="D40" s="269" t="str">
        <f>IF(D37&gt;D39,"See Tab C","")</f>
        <v>See Tab C</v>
      </c>
      <c r="E40" s="57"/>
    </row>
    <row r="41" spans="2:5" ht="15.75" x14ac:dyDescent="0.2">
      <c r="B41" s="127"/>
      <c r="C41" s="269" t="str">
        <f>IF(C38&lt;0,"See Tab B","")</f>
        <v/>
      </c>
      <c r="D41" s="269" t="str">
        <f>IF(D38&lt;0,"See Tab D","")</f>
        <v/>
      </c>
      <c r="E41" s="57"/>
    </row>
    <row r="42" spans="2:5" x14ac:dyDescent="0.2">
      <c r="B42" s="57"/>
      <c r="C42" s="57"/>
      <c r="D42" s="57"/>
      <c r="E42" s="57"/>
    </row>
    <row r="43" spans="2:5" ht="15.75" x14ac:dyDescent="0.2">
      <c r="B43" s="160" t="s">
        <v>869</v>
      </c>
      <c r="C43" s="273">
        <v>23</v>
      </c>
      <c r="D43" s="57"/>
      <c r="E43" s="57"/>
    </row>
  </sheetData>
  <phoneticPr fontId="9" type="noConversion"/>
  <conditionalFormatting sqref="E35">
    <cfRule type="cellIs" dxfId="7" priority="5" stopIfTrue="1" operator="greaterThan">
      <formula>$E$37*0.1</formula>
    </cfRule>
  </conditionalFormatting>
  <conditionalFormatting sqref="E38 C38">
    <cfRule type="cellIs" dxfId="6" priority="6" stopIfTrue="1" operator="lessThan">
      <formula>0</formula>
    </cfRule>
  </conditionalFormatting>
  <conditionalFormatting sqref="D35">
    <cfRule type="cellIs" dxfId="5" priority="7" stopIfTrue="1" operator="greaterThan">
      <formula>$D$37*0.1</formula>
    </cfRule>
  </conditionalFormatting>
  <conditionalFormatting sqref="C35">
    <cfRule type="cellIs" dxfId="4" priority="8" stopIfTrue="1" operator="greaterThan">
      <formula>$C$37*0.1</formula>
    </cfRule>
  </conditionalFormatting>
  <conditionalFormatting sqref="D37">
    <cfRule type="cellIs" dxfId="3" priority="9" stopIfTrue="1" operator="greaterThan">
      <formula>$D$39</formula>
    </cfRule>
  </conditionalFormatting>
  <conditionalFormatting sqref="C37">
    <cfRule type="cellIs" dxfId="2" priority="10" stopIfTrue="1" operator="greaterThan">
      <formula>$C$39</formula>
    </cfRule>
  </conditionalFormatting>
  <conditionalFormatting sqref="D38">
    <cfRule type="cellIs" dxfId="1" priority="3" stopIfTrue="1" operator="lessThan">
      <formula>0</formula>
    </cfRule>
  </conditionalFormatting>
  <conditionalFormatting sqref="C19">
    <cfRule type="cellIs" dxfId="0" priority="1" stopIfTrue="1" operator="greaterThan">
      <formula>$C$21*0.1</formula>
    </cfRule>
  </conditionalFormatting>
  <printOptions horizontalCentered="1"/>
  <pageMargins left="0.5" right="0.5" top="0.5" bottom="0.5" header="0.3" footer="0.3"/>
  <pageSetup scale="94" orientation="portrait" blackAndWhite="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view="pageBreakPreview" zoomScale="60" zoomScaleNormal="85" workbookViewId="0">
      <selection activeCell="F27" sqref="F27"/>
    </sheetView>
  </sheetViews>
  <sheetFormatPr defaultRowHeight="15.75" x14ac:dyDescent="0.2"/>
  <cols>
    <col min="1" max="1" width="11.5546875" style="21" customWidth="1"/>
    <col min="2" max="2" width="7.44140625" style="21" customWidth="1"/>
    <col min="3" max="3" width="11.5546875" style="21" customWidth="1"/>
    <col min="4" max="4" width="7.44140625" style="21" customWidth="1"/>
    <col min="5" max="5" width="11.5546875" style="21" customWidth="1"/>
    <col min="6" max="6" width="7.44140625" style="21" customWidth="1"/>
    <col min="7" max="7" width="11.5546875" style="21" customWidth="1"/>
    <col min="8" max="8" width="7.44140625" style="21" customWidth="1"/>
    <col min="9" max="9" width="11.5546875" style="21" customWidth="1"/>
    <col min="10" max="16384" width="8.88671875" style="21"/>
  </cols>
  <sheetData>
    <row r="1" spans="1:11" x14ac:dyDescent="0.2">
      <c r="A1" s="165" t="str">
        <f>inputPrYr!$D$2</f>
        <v>City of Osawatomie</v>
      </c>
      <c r="B1" s="292"/>
      <c r="C1" s="164"/>
      <c r="D1" s="164"/>
      <c r="E1" s="164"/>
      <c r="F1" s="166" t="s">
        <v>996</v>
      </c>
      <c r="G1" s="164"/>
      <c r="H1" s="164"/>
      <c r="I1" s="164"/>
      <c r="J1" s="164"/>
      <c r="K1" s="164">
        <f>inputPrYr!$C$5</f>
        <v>2014</v>
      </c>
    </row>
    <row r="2" spans="1:11" x14ac:dyDescent="0.2">
      <c r="A2" s="164"/>
      <c r="B2" s="164"/>
      <c r="C2" s="164"/>
      <c r="D2" s="164"/>
      <c r="E2" s="164"/>
      <c r="F2" s="293" t="str">
        <f>CONCATENATE("(Only the actual budget year for ",K1-2," is to be shown)")</f>
        <v>(Only the actual budget year for 2012 is to be shown)</v>
      </c>
      <c r="G2" s="164"/>
      <c r="H2" s="164"/>
      <c r="I2" s="164"/>
      <c r="J2" s="164"/>
      <c r="K2" s="164"/>
    </row>
    <row r="3" spans="1:11" x14ac:dyDescent="0.2">
      <c r="A3" s="164" t="s">
        <v>224</v>
      </c>
      <c r="B3" s="164"/>
      <c r="C3" s="164"/>
      <c r="D3" s="164"/>
      <c r="E3" s="164"/>
      <c r="F3" s="294"/>
      <c r="G3" s="164"/>
      <c r="H3" s="164"/>
      <c r="I3" s="164"/>
      <c r="J3" s="164"/>
      <c r="K3" s="164"/>
    </row>
    <row r="4" spans="1:11" x14ac:dyDescent="0.2">
      <c r="A4" s="164" t="s">
        <v>997</v>
      </c>
      <c r="B4" s="164"/>
      <c r="C4" s="164" t="s">
        <v>998</v>
      </c>
      <c r="D4" s="164"/>
      <c r="E4" s="164" t="s">
        <v>999</v>
      </c>
      <c r="F4" s="292"/>
      <c r="G4" s="164" t="s">
        <v>1000</v>
      </c>
      <c r="H4" s="164"/>
      <c r="I4" s="164" t="s">
        <v>1001</v>
      </c>
      <c r="J4" s="164"/>
      <c r="K4" s="164"/>
    </row>
    <row r="5" spans="1:11" x14ac:dyDescent="0.2">
      <c r="A5" s="1001" t="str">
        <f>IF(inputPrYr!B59&gt;" ",(inputPrYr!B59)," ")</f>
        <v>Capital Projects - General</v>
      </c>
      <c r="B5" s="1002"/>
      <c r="C5" s="1001" t="str">
        <f>IF(inputPrYr!B60&gt;" ",(inputPrYr!B60)," ")</f>
        <v>Capital Improve. - Street</v>
      </c>
      <c r="D5" s="1002"/>
      <c r="E5" s="1001" t="str">
        <f>IF(inputPrYr!B61&gt;" ",(inputPrYr!B61)," ")</f>
        <v>Capital Improve. - Sewer</v>
      </c>
      <c r="F5" s="1002"/>
      <c r="G5" s="1001" t="str">
        <f>IF(inputPrYr!B62&gt;" ",(inputPrYr!B62)," ")</f>
        <v>Capital Improve. - Grants</v>
      </c>
      <c r="H5" s="1002"/>
      <c r="I5" s="1001" t="str">
        <f>IF(inputPrYr!B63&gt;" ",(inputPrYr!B63)," ")</f>
        <v xml:space="preserve"> </v>
      </c>
      <c r="J5" s="1002"/>
      <c r="K5" s="115"/>
    </row>
    <row r="6" spans="1:11" x14ac:dyDescent="0.2">
      <c r="A6" s="296" t="s">
        <v>1002</v>
      </c>
      <c r="B6" s="297"/>
      <c r="C6" s="298" t="s">
        <v>1002</v>
      </c>
      <c r="D6" s="299"/>
      <c r="E6" s="298" t="s">
        <v>1002</v>
      </c>
      <c r="F6" s="295"/>
      <c r="G6" s="298" t="s">
        <v>1002</v>
      </c>
      <c r="H6" s="300"/>
      <c r="I6" s="298" t="s">
        <v>1002</v>
      </c>
      <c r="J6" s="164"/>
      <c r="K6" s="301" t="s">
        <v>822</v>
      </c>
    </row>
    <row r="7" spans="1:11" x14ac:dyDescent="0.2">
      <c r="A7" s="302" t="s">
        <v>737</v>
      </c>
      <c r="B7" s="303">
        <v>3790</v>
      </c>
      <c r="C7" s="304" t="s">
        <v>737</v>
      </c>
      <c r="D7" s="303">
        <v>0</v>
      </c>
      <c r="E7" s="304" t="s">
        <v>737</v>
      </c>
      <c r="F7" s="303">
        <v>0</v>
      </c>
      <c r="G7" s="304" t="s">
        <v>737</v>
      </c>
      <c r="H7" s="303">
        <v>0</v>
      </c>
      <c r="I7" s="304" t="s">
        <v>737</v>
      </c>
      <c r="J7" s="303"/>
      <c r="K7" s="305">
        <f>SUM(B7+D7+F7+H7+J7)</f>
        <v>3790</v>
      </c>
    </row>
    <row r="8" spans="1:11" x14ac:dyDescent="0.2">
      <c r="A8" s="306" t="s">
        <v>973</v>
      </c>
      <c r="B8" s="307"/>
      <c r="C8" s="306" t="s">
        <v>973</v>
      </c>
      <c r="D8" s="308"/>
      <c r="E8" s="306" t="s">
        <v>973</v>
      </c>
      <c r="F8" s="292"/>
      <c r="G8" s="306" t="s">
        <v>973</v>
      </c>
      <c r="H8" s="164"/>
      <c r="I8" s="306" t="s">
        <v>973</v>
      </c>
      <c r="J8" s="164"/>
      <c r="K8" s="292"/>
    </row>
    <row r="9" spans="1:11" x14ac:dyDescent="0.2">
      <c r="A9" s="309" t="s">
        <v>163</v>
      </c>
      <c r="B9" s="303">
        <v>380000</v>
      </c>
      <c r="C9" s="309" t="s">
        <v>221</v>
      </c>
      <c r="D9" s="303">
        <v>3055</v>
      </c>
      <c r="E9" s="309"/>
      <c r="F9" s="303"/>
      <c r="G9" s="309"/>
      <c r="H9" s="303"/>
      <c r="I9" s="309"/>
      <c r="J9" s="303"/>
      <c r="K9" s="292"/>
    </row>
    <row r="10" spans="1:11" x14ac:dyDescent="0.2">
      <c r="A10" s="309" t="s">
        <v>299</v>
      </c>
      <c r="B10" s="303">
        <v>12164</v>
      </c>
      <c r="C10" s="310" t="s">
        <v>901</v>
      </c>
      <c r="D10" s="303">
        <v>1151</v>
      </c>
      <c r="E10" s="309"/>
      <c r="F10" s="303"/>
      <c r="G10" s="309"/>
      <c r="H10" s="303"/>
      <c r="I10" s="309"/>
      <c r="J10" s="303"/>
      <c r="K10" s="292"/>
    </row>
    <row r="11" spans="1:11" x14ac:dyDescent="0.2">
      <c r="A11" s="309"/>
      <c r="B11" s="303"/>
      <c r="C11" s="309" t="s">
        <v>302</v>
      </c>
      <c r="D11" s="303">
        <v>566559</v>
      </c>
      <c r="E11" s="310"/>
      <c r="F11" s="303"/>
      <c r="G11" s="310"/>
      <c r="H11" s="303"/>
      <c r="I11" s="311"/>
      <c r="J11" s="303"/>
      <c r="K11" s="292"/>
    </row>
    <row r="12" spans="1:11" x14ac:dyDescent="0.2">
      <c r="A12" s="309"/>
      <c r="B12" s="303"/>
      <c r="C12" s="309"/>
      <c r="D12" s="303"/>
      <c r="E12" s="312"/>
      <c r="F12" s="303"/>
      <c r="G12" s="312"/>
      <c r="H12" s="303"/>
      <c r="I12" s="312"/>
      <c r="J12" s="303"/>
      <c r="K12" s="292"/>
    </row>
    <row r="13" spans="1:11" x14ac:dyDescent="0.2">
      <c r="A13" s="309"/>
      <c r="B13" s="303"/>
      <c r="C13" s="309"/>
      <c r="D13" s="303"/>
      <c r="E13" s="309"/>
      <c r="F13" s="303"/>
      <c r="G13" s="312"/>
      <c r="H13" s="303"/>
      <c r="I13" s="309"/>
      <c r="J13" s="303"/>
      <c r="K13" s="292"/>
    </row>
    <row r="14" spans="1:11" x14ac:dyDescent="0.2">
      <c r="A14" s="306" t="s">
        <v>859</v>
      </c>
      <c r="B14" s="305">
        <f>SUM(B9:B13)</f>
        <v>392164</v>
      </c>
      <c r="C14" s="306" t="s">
        <v>859</v>
      </c>
      <c r="D14" s="305">
        <f>SUM(D9:D13)</f>
        <v>570765</v>
      </c>
      <c r="E14" s="306" t="s">
        <v>859</v>
      </c>
      <c r="F14" s="370">
        <f>SUM(F9:F13)</f>
        <v>0</v>
      </c>
      <c r="G14" s="306" t="s">
        <v>859</v>
      </c>
      <c r="H14" s="305">
        <f>SUM(H9:H13)</f>
        <v>0</v>
      </c>
      <c r="I14" s="306" t="s">
        <v>859</v>
      </c>
      <c r="J14" s="305">
        <f>SUM(J9:J13)</f>
        <v>0</v>
      </c>
      <c r="K14" s="305">
        <f>SUM(B14+D14+F14+H14+J14)</f>
        <v>962929</v>
      </c>
    </row>
    <row r="15" spans="1:11" x14ac:dyDescent="0.2">
      <c r="A15" s="306" t="s">
        <v>860</v>
      </c>
      <c r="B15" s="305">
        <f>SUM(B7+B14)</f>
        <v>395954</v>
      </c>
      <c r="C15" s="306" t="s">
        <v>860</v>
      </c>
      <c r="D15" s="305">
        <f>SUM(D7+D14)</f>
        <v>570765</v>
      </c>
      <c r="E15" s="306" t="s">
        <v>860</v>
      </c>
      <c r="F15" s="305">
        <f>SUM(F7+F14)</f>
        <v>0</v>
      </c>
      <c r="G15" s="306" t="s">
        <v>860</v>
      </c>
      <c r="H15" s="305">
        <f>SUM(H7+H14)</f>
        <v>0</v>
      </c>
      <c r="I15" s="306" t="s">
        <v>860</v>
      </c>
      <c r="J15" s="305">
        <f>SUM(J7+J14)</f>
        <v>0</v>
      </c>
      <c r="K15" s="305">
        <f>SUM(B15+D15+F15+H15+J15)</f>
        <v>966719</v>
      </c>
    </row>
    <row r="16" spans="1:11" x14ac:dyDescent="0.2">
      <c r="A16" s="306" t="s">
        <v>862</v>
      </c>
      <c r="B16" s="307"/>
      <c r="C16" s="306" t="s">
        <v>862</v>
      </c>
      <c r="D16" s="308"/>
      <c r="E16" s="306" t="s">
        <v>862</v>
      </c>
      <c r="F16" s="292"/>
      <c r="G16" s="306" t="s">
        <v>862</v>
      </c>
      <c r="H16" s="164"/>
      <c r="I16" s="306" t="s">
        <v>862</v>
      </c>
      <c r="J16" s="164"/>
      <c r="K16" s="292"/>
    </row>
    <row r="17" spans="1:12" x14ac:dyDescent="0.2">
      <c r="A17" s="309" t="s">
        <v>152</v>
      </c>
      <c r="B17" s="303">
        <v>4670</v>
      </c>
      <c r="C17" s="312" t="s">
        <v>164</v>
      </c>
      <c r="D17" s="303">
        <v>9002</v>
      </c>
      <c r="E17" s="312"/>
      <c r="F17" s="303"/>
      <c r="G17" s="312"/>
      <c r="H17" s="303"/>
      <c r="I17" s="312"/>
      <c r="J17" s="303"/>
      <c r="K17" s="292"/>
    </row>
    <row r="18" spans="1:12" x14ac:dyDescent="0.2">
      <c r="A18" s="309" t="s">
        <v>220</v>
      </c>
      <c r="B18" s="303">
        <v>5408</v>
      </c>
      <c r="C18" s="312" t="s">
        <v>300</v>
      </c>
      <c r="D18" s="303">
        <v>3691</v>
      </c>
      <c r="E18" s="312"/>
      <c r="F18" s="303"/>
      <c r="G18" s="312"/>
      <c r="H18" s="303"/>
      <c r="I18" s="312"/>
      <c r="J18" s="303"/>
      <c r="K18" s="292"/>
    </row>
    <row r="19" spans="1:12" x14ac:dyDescent="0.2">
      <c r="A19" s="309" t="s">
        <v>300</v>
      </c>
      <c r="B19" s="303">
        <v>4060</v>
      </c>
      <c r="C19" s="314" t="s">
        <v>303</v>
      </c>
      <c r="D19" s="303">
        <v>374112</v>
      </c>
      <c r="E19" s="314"/>
      <c r="F19" s="303"/>
      <c r="G19" s="314"/>
      <c r="H19" s="303"/>
      <c r="I19" s="311"/>
      <c r="J19" s="303"/>
      <c r="K19" s="292"/>
    </row>
    <row r="20" spans="1:12" x14ac:dyDescent="0.2">
      <c r="A20" s="309" t="s">
        <v>170</v>
      </c>
      <c r="B20" s="303">
        <v>21450</v>
      </c>
      <c r="C20" s="312"/>
      <c r="D20" s="303"/>
      <c r="E20" s="312"/>
      <c r="F20" s="303"/>
      <c r="G20" s="312"/>
      <c r="H20" s="303"/>
      <c r="I20" s="312"/>
      <c r="J20" s="303"/>
      <c r="K20" s="292"/>
    </row>
    <row r="21" spans="1:12" x14ac:dyDescent="0.2">
      <c r="A21" s="309" t="s">
        <v>301</v>
      </c>
      <c r="B21" s="303">
        <v>2640</v>
      </c>
      <c r="C21" s="309"/>
      <c r="D21" s="303"/>
      <c r="E21" s="309"/>
      <c r="F21" s="303"/>
      <c r="G21" s="312"/>
      <c r="H21" s="303"/>
      <c r="I21" s="312"/>
      <c r="J21" s="303"/>
      <c r="K21" s="292"/>
    </row>
    <row r="22" spans="1:12" x14ac:dyDescent="0.2">
      <c r="A22" s="306" t="s">
        <v>866</v>
      </c>
      <c r="B22" s="305">
        <f>SUM(B17:B21)</f>
        <v>38228</v>
      </c>
      <c r="C22" s="306" t="s">
        <v>866</v>
      </c>
      <c r="D22" s="305">
        <f>SUM(D17:D21)</f>
        <v>386805</v>
      </c>
      <c r="E22" s="306" t="s">
        <v>866</v>
      </c>
      <c r="F22" s="370">
        <f>SUM(F17:F21)</f>
        <v>0</v>
      </c>
      <c r="G22" s="306" t="s">
        <v>866</v>
      </c>
      <c r="H22" s="370">
        <f>SUM(H17:H21)</f>
        <v>0</v>
      </c>
      <c r="I22" s="306" t="s">
        <v>866</v>
      </c>
      <c r="J22" s="305">
        <f>SUM(J17:J21)</f>
        <v>0</v>
      </c>
      <c r="K22" s="305">
        <f>SUM(B22+D22+F22+H22+J22)</f>
        <v>425033</v>
      </c>
    </row>
    <row r="23" spans="1:12" x14ac:dyDescent="0.2">
      <c r="A23" s="306" t="s">
        <v>1003</v>
      </c>
      <c r="B23" s="305">
        <f>SUM(B15-B22)</f>
        <v>357726</v>
      </c>
      <c r="C23" s="306" t="s">
        <v>1003</v>
      </c>
      <c r="D23" s="305">
        <f>SUM(D15-D22)</f>
        <v>183960</v>
      </c>
      <c r="E23" s="306" t="s">
        <v>1003</v>
      </c>
      <c r="F23" s="305">
        <f>SUM(F15-F22)</f>
        <v>0</v>
      </c>
      <c r="G23" s="306" t="s">
        <v>1003</v>
      </c>
      <c r="H23" s="305">
        <f>SUM(H15-H22)</f>
        <v>0</v>
      </c>
      <c r="I23" s="306" t="s">
        <v>1003</v>
      </c>
      <c r="J23" s="305">
        <f>SUM(J15-J22)</f>
        <v>0</v>
      </c>
      <c r="K23" s="315">
        <f>SUM(B23+D23+F23+H23+J23)</f>
        <v>541686</v>
      </c>
      <c r="L23" s="21" t="s">
        <v>1077</v>
      </c>
    </row>
    <row r="24" spans="1:12" x14ac:dyDescent="0.2">
      <c r="A24" s="306"/>
      <c r="B24" s="339" t="str">
        <f>IF(B23&lt;0,"See Tab B","")</f>
        <v/>
      </c>
      <c r="C24" s="306"/>
      <c r="D24" s="339" t="str">
        <f>IF(D23&lt;0,"See Tab B","")</f>
        <v/>
      </c>
      <c r="E24" s="306"/>
      <c r="F24" s="339" t="str">
        <f>IF(F23&lt;0,"See Tab B","")</f>
        <v/>
      </c>
      <c r="G24" s="164"/>
      <c r="H24" s="339" t="str">
        <f>IF(H23&lt;0,"See Tab B","")</f>
        <v/>
      </c>
      <c r="I24" s="164"/>
      <c r="J24" s="339" t="str">
        <f>IF(J23&lt;0,"See Tab B","")</f>
        <v/>
      </c>
      <c r="K24" s="315">
        <f>SUM(K7+K14-K22)</f>
        <v>541686</v>
      </c>
      <c r="L24" s="21" t="s">
        <v>1077</v>
      </c>
    </row>
    <row r="25" spans="1:12" x14ac:dyDescent="0.2">
      <c r="A25" s="164"/>
      <c r="B25" s="169"/>
      <c r="C25" s="164"/>
      <c r="D25" s="292"/>
      <c r="E25" s="164"/>
      <c r="F25" s="164"/>
      <c r="G25" s="32" t="s">
        <v>1079</v>
      </c>
      <c r="H25" s="32"/>
      <c r="I25" s="32"/>
      <c r="J25" s="32"/>
      <c r="K25" s="164"/>
    </row>
    <row r="26" spans="1:12" x14ac:dyDescent="0.2">
      <c r="A26" s="164"/>
      <c r="B26" s="169"/>
      <c r="C26" s="164"/>
      <c r="D26" s="164"/>
      <c r="E26" s="164"/>
      <c r="F26" s="164"/>
      <c r="G26" s="164"/>
      <c r="H26" s="164"/>
      <c r="I26" s="164"/>
      <c r="J26" s="164"/>
      <c r="K26" s="164"/>
    </row>
    <row r="27" spans="1:12" x14ac:dyDescent="0.2">
      <c r="A27" s="164"/>
      <c r="B27" s="169"/>
      <c r="C27" s="164"/>
      <c r="D27" s="164"/>
      <c r="E27" s="178" t="s">
        <v>869</v>
      </c>
      <c r="F27" s="273">
        <v>24</v>
      </c>
      <c r="G27" s="164"/>
      <c r="H27" s="164"/>
      <c r="I27" s="164"/>
      <c r="J27" s="164"/>
      <c r="K27" s="164"/>
    </row>
    <row r="28" spans="1:12" x14ac:dyDescent="0.2">
      <c r="B28" s="316"/>
    </row>
    <row r="29" spans="1:12" x14ac:dyDescent="0.2">
      <c r="B29" s="316"/>
    </row>
    <row r="30" spans="1:12" x14ac:dyDescent="0.2">
      <c r="B30" s="316"/>
    </row>
    <row r="31" spans="1:12" x14ac:dyDescent="0.2">
      <c r="B31" s="316"/>
    </row>
    <row r="32" spans="1:12" x14ac:dyDescent="0.2">
      <c r="B32" s="316"/>
    </row>
    <row r="33" spans="2:2" x14ac:dyDescent="0.2">
      <c r="B33" s="316"/>
    </row>
    <row r="34" spans="2:2" x14ac:dyDescent="0.2">
      <c r="B34" s="316"/>
    </row>
    <row r="35" spans="2:2" x14ac:dyDescent="0.2">
      <c r="B35" s="316"/>
    </row>
  </sheetData>
  <mergeCells count="5">
    <mergeCell ref="I5:J5"/>
    <mergeCell ref="A5:B5"/>
    <mergeCell ref="C5:D5"/>
    <mergeCell ref="E5:F5"/>
    <mergeCell ref="G5:H5"/>
  </mergeCells>
  <phoneticPr fontId="9" type="noConversion"/>
  <printOptions horizontalCentered="1"/>
  <pageMargins left="0.5" right="0.5" top="0.5" bottom="0.5" header="0.3" footer="0.3"/>
  <pageSetup scale="94" orientation="landscape" blackAndWhite="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view="pageBreakPreview" zoomScale="60" zoomScaleNormal="85" workbookViewId="0">
      <selection activeCell="F27" sqref="F27"/>
    </sheetView>
  </sheetViews>
  <sheetFormatPr defaultRowHeight="15.75" x14ac:dyDescent="0.2"/>
  <cols>
    <col min="1" max="1" width="11.5546875" style="21" customWidth="1"/>
    <col min="2" max="2" width="7.44140625" style="21" customWidth="1"/>
    <col min="3" max="3" width="11.5546875" style="21" customWidth="1"/>
    <col min="4" max="4" width="7.44140625" style="21" customWidth="1"/>
    <col min="5" max="5" width="11.5546875" style="21" customWidth="1"/>
    <col min="6" max="6" width="7.44140625" style="21" customWidth="1"/>
    <col min="7" max="7" width="11.5546875" style="21" customWidth="1"/>
    <col min="8" max="8" width="7.44140625" style="21" customWidth="1"/>
    <col min="9" max="9" width="11.5546875" style="21" customWidth="1"/>
    <col min="10" max="16384" width="8.88671875" style="21"/>
  </cols>
  <sheetData>
    <row r="1" spans="1:11" x14ac:dyDescent="0.2">
      <c r="A1" s="165" t="str">
        <f>inputPrYr!$D$2</f>
        <v>City of Osawatomie</v>
      </c>
      <c r="B1" s="292"/>
      <c r="C1" s="164"/>
      <c r="D1" s="164"/>
      <c r="E1" s="164"/>
      <c r="F1" s="166" t="s">
        <v>1004</v>
      </c>
      <c r="G1" s="164"/>
      <c r="H1" s="164"/>
      <c r="I1" s="164"/>
      <c r="J1" s="164"/>
      <c r="K1" s="164">
        <f>inputPrYr!$C$5</f>
        <v>2014</v>
      </c>
    </row>
    <row r="2" spans="1:11" x14ac:dyDescent="0.2">
      <c r="A2" s="164"/>
      <c r="B2" s="164"/>
      <c r="C2" s="164"/>
      <c r="D2" s="164"/>
      <c r="E2" s="164"/>
      <c r="F2" s="293" t="str">
        <f>CONCATENATE("(Only the actual budget year for ",K1-2," is to be shown)")</f>
        <v>(Only the actual budget year for 2012 is to be shown)</v>
      </c>
      <c r="G2" s="164"/>
      <c r="H2" s="164"/>
      <c r="I2" s="164"/>
      <c r="J2" s="164"/>
      <c r="K2" s="164"/>
    </row>
    <row r="3" spans="1:11" x14ac:dyDescent="0.2">
      <c r="A3" s="164" t="s">
        <v>225</v>
      </c>
      <c r="B3" s="164"/>
      <c r="C3" s="164"/>
      <c r="D3" s="164"/>
      <c r="E3" s="164"/>
      <c r="F3" s="292"/>
      <c r="G3" s="164"/>
      <c r="H3" s="164"/>
      <c r="I3" s="164"/>
      <c r="J3" s="164"/>
      <c r="K3" s="164"/>
    </row>
    <row r="4" spans="1:11" x14ac:dyDescent="0.2">
      <c r="A4" s="164" t="s">
        <v>997</v>
      </c>
      <c r="B4" s="164"/>
      <c r="C4" s="164" t="s">
        <v>998</v>
      </c>
      <c r="D4" s="164"/>
      <c r="E4" s="164" t="s">
        <v>999</v>
      </c>
      <c r="F4" s="292"/>
      <c r="G4" s="164" t="s">
        <v>1000</v>
      </c>
      <c r="H4" s="164"/>
      <c r="I4" s="164" t="s">
        <v>1001</v>
      </c>
      <c r="J4" s="164"/>
      <c r="K4" s="164"/>
    </row>
    <row r="5" spans="1:11" x14ac:dyDescent="0.2">
      <c r="A5" s="1001" t="str">
        <f>IF(inputPrYr!B65&gt;" ",(inputPrYr!B65)," ")</f>
        <v>Fire Insurance Proceeds</v>
      </c>
      <c r="B5" s="1002"/>
      <c r="C5" s="1001" t="str">
        <f>IF(inputPrYr!B66&gt;" ",(inputPrYr!B66)," ")</f>
        <v>Rural Fire</v>
      </c>
      <c r="D5" s="1002"/>
      <c r="E5" s="1001" t="str">
        <f>IF(inputPrYr!B67&gt;" ",(inputPrYr!B67)," ")</f>
        <v>Revolving Fund</v>
      </c>
      <c r="F5" s="1002"/>
      <c r="G5" s="1001" t="str">
        <f>IF(inputPrYr!B68&gt;" ",(inputPrYr!B68)," ")</f>
        <v>Cafeteria 125-HRA</v>
      </c>
      <c r="H5" s="1002"/>
      <c r="I5" s="1001" t="str">
        <f>IF(inputPrYr!B69&gt;" ",(inputPrYr!B69)," ")</f>
        <v>Evidence Liability Fund</v>
      </c>
      <c r="J5" s="1002"/>
      <c r="K5" s="115"/>
    </row>
    <row r="6" spans="1:11" x14ac:dyDescent="0.2">
      <c r="A6" s="296" t="s">
        <v>1002</v>
      </c>
      <c r="B6" s="297"/>
      <c r="C6" s="298" t="s">
        <v>1002</v>
      </c>
      <c r="D6" s="299"/>
      <c r="E6" s="298" t="s">
        <v>1002</v>
      </c>
      <c r="F6" s="295"/>
      <c r="G6" s="298" t="s">
        <v>1002</v>
      </c>
      <c r="H6" s="300"/>
      <c r="I6" s="298" t="s">
        <v>1002</v>
      </c>
      <c r="J6" s="164"/>
      <c r="K6" s="301" t="s">
        <v>822</v>
      </c>
    </row>
    <row r="7" spans="1:11" x14ac:dyDescent="0.2">
      <c r="A7" s="302" t="s">
        <v>737</v>
      </c>
      <c r="B7" s="303">
        <v>1</v>
      </c>
      <c r="C7" s="304" t="s">
        <v>737</v>
      </c>
      <c r="D7" s="303">
        <v>3387</v>
      </c>
      <c r="E7" s="304" t="s">
        <v>737</v>
      </c>
      <c r="F7" s="303">
        <v>72670.12</v>
      </c>
      <c r="G7" s="304" t="s">
        <v>737</v>
      </c>
      <c r="H7" s="303">
        <v>138</v>
      </c>
      <c r="I7" s="304" t="s">
        <v>737</v>
      </c>
      <c r="J7" s="303">
        <v>0</v>
      </c>
      <c r="K7" s="305">
        <f>SUM(B7+D7+F7+H7+J7)</f>
        <v>76196.12</v>
      </c>
    </row>
    <row r="8" spans="1:11" x14ac:dyDescent="0.2">
      <c r="A8" s="306" t="s">
        <v>973</v>
      </c>
      <c r="B8" s="307"/>
      <c r="C8" s="306" t="s">
        <v>973</v>
      </c>
      <c r="D8" s="308"/>
      <c r="E8" s="306" t="s">
        <v>973</v>
      </c>
      <c r="F8" s="292"/>
      <c r="G8" s="306" t="s">
        <v>973</v>
      </c>
      <c r="H8" s="164"/>
      <c r="I8" s="306" t="s">
        <v>973</v>
      </c>
      <c r="J8" s="164"/>
      <c r="K8" s="292"/>
    </row>
    <row r="9" spans="1:11" x14ac:dyDescent="0.2">
      <c r="A9" s="309" t="s">
        <v>901</v>
      </c>
      <c r="B9" s="303"/>
      <c r="C9" s="309" t="s">
        <v>120</v>
      </c>
      <c r="D9" s="303">
        <v>34964</v>
      </c>
      <c r="E9" s="309" t="s">
        <v>178</v>
      </c>
      <c r="F9" s="303">
        <v>88</v>
      </c>
      <c r="G9" s="309" t="s">
        <v>190</v>
      </c>
      <c r="H9" s="303">
        <v>13346</v>
      </c>
      <c r="I9" s="313" t="s">
        <v>309</v>
      </c>
      <c r="J9" s="303"/>
      <c r="K9" s="292"/>
    </row>
    <row r="10" spans="1:11" x14ac:dyDescent="0.2">
      <c r="A10" s="309" t="s">
        <v>171</v>
      </c>
      <c r="B10" s="303"/>
      <c r="C10" s="309"/>
      <c r="D10" s="303"/>
      <c r="E10" s="309"/>
      <c r="F10" s="303"/>
      <c r="G10" s="309" t="s">
        <v>305</v>
      </c>
      <c r="H10" s="303">
        <v>27488</v>
      </c>
      <c r="I10" s="309"/>
      <c r="J10" s="303"/>
      <c r="K10" s="292"/>
    </row>
    <row r="11" spans="1:11" x14ac:dyDescent="0.2">
      <c r="A11" s="309"/>
      <c r="B11" s="303"/>
      <c r="C11" s="312"/>
      <c r="D11" s="303"/>
      <c r="E11" s="312"/>
      <c r="F11" s="303"/>
      <c r="G11" s="312"/>
      <c r="H11" s="303"/>
      <c r="I11" s="312"/>
      <c r="J11" s="303"/>
      <c r="K11" s="292"/>
    </row>
    <row r="12" spans="1:11" x14ac:dyDescent="0.2">
      <c r="A12" s="309"/>
      <c r="B12" s="303"/>
      <c r="C12" s="312"/>
      <c r="D12" s="303"/>
      <c r="E12" s="312"/>
      <c r="F12" s="303"/>
      <c r="G12" s="312"/>
      <c r="H12" s="303"/>
      <c r="I12" s="312"/>
      <c r="J12" s="303"/>
      <c r="K12" s="292"/>
    </row>
    <row r="13" spans="1:11" x14ac:dyDescent="0.2">
      <c r="A13" s="309"/>
      <c r="B13" s="303"/>
      <c r="C13" s="309"/>
      <c r="D13" s="303"/>
      <c r="E13" s="309"/>
      <c r="F13" s="303"/>
      <c r="G13" s="312"/>
      <c r="H13" s="303"/>
      <c r="I13" s="309"/>
      <c r="J13" s="303"/>
      <c r="K13" s="292"/>
    </row>
    <row r="14" spans="1:11" x14ac:dyDescent="0.2">
      <c r="A14" s="306" t="s">
        <v>859</v>
      </c>
      <c r="B14" s="305">
        <f>SUM(B9:B13)</f>
        <v>0</v>
      </c>
      <c r="C14" s="306" t="s">
        <v>859</v>
      </c>
      <c r="D14" s="305">
        <f>SUM(D9:D13)</f>
        <v>34964</v>
      </c>
      <c r="E14" s="306" t="s">
        <v>859</v>
      </c>
      <c r="F14" s="370">
        <f>SUM(F9:F13)</f>
        <v>88</v>
      </c>
      <c r="G14" s="306" t="s">
        <v>859</v>
      </c>
      <c r="H14" s="305">
        <f>SUM(H9:H13)</f>
        <v>40834</v>
      </c>
      <c r="I14" s="306" t="s">
        <v>859</v>
      </c>
      <c r="J14" s="305">
        <f>SUM(J9:J13)</f>
        <v>0</v>
      </c>
      <c r="K14" s="305">
        <f>SUM(B14+D14+F14+H14+J14)</f>
        <v>75886</v>
      </c>
    </row>
    <row r="15" spans="1:11" x14ac:dyDescent="0.2">
      <c r="A15" s="306" t="s">
        <v>860</v>
      </c>
      <c r="B15" s="305">
        <f>SUM(B7+B14)</f>
        <v>1</v>
      </c>
      <c r="C15" s="306" t="s">
        <v>860</v>
      </c>
      <c r="D15" s="305">
        <f>SUM(D7+D14)</f>
        <v>38351</v>
      </c>
      <c r="E15" s="306" t="s">
        <v>860</v>
      </c>
      <c r="F15" s="305">
        <f>SUM(F7+F14)</f>
        <v>72758.12</v>
      </c>
      <c r="G15" s="306" t="s">
        <v>860</v>
      </c>
      <c r="H15" s="305">
        <f>SUM(H7+H14)</f>
        <v>40972</v>
      </c>
      <c r="I15" s="306" t="s">
        <v>860</v>
      </c>
      <c r="J15" s="305">
        <f>SUM(J7+J14)</f>
        <v>0</v>
      </c>
      <c r="K15" s="305">
        <f>SUM(B15+D15+F15+H15+J15)</f>
        <v>152082.12</v>
      </c>
    </row>
    <row r="16" spans="1:11" x14ac:dyDescent="0.2">
      <c r="A16" s="306" t="s">
        <v>862</v>
      </c>
      <c r="B16" s="307"/>
      <c r="C16" s="306" t="s">
        <v>862</v>
      </c>
      <c r="D16" s="308"/>
      <c r="E16" s="306" t="s">
        <v>862</v>
      </c>
      <c r="F16" s="292"/>
      <c r="G16" s="306" t="s">
        <v>862</v>
      </c>
      <c r="H16" s="164"/>
      <c r="I16" s="306" t="s">
        <v>862</v>
      </c>
      <c r="J16" s="164"/>
      <c r="K16" s="292"/>
    </row>
    <row r="17" spans="1:12" x14ac:dyDescent="0.2">
      <c r="A17" s="309" t="s">
        <v>172</v>
      </c>
      <c r="B17" s="303"/>
      <c r="C17" s="309" t="s">
        <v>304</v>
      </c>
      <c r="D17" s="303">
        <v>37588</v>
      </c>
      <c r="E17" s="312"/>
      <c r="F17" s="303"/>
      <c r="G17" s="309" t="s">
        <v>306</v>
      </c>
      <c r="H17" s="303">
        <v>17557</v>
      </c>
      <c r="I17" s="309"/>
      <c r="J17" s="303"/>
      <c r="K17" s="292"/>
    </row>
    <row r="18" spans="1:12" x14ac:dyDescent="0.2">
      <c r="A18" s="309"/>
      <c r="B18" s="303"/>
      <c r="C18" s="312"/>
      <c r="D18" s="303"/>
      <c r="E18" s="312"/>
      <c r="F18" s="303"/>
      <c r="G18" s="312" t="s">
        <v>307</v>
      </c>
      <c r="H18" s="303">
        <v>16000</v>
      </c>
      <c r="I18" s="312"/>
      <c r="J18" s="303"/>
      <c r="K18" s="292"/>
    </row>
    <row r="19" spans="1:12" x14ac:dyDescent="0.2">
      <c r="A19" s="309"/>
      <c r="B19" s="303"/>
      <c r="C19" s="312"/>
      <c r="D19" s="303"/>
      <c r="E19" s="312"/>
      <c r="F19" s="303"/>
      <c r="G19" s="312" t="s">
        <v>308</v>
      </c>
      <c r="H19" s="303">
        <v>2489</v>
      </c>
      <c r="I19" s="312"/>
      <c r="J19" s="303"/>
      <c r="K19" s="292"/>
    </row>
    <row r="20" spans="1:12" x14ac:dyDescent="0.2">
      <c r="A20" s="309"/>
      <c r="B20" s="303"/>
      <c r="C20" s="312"/>
      <c r="D20" s="303"/>
      <c r="E20" s="312"/>
      <c r="F20" s="303"/>
      <c r="G20" s="312"/>
      <c r="H20" s="303"/>
      <c r="I20" s="312"/>
      <c r="J20" s="303"/>
      <c r="K20" s="292"/>
    </row>
    <row r="21" spans="1:12" x14ac:dyDescent="0.2">
      <c r="A21" s="309"/>
      <c r="B21" s="303"/>
      <c r="C21" s="309"/>
      <c r="D21" s="303"/>
      <c r="E21" s="309"/>
      <c r="F21" s="303"/>
      <c r="G21" s="312"/>
      <c r="H21" s="303"/>
      <c r="I21" s="312"/>
      <c r="J21" s="303"/>
      <c r="K21" s="292"/>
    </row>
    <row r="22" spans="1:12" x14ac:dyDescent="0.2">
      <c r="A22" s="306" t="s">
        <v>866</v>
      </c>
      <c r="B22" s="305">
        <f>SUM(B17:B21)</f>
        <v>0</v>
      </c>
      <c r="C22" s="306" t="s">
        <v>866</v>
      </c>
      <c r="D22" s="305">
        <f>SUM(D17:D21)</f>
        <v>37588</v>
      </c>
      <c r="E22" s="306" t="s">
        <v>866</v>
      </c>
      <c r="F22" s="370">
        <f>SUM(F17:F21)</f>
        <v>0</v>
      </c>
      <c r="G22" s="306" t="s">
        <v>866</v>
      </c>
      <c r="H22" s="370">
        <f>SUM(H17:H21)</f>
        <v>36046</v>
      </c>
      <c r="I22" s="306" t="s">
        <v>866</v>
      </c>
      <c r="J22" s="305">
        <f>SUM(J17:J21)</f>
        <v>0</v>
      </c>
      <c r="K22" s="305">
        <f>SUM(B22+D22+F22+H22+J22)</f>
        <v>73634</v>
      </c>
    </row>
    <row r="23" spans="1:12" x14ac:dyDescent="0.2">
      <c r="A23" s="306" t="s">
        <v>1003</v>
      </c>
      <c r="B23" s="305">
        <f>SUM(B15-B22)</f>
        <v>1</v>
      </c>
      <c r="C23" s="306" t="s">
        <v>1003</v>
      </c>
      <c r="D23" s="305">
        <f>SUM(D15-D22)</f>
        <v>763</v>
      </c>
      <c r="E23" s="306" t="s">
        <v>1003</v>
      </c>
      <c r="F23" s="305">
        <f>SUM(F15-F22)</f>
        <v>72758.12</v>
      </c>
      <c r="G23" s="306" t="s">
        <v>1003</v>
      </c>
      <c r="H23" s="305">
        <f>SUM(H15-H22)</f>
        <v>4926</v>
      </c>
      <c r="I23" s="306" t="s">
        <v>1003</v>
      </c>
      <c r="J23" s="305">
        <f>SUM(J15-J22)</f>
        <v>0</v>
      </c>
      <c r="K23" s="315">
        <f>SUM(B23+D23+F23+H23+J23)</f>
        <v>78448.12</v>
      </c>
      <c r="L23" s="21" t="s">
        <v>1077</v>
      </c>
    </row>
    <row r="24" spans="1:12" x14ac:dyDescent="0.2">
      <c r="A24" s="306"/>
      <c r="B24" s="339" t="str">
        <f>IF(B23&lt;0,"See Tab B","")</f>
        <v/>
      </c>
      <c r="C24" s="306"/>
      <c r="D24" s="339" t="str">
        <f>IF(D23&lt;0,"See Tab B","")</f>
        <v/>
      </c>
      <c r="E24" s="306"/>
      <c r="F24" s="339" t="str">
        <f>IF(F23&lt;0,"See Tab B","")</f>
        <v/>
      </c>
      <c r="G24" s="164"/>
      <c r="H24" s="339" t="str">
        <f>IF(H23&lt;0,"See Tab B","")</f>
        <v/>
      </c>
      <c r="I24" s="164"/>
      <c r="J24" s="339" t="str">
        <f>IF(J23&lt;0,"See Tab B","")</f>
        <v/>
      </c>
      <c r="K24" s="315">
        <f>SUM(K7+K14-K22)</f>
        <v>78448.12</v>
      </c>
      <c r="L24" s="21" t="s">
        <v>1077</v>
      </c>
    </row>
    <row r="25" spans="1:12" x14ac:dyDescent="0.2">
      <c r="A25" s="164"/>
      <c r="B25" s="169"/>
      <c r="C25" s="164"/>
      <c r="D25" s="292"/>
      <c r="E25" s="164"/>
      <c r="F25" s="164"/>
      <c r="G25" s="32" t="s">
        <v>1079</v>
      </c>
      <c r="H25" s="32"/>
      <c r="I25" s="32"/>
      <c r="J25" s="32"/>
      <c r="K25" s="164"/>
    </row>
    <row r="26" spans="1:12" x14ac:dyDescent="0.2">
      <c r="A26" s="164"/>
      <c r="B26" s="169"/>
      <c r="C26" s="164"/>
      <c r="D26" s="164"/>
      <c r="E26" s="164"/>
      <c r="F26" s="164"/>
      <c r="G26" s="164"/>
      <c r="H26" s="164"/>
      <c r="I26" s="164"/>
      <c r="J26" s="164"/>
      <c r="K26" s="164"/>
    </row>
    <row r="27" spans="1:12" x14ac:dyDescent="0.2">
      <c r="A27" s="164"/>
      <c r="B27" s="169"/>
      <c r="C27" s="164"/>
      <c r="D27" s="164"/>
      <c r="E27" s="178" t="s">
        <v>869</v>
      </c>
      <c r="F27" s="273">
        <v>25</v>
      </c>
      <c r="G27" s="164"/>
      <c r="H27" s="164"/>
      <c r="I27" s="164"/>
      <c r="J27" s="164"/>
      <c r="K27" s="164"/>
    </row>
    <row r="28" spans="1:12" x14ac:dyDescent="0.2">
      <c r="B28" s="316"/>
    </row>
    <row r="29" spans="1:12" x14ac:dyDescent="0.2">
      <c r="B29" s="316"/>
    </row>
    <row r="30" spans="1:12" x14ac:dyDescent="0.2">
      <c r="B30" s="316"/>
    </row>
    <row r="31" spans="1:12" x14ac:dyDescent="0.2">
      <c r="B31" s="316"/>
    </row>
    <row r="32" spans="1:12" x14ac:dyDescent="0.2">
      <c r="B32" s="316"/>
    </row>
    <row r="33" spans="2:2" x14ac:dyDescent="0.2">
      <c r="B33" s="316"/>
    </row>
    <row r="34" spans="2:2" x14ac:dyDescent="0.2">
      <c r="B34" s="316"/>
    </row>
    <row r="35" spans="2:2" x14ac:dyDescent="0.2">
      <c r="B35" s="316"/>
    </row>
  </sheetData>
  <mergeCells count="5">
    <mergeCell ref="I5:J5"/>
    <mergeCell ref="A5:B5"/>
    <mergeCell ref="C5:D5"/>
    <mergeCell ref="E5:F5"/>
    <mergeCell ref="G5:H5"/>
  </mergeCells>
  <phoneticPr fontId="9" type="noConversion"/>
  <printOptions horizontalCentered="1"/>
  <pageMargins left="0.5" right="0.5" top="0.5" bottom="0.5" header="0.3" footer="0.3"/>
  <pageSetup scale="94" orientation="landscape" blackAndWhite="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view="pageBreakPreview" zoomScale="60" zoomScaleNormal="85" workbookViewId="0">
      <selection activeCell="F28" sqref="F28"/>
    </sheetView>
  </sheetViews>
  <sheetFormatPr defaultRowHeight="15.75" x14ac:dyDescent="0.2"/>
  <cols>
    <col min="1" max="1" width="11.5546875" style="21" customWidth="1"/>
    <col min="2" max="2" width="7.44140625" style="21" customWidth="1"/>
    <col min="3" max="3" width="11.5546875" style="21" customWidth="1"/>
    <col min="4" max="4" width="7.44140625" style="21" customWidth="1"/>
    <col min="5" max="5" width="11.5546875" style="21" customWidth="1"/>
    <col min="6" max="6" width="7.44140625" style="21" customWidth="1"/>
    <col min="7" max="7" width="11.5546875" style="21" customWidth="1"/>
    <col min="8" max="8" width="7.44140625" style="21" customWidth="1"/>
    <col min="9" max="9" width="11.5546875" style="21" customWidth="1"/>
    <col min="10" max="16384" width="8.88671875" style="21"/>
  </cols>
  <sheetData>
    <row r="1" spans="1:11" x14ac:dyDescent="0.2">
      <c r="A1" s="165" t="str">
        <f>inputPrYr!$D$2</f>
        <v>City of Osawatomie</v>
      </c>
      <c r="B1" s="292"/>
      <c r="C1" s="164"/>
      <c r="D1" s="164"/>
      <c r="E1" s="164"/>
      <c r="F1" s="166" t="s">
        <v>1005</v>
      </c>
      <c r="G1" s="164"/>
      <c r="H1" s="164"/>
      <c r="I1" s="164"/>
      <c r="J1" s="164"/>
      <c r="K1" s="164">
        <f>inputPrYr!$C$5</f>
        <v>2014</v>
      </c>
    </row>
    <row r="2" spans="1:11" x14ac:dyDescent="0.2">
      <c r="A2" s="164"/>
      <c r="B2" s="164"/>
      <c r="C2" s="164"/>
      <c r="D2" s="164"/>
      <c r="E2" s="164"/>
      <c r="F2" s="293" t="str">
        <f>CONCATENATE("(Only the actual budget year for ",K1-2," is to be shown)")</f>
        <v>(Only the actual budget year for 2012 is to be shown)</v>
      </c>
      <c r="G2" s="164"/>
      <c r="H2" s="164"/>
      <c r="I2" s="164"/>
      <c r="J2" s="164"/>
      <c r="K2" s="164"/>
    </row>
    <row r="3" spans="1:11" x14ac:dyDescent="0.2">
      <c r="A3" s="164" t="s">
        <v>226</v>
      </c>
      <c r="B3" s="164"/>
      <c r="C3" s="164"/>
      <c r="D3" s="164"/>
      <c r="E3" s="164"/>
      <c r="F3" s="292"/>
      <c r="G3" s="164"/>
      <c r="H3" s="164"/>
      <c r="I3" s="164"/>
      <c r="J3" s="164"/>
      <c r="K3" s="164"/>
    </row>
    <row r="4" spans="1:11" x14ac:dyDescent="0.2">
      <c r="A4" s="164" t="s">
        <v>997</v>
      </c>
      <c r="B4" s="164"/>
      <c r="C4" s="164" t="s">
        <v>998</v>
      </c>
      <c r="D4" s="164"/>
      <c r="E4" s="164" t="s">
        <v>999</v>
      </c>
      <c r="F4" s="292"/>
      <c r="G4" s="164" t="s">
        <v>1000</v>
      </c>
      <c r="H4" s="164"/>
      <c r="I4" s="164" t="s">
        <v>1001</v>
      </c>
      <c r="J4" s="164"/>
      <c r="K4" s="164"/>
    </row>
    <row r="5" spans="1:11" x14ac:dyDescent="0.2">
      <c r="A5" s="1001" t="str">
        <f>IF(inputPrYr!B71&gt;" ",(inputPrYr!B71)," ")</f>
        <v>Court ADSAP</v>
      </c>
      <c r="B5" s="1002"/>
      <c r="C5" s="1001" t="str">
        <f>IF(inputPrYr!B72&gt;" ",(inputPrYr!B72)," ")</f>
        <v>Court Bonds</v>
      </c>
      <c r="D5" s="1002"/>
      <c r="E5" s="1001" t="str">
        <f>IF(inputPrYr!B73&gt;" ",(inputPrYr!B73)," ")</f>
        <v>Forfeitures</v>
      </c>
      <c r="F5" s="1002"/>
      <c r="G5" s="1001" t="str">
        <f>IF(inputPrYr!B74&gt;" ",(inputPrYr!B74)," ")</f>
        <v>Old Stone Church</v>
      </c>
      <c r="H5" s="1002"/>
      <c r="I5" s="1001" t="str">
        <f>IF(inputPrYr!B75&gt;" ",(inputPrYr!B75)," ")</f>
        <v>Pay Pal</v>
      </c>
      <c r="J5" s="1002"/>
      <c r="K5" s="115"/>
    </row>
    <row r="6" spans="1:11" x14ac:dyDescent="0.2">
      <c r="A6" s="296" t="s">
        <v>1002</v>
      </c>
      <c r="B6" s="297"/>
      <c r="C6" s="298" t="s">
        <v>1002</v>
      </c>
      <c r="D6" s="299"/>
      <c r="E6" s="298" t="s">
        <v>1002</v>
      </c>
      <c r="F6" s="295"/>
      <c r="G6" s="298" t="s">
        <v>1002</v>
      </c>
      <c r="H6" s="300"/>
      <c r="I6" s="298" t="s">
        <v>1002</v>
      </c>
      <c r="J6" s="164"/>
      <c r="K6" s="301" t="s">
        <v>822</v>
      </c>
    </row>
    <row r="7" spans="1:11" x14ac:dyDescent="0.2">
      <c r="A7" s="302" t="s">
        <v>737</v>
      </c>
      <c r="B7" s="303">
        <v>5001</v>
      </c>
      <c r="C7" s="304" t="s">
        <v>737</v>
      </c>
      <c r="D7" s="303">
        <v>5658</v>
      </c>
      <c r="E7" s="304" t="s">
        <v>737</v>
      </c>
      <c r="F7" s="303">
        <v>19</v>
      </c>
      <c r="G7" s="304" t="s">
        <v>737</v>
      </c>
      <c r="H7" s="303">
        <v>13</v>
      </c>
      <c r="I7" s="304" t="s">
        <v>737</v>
      </c>
      <c r="J7" s="303">
        <v>0</v>
      </c>
      <c r="K7" s="305">
        <f>SUM(B7+D7+F7+H7+J7)</f>
        <v>10691</v>
      </c>
    </row>
    <row r="8" spans="1:11" x14ac:dyDescent="0.2">
      <c r="A8" s="306" t="s">
        <v>973</v>
      </c>
      <c r="B8" s="307"/>
      <c r="C8" s="306" t="s">
        <v>973</v>
      </c>
      <c r="D8" s="308"/>
      <c r="E8" s="306" t="s">
        <v>973</v>
      </c>
      <c r="F8" s="292"/>
      <c r="G8" s="306" t="s">
        <v>973</v>
      </c>
      <c r="H8" s="164"/>
      <c r="I8" s="306" t="s">
        <v>973</v>
      </c>
      <c r="J8" s="164"/>
      <c r="K8" s="292"/>
    </row>
    <row r="9" spans="1:11" x14ac:dyDescent="0.2">
      <c r="A9" s="309" t="s">
        <v>192</v>
      </c>
      <c r="B9" s="303">
        <v>1910</v>
      </c>
      <c r="C9" s="309" t="s">
        <v>193</v>
      </c>
      <c r="D9" s="303">
        <v>3474</v>
      </c>
      <c r="E9" s="309" t="s">
        <v>195</v>
      </c>
      <c r="F9" s="303">
        <v>38</v>
      </c>
      <c r="G9" s="309" t="s">
        <v>151</v>
      </c>
      <c r="H9" s="303"/>
      <c r="I9" s="309" t="s">
        <v>311</v>
      </c>
      <c r="J9" s="303">
        <v>96</v>
      </c>
      <c r="K9" s="292"/>
    </row>
    <row r="10" spans="1:11" x14ac:dyDescent="0.2">
      <c r="A10" s="309"/>
      <c r="B10" s="303"/>
      <c r="C10" s="309"/>
      <c r="D10" s="303"/>
      <c r="E10" s="309"/>
      <c r="F10" s="303"/>
      <c r="G10" s="309"/>
      <c r="H10" s="303"/>
      <c r="I10" s="309"/>
      <c r="J10" s="303"/>
      <c r="K10" s="292"/>
    </row>
    <row r="11" spans="1:11" x14ac:dyDescent="0.2">
      <c r="A11" s="309"/>
      <c r="B11" s="303"/>
      <c r="C11" s="312"/>
      <c r="D11" s="303"/>
      <c r="E11" s="312"/>
      <c r="F11" s="303"/>
      <c r="G11" s="312"/>
      <c r="H11" s="303"/>
      <c r="I11" s="312"/>
      <c r="J11" s="303"/>
      <c r="K11" s="292"/>
    </row>
    <row r="12" spans="1:11" x14ac:dyDescent="0.2">
      <c r="A12" s="309"/>
      <c r="B12" s="303"/>
      <c r="C12" s="312"/>
      <c r="D12" s="303"/>
      <c r="E12" s="312"/>
      <c r="F12" s="303"/>
      <c r="G12" s="312"/>
      <c r="H12" s="303"/>
      <c r="I12" s="312"/>
      <c r="J12" s="303"/>
      <c r="K12" s="292"/>
    </row>
    <row r="13" spans="1:11" x14ac:dyDescent="0.2">
      <c r="A13" s="309"/>
      <c r="B13" s="303"/>
      <c r="C13" s="309"/>
      <c r="D13" s="303"/>
      <c r="E13" s="309"/>
      <c r="F13" s="303"/>
      <c r="G13" s="312"/>
      <c r="H13" s="303"/>
      <c r="I13" s="309"/>
      <c r="J13" s="303"/>
      <c r="K13" s="292"/>
    </row>
    <row r="14" spans="1:11" x14ac:dyDescent="0.2">
      <c r="A14" s="306" t="s">
        <v>859</v>
      </c>
      <c r="B14" s="305">
        <f>SUM(B9:B13)</f>
        <v>1910</v>
      </c>
      <c r="C14" s="306" t="s">
        <v>859</v>
      </c>
      <c r="D14" s="305">
        <f>SUM(D9:D13)</f>
        <v>3474</v>
      </c>
      <c r="E14" s="306" t="s">
        <v>859</v>
      </c>
      <c r="F14" s="370">
        <f>SUM(F9:F13)</f>
        <v>38</v>
      </c>
      <c r="G14" s="306" t="s">
        <v>859</v>
      </c>
      <c r="H14" s="305">
        <f>SUM(H9:H13)</f>
        <v>0</v>
      </c>
      <c r="I14" s="306" t="s">
        <v>859</v>
      </c>
      <c r="J14" s="305">
        <f>SUM(J9:J13)</f>
        <v>96</v>
      </c>
      <c r="K14" s="305">
        <f>SUM(B14+D14+F14+H14+J14)</f>
        <v>5518</v>
      </c>
    </row>
    <row r="15" spans="1:11" x14ac:dyDescent="0.2">
      <c r="A15" s="306" t="s">
        <v>860</v>
      </c>
      <c r="B15" s="305">
        <f>SUM(B7+B14)</f>
        <v>6911</v>
      </c>
      <c r="C15" s="306" t="s">
        <v>860</v>
      </c>
      <c r="D15" s="305">
        <f>SUM(D7+D14)</f>
        <v>9132</v>
      </c>
      <c r="E15" s="306" t="s">
        <v>860</v>
      </c>
      <c r="F15" s="305">
        <f>SUM(F7+F14)</f>
        <v>57</v>
      </c>
      <c r="G15" s="306" t="s">
        <v>860</v>
      </c>
      <c r="H15" s="305">
        <f>SUM(H7+H14)</f>
        <v>13</v>
      </c>
      <c r="I15" s="306" t="s">
        <v>860</v>
      </c>
      <c r="J15" s="305">
        <f>SUM(J7+J14)</f>
        <v>96</v>
      </c>
      <c r="K15" s="305">
        <f>SUM(B15+D15+F15+H15+J15)</f>
        <v>16209</v>
      </c>
    </row>
    <row r="16" spans="1:11" x14ac:dyDescent="0.2">
      <c r="A16" s="306" t="s">
        <v>862</v>
      </c>
      <c r="B16" s="307"/>
      <c r="C16" s="306" t="s">
        <v>862</v>
      </c>
      <c r="D16" s="308"/>
      <c r="E16" s="306" t="s">
        <v>862</v>
      </c>
      <c r="F16" s="292"/>
      <c r="G16" s="306" t="s">
        <v>862</v>
      </c>
      <c r="H16" s="164"/>
      <c r="I16" s="306" t="s">
        <v>862</v>
      </c>
      <c r="J16" s="164"/>
      <c r="K16" s="292"/>
    </row>
    <row r="17" spans="1:12" x14ac:dyDescent="0.2">
      <c r="A17" s="309" t="s">
        <v>191</v>
      </c>
      <c r="B17" s="303"/>
      <c r="C17" s="309" t="s">
        <v>194</v>
      </c>
      <c r="D17" s="303">
        <v>2611</v>
      </c>
      <c r="E17" s="312" t="s">
        <v>196</v>
      </c>
      <c r="F17" s="303"/>
      <c r="G17" s="312" t="s">
        <v>197</v>
      </c>
      <c r="H17" s="303">
        <v>13</v>
      </c>
      <c r="I17" s="312"/>
      <c r="J17" s="303"/>
      <c r="K17" s="292"/>
    </row>
    <row r="18" spans="1:12" x14ac:dyDescent="0.2">
      <c r="A18" s="309"/>
      <c r="B18" s="303"/>
      <c r="C18" s="312"/>
      <c r="D18" s="303"/>
      <c r="E18" s="312"/>
      <c r="F18" s="303"/>
      <c r="G18" s="312"/>
      <c r="H18" s="303"/>
      <c r="I18" s="312"/>
      <c r="J18" s="303"/>
      <c r="K18" s="292"/>
    </row>
    <row r="19" spans="1:12" x14ac:dyDescent="0.2">
      <c r="A19" s="309"/>
      <c r="B19" s="303"/>
      <c r="C19" s="314"/>
      <c r="D19" s="303"/>
      <c r="E19" s="314"/>
      <c r="F19" s="303"/>
      <c r="G19" s="314"/>
      <c r="H19" s="303"/>
      <c r="I19" s="311"/>
      <c r="J19" s="303"/>
      <c r="K19" s="292"/>
    </row>
    <row r="20" spans="1:12" x14ac:dyDescent="0.2">
      <c r="A20" s="309"/>
      <c r="B20" s="303"/>
      <c r="C20" s="312"/>
      <c r="D20" s="303"/>
      <c r="E20" s="312"/>
      <c r="F20" s="303"/>
      <c r="G20" s="312"/>
      <c r="H20" s="303"/>
      <c r="I20" s="312"/>
      <c r="J20" s="303"/>
      <c r="K20" s="292"/>
    </row>
    <row r="21" spans="1:12" x14ac:dyDescent="0.2">
      <c r="A21" s="309"/>
      <c r="B21" s="303"/>
      <c r="C21" s="309"/>
      <c r="D21" s="303"/>
      <c r="E21" s="309"/>
      <c r="F21" s="303"/>
      <c r="G21" s="312"/>
      <c r="H21" s="303"/>
      <c r="I21" s="312"/>
      <c r="J21" s="303"/>
      <c r="K21" s="292"/>
    </row>
    <row r="22" spans="1:12" x14ac:dyDescent="0.2">
      <c r="A22" s="306" t="s">
        <v>866</v>
      </c>
      <c r="B22" s="305">
        <f>SUM(B17:B21)</f>
        <v>0</v>
      </c>
      <c r="C22" s="306" t="s">
        <v>866</v>
      </c>
      <c r="D22" s="305">
        <f>SUM(D17:D21)</f>
        <v>2611</v>
      </c>
      <c r="E22" s="306" t="s">
        <v>866</v>
      </c>
      <c r="F22" s="370">
        <f>SUM(F17:F21)</f>
        <v>0</v>
      </c>
      <c r="G22" s="306" t="s">
        <v>866</v>
      </c>
      <c r="H22" s="370">
        <f>SUM(H17:H21)</f>
        <v>13</v>
      </c>
      <c r="I22" s="306" t="s">
        <v>866</v>
      </c>
      <c r="J22" s="305">
        <f>SUM(J17:J21)</f>
        <v>0</v>
      </c>
      <c r="K22" s="305">
        <f>SUM(B22+D22+F22+H22+J22)</f>
        <v>2624</v>
      </c>
    </row>
    <row r="23" spans="1:12" x14ac:dyDescent="0.2">
      <c r="A23" s="306" t="s">
        <v>1003</v>
      </c>
      <c r="B23" s="305">
        <f>SUM(B15-B22)</f>
        <v>6911</v>
      </c>
      <c r="C23" s="306" t="s">
        <v>1003</v>
      </c>
      <c r="D23" s="305">
        <f>SUM(D15-D22)</f>
        <v>6521</v>
      </c>
      <c r="E23" s="306" t="s">
        <v>1003</v>
      </c>
      <c r="F23" s="305">
        <f>SUM(F15-F22)</f>
        <v>57</v>
      </c>
      <c r="G23" s="306" t="s">
        <v>1003</v>
      </c>
      <c r="H23" s="305">
        <f>SUM(H15-H22)</f>
        <v>0</v>
      </c>
      <c r="I23" s="306" t="s">
        <v>1003</v>
      </c>
      <c r="J23" s="305">
        <f>SUM(J15-J22)</f>
        <v>96</v>
      </c>
      <c r="K23" s="315">
        <f>SUM(B23+D23+F23+H23+J23)</f>
        <v>13585</v>
      </c>
      <c r="L23" s="21" t="s">
        <v>1077</v>
      </c>
    </row>
    <row r="24" spans="1:12" x14ac:dyDescent="0.2">
      <c r="A24" s="306"/>
      <c r="B24" s="339" t="str">
        <f>IF(B23&lt;0,"See Tab B","")</f>
        <v/>
      </c>
      <c r="C24" s="306"/>
      <c r="D24" s="339" t="str">
        <f>IF(D23&lt;0,"See Tab B","")</f>
        <v/>
      </c>
      <c r="E24" s="306"/>
      <c r="F24" s="339" t="str">
        <f>IF(F23&lt;0,"See Tab B","")</f>
        <v/>
      </c>
      <c r="G24" s="164"/>
      <c r="H24" s="339" t="str">
        <f>IF(H23&lt;0,"See Tab B","")</f>
        <v/>
      </c>
      <c r="I24" s="164"/>
      <c r="J24" s="339" t="str">
        <f>IF(J23&lt;0,"See Tab B","")</f>
        <v/>
      </c>
      <c r="K24" s="315">
        <f>SUM(K7+K14-K22)</f>
        <v>13585</v>
      </c>
      <c r="L24" s="21" t="s">
        <v>1077</v>
      </c>
    </row>
    <row r="25" spans="1:12" x14ac:dyDescent="0.2">
      <c r="A25" s="164"/>
      <c r="B25" s="169"/>
      <c r="C25" s="164"/>
      <c r="D25" s="292"/>
      <c r="E25" s="164"/>
      <c r="F25" s="164"/>
      <c r="G25" s="32" t="s">
        <v>1079</v>
      </c>
      <c r="H25" s="32"/>
      <c r="I25" s="32"/>
      <c r="J25" s="32"/>
      <c r="K25" s="164"/>
    </row>
    <row r="26" spans="1:12" x14ac:dyDescent="0.2">
      <c r="A26" s="164"/>
      <c r="B26" s="169"/>
      <c r="C26" s="164"/>
      <c r="D26" s="164"/>
      <c r="E26" s="164"/>
      <c r="F26" s="164"/>
      <c r="G26" s="317"/>
      <c r="H26" s="164"/>
      <c r="I26" s="164"/>
      <c r="J26" s="164"/>
      <c r="K26" s="164"/>
    </row>
    <row r="27" spans="1:12" x14ac:dyDescent="0.2">
      <c r="A27" s="164"/>
      <c r="B27" s="169"/>
      <c r="C27" s="164"/>
      <c r="D27" s="164"/>
      <c r="E27" s="178" t="s">
        <v>869</v>
      </c>
      <c r="F27" s="273">
        <v>26</v>
      </c>
      <c r="G27" s="164"/>
      <c r="H27" s="164"/>
      <c r="I27" s="164"/>
      <c r="J27" s="164"/>
      <c r="K27" s="164"/>
    </row>
    <row r="28" spans="1:12" x14ac:dyDescent="0.2">
      <c r="B28" s="316"/>
    </row>
    <row r="29" spans="1:12" x14ac:dyDescent="0.2">
      <c r="B29" s="316"/>
    </row>
    <row r="30" spans="1:12" x14ac:dyDescent="0.2">
      <c r="B30" s="316"/>
    </row>
    <row r="31" spans="1:12" x14ac:dyDescent="0.2">
      <c r="B31" s="316"/>
    </row>
    <row r="32" spans="1:12" x14ac:dyDescent="0.2">
      <c r="B32" s="316"/>
    </row>
    <row r="33" spans="2:2" x14ac:dyDescent="0.2">
      <c r="B33" s="316"/>
    </row>
    <row r="34" spans="2:2" x14ac:dyDescent="0.2">
      <c r="B34" s="316"/>
    </row>
    <row r="35" spans="2:2" x14ac:dyDescent="0.2">
      <c r="B35" s="316"/>
    </row>
  </sheetData>
  <mergeCells count="5">
    <mergeCell ref="I5:J5"/>
    <mergeCell ref="A5:B5"/>
    <mergeCell ref="C5:D5"/>
    <mergeCell ref="E5:F5"/>
    <mergeCell ref="G5:H5"/>
  </mergeCells>
  <phoneticPr fontId="9" type="noConversion"/>
  <printOptions horizontalCentered="1"/>
  <pageMargins left="0.5" right="0.5" top="0.5" bottom="0.5" header="0.3" footer="0.3"/>
  <pageSetup scale="94" orientation="landscape" blackAndWhite="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A56" sqref="A56"/>
    </sheetView>
  </sheetViews>
  <sheetFormatPr defaultRowHeight="15.75" x14ac:dyDescent="0.2"/>
  <cols>
    <col min="1" max="1" width="11.5546875" style="21" customWidth="1"/>
    <col min="2" max="2" width="7.44140625" style="21" customWidth="1"/>
    <col min="3" max="3" width="11.5546875" style="21" customWidth="1"/>
    <col min="4" max="4" width="7.44140625" style="21" customWidth="1"/>
    <col min="5" max="5" width="11.5546875" style="21" customWidth="1"/>
    <col min="6" max="6" width="7.44140625" style="21" customWidth="1"/>
    <col min="7" max="7" width="11.5546875" style="21" customWidth="1"/>
    <col min="8" max="8" width="7.44140625" style="21" customWidth="1"/>
    <col min="9" max="9" width="11.5546875" style="21" customWidth="1"/>
    <col min="10" max="16384" width="8.88671875" style="21"/>
  </cols>
  <sheetData>
    <row r="1" spans="1:11" x14ac:dyDescent="0.2">
      <c r="A1" s="165" t="str">
        <f>inputPrYr!$D$2</f>
        <v>City of Osawatomie</v>
      </c>
      <c r="B1" s="292"/>
      <c r="C1" s="164"/>
      <c r="D1" s="164"/>
      <c r="E1" s="164"/>
      <c r="F1" s="166" t="s">
        <v>1006</v>
      </c>
      <c r="G1" s="164"/>
      <c r="H1" s="164"/>
      <c r="I1" s="164"/>
      <c r="J1" s="164"/>
      <c r="K1" s="164">
        <f>inputPrYr!$C$5</f>
        <v>2014</v>
      </c>
    </row>
    <row r="2" spans="1:11" x14ac:dyDescent="0.2">
      <c r="A2" s="164"/>
      <c r="B2" s="164"/>
      <c r="C2" s="164"/>
      <c r="D2" s="164"/>
      <c r="E2" s="164"/>
      <c r="F2" s="293" t="str">
        <f>CONCATENATE("(Only the actual budget year for ",K1-2," is to be shown)")</f>
        <v>(Only the actual budget year for 2012 is to be shown)</v>
      </c>
      <c r="G2" s="164"/>
      <c r="H2" s="164"/>
      <c r="I2" s="164"/>
      <c r="J2" s="164"/>
      <c r="K2" s="164"/>
    </row>
    <row r="3" spans="1:11" x14ac:dyDescent="0.2">
      <c r="A3" s="164" t="s">
        <v>1040</v>
      </c>
      <c r="B3" s="164"/>
      <c r="C3" s="164"/>
      <c r="D3" s="164"/>
      <c r="E3" s="164"/>
      <c r="F3" s="292"/>
      <c r="G3" s="164"/>
      <c r="H3" s="164"/>
      <c r="I3" s="164"/>
      <c r="J3" s="164"/>
      <c r="K3" s="164"/>
    </row>
    <row r="4" spans="1:11" x14ac:dyDescent="0.2">
      <c r="A4" s="164" t="s">
        <v>997</v>
      </c>
      <c r="B4" s="164"/>
      <c r="C4" s="164" t="s">
        <v>998</v>
      </c>
      <c r="D4" s="164"/>
      <c r="E4" s="164" t="s">
        <v>999</v>
      </c>
      <c r="F4" s="292"/>
      <c r="G4" s="164" t="s">
        <v>1000</v>
      </c>
      <c r="H4" s="164"/>
      <c r="I4" s="164" t="s">
        <v>1001</v>
      </c>
      <c r="J4" s="164"/>
      <c r="K4" s="164"/>
    </row>
    <row r="5" spans="1:11" x14ac:dyDescent="0.2">
      <c r="A5" s="1001" t="str">
        <f>IF(inputPrYr!B77&gt;" ",(inputPrYr!B77)," ")</f>
        <v xml:space="preserve"> </v>
      </c>
      <c r="B5" s="1002"/>
      <c r="C5" s="1001" t="str">
        <f>IF(inputPrYr!B78&gt;" ",(inputPrYr!B78)," ")</f>
        <v xml:space="preserve"> </v>
      </c>
      <c r="D5" s="1002"/>
      <c r="E5" s="1001" t="str">
        <f>IF(inputPrYr!B79&gt;" ",(inputPrYr!B79)," ")</f>
        <v xml:space="preserve"> </v>
      </c>
      <c r="F5" s="1002"/>
      <c r="G5" s="1001" t="str">
        <f>IF(inputPrYr!B80&gt;" ",(inputPrYr!B80)," ")</f>
        <v xml:space="preserve"> </v>
      </c>
      <c r="H5" s="1002"/>
      <c r="I5" s="1001" t="str">
        <f>IF(inputPrYr!B81&gt;" ",(inputPrYr!B81)," ")</f>
        <v xml:space="preserve"> </v>
      </c>
      <c r="J5" s="1002"/>
      <c r="K5" s="115"/>
    </row>
    <row r="6" spans="1:11" x14ac:dyDescent="0.2">
      <c r="A6" s="296" t="s">
        <v>1002</v>
      </c>
      <c r="B6" s="297"/>
      <c r="C6" s="298" t="s">
        <v>1002</v>
      </c>
      <c r="D6" s="299"/>
      <c r="E6" s="298" t="s">
        <v>1002</v>
      </c>
      <c r="F6" s="295"/>
      <c r="G6" s="298" t="s">
        <v>1002</v>
      </c>
      <c r="H6" s="300"/>
      <c r="I6" s="298" t="s">
        <v>1002</v>
      </c>
      <c r="J6" s="164"/>
      <c r="K6" s="301" t="s">
        <v>822</v>
      </c>
    </row>
    <row r="7" spans="1:11" x14ac:dyDescent="0.2">
      <c r="A7" s="302" t="s">
        <v>737</v>
      </c>
      <c r="B7" s="303"/>
      <c r="C7" s="304" t="s">
        <v>737</v>
      </c>
      <c r="D7" s="303"/>
      <c r="E7" s="304" t="s">
        <v>737</v>
      </c>
      <c r="F7" s="303"/>
      <c r="G7" s="304" t="s">
        <v>737</v>
      </c>
      <c r="H7" s="303"/>
      <c r="I7" s="304" t="s">
        <v>737</v>
      </c>
      <c r="J7" s="303"/>
      <c r="K7" s="305">
        <f>SUM(B7+D7+F7+H7+J7)</f>
        <v>0</v>
      </c>
    </row>
    <row r="8" spans="1:11" x14ac:dyDescent="0.2">
      <c r="A8" s="306" t="s">
        <v>973</v>
      </c>
      <c r="B8" s="307"/>
      <c r="C8" s="306" t="s">
        <v>973</v>
      </c>
      <c r="D8" s="308"/>
      <c r="E8" s="306" t="s">
        <v>973</v>
      </c>
      <c r="F8" s="292"/>
      <c r="G8" s="306" t="s">
        <v>973</v>
      </c>
      <c r="H8" s="164"/>
      <c r="I8" s="306" t="s">
        <v>973</v>
      </c>
      <c r="J8" s="164"/>
      <c r="K8" s="292"/>
    </row>
    <row r="9" spans="1:11" x14ac:dyDescent="0.2">
      <c r="A9" s="309"/>
      <c r="B9" s="303"/>
      <c r="C9" s="309"/>
      <c r="D9" s="303"/>
      <c r="E9" s="309"/>
      <c r="F9" s="303"/>
      <c r="G9" s="309"/>
      <c r="H9" s="303"/>
      <c r="I9" s="309"/>
      <c r="J9" s="303"/>
      <c r="K9" s="292"/>
    </row>
    <row r="10" spans="1:11" x14ac:dyDescent="0.2">
      <c r="A10" s="309"/>
      <c r="B10" s="303"/>
      <c r="C10" s="309"/>
      <c r="D10" s="303"/>
      <c r="E10" s="309"/>
      <c r="F10" s="303"/>
      <c r="G10" s="309"/>
      <c r="H10" s="303"/>
      <c r="I10" s="309"/>
      <c r="J10" s="303"/>
      <c r="K10" s="292"/>
    </row>
    <row r="11" spans="1:11" x14ac:dyDescent="0.2">
      <c r="A11" s="309"/>
      <c r="B11" s="303"/>
      <c r="C11" s="310"/>
      <c r="D11" s="303"/>
      <c r="E11" s="310"/>
      <c r="F11" s="303"/>
      <c r="G11" s="310"/>
      <c r="H11" s="303"/>
      <c r="I11" s="311"/>
      <c r="J11" s="303"/>
      <c r="K11" s="292"/>
    </row>
    <row r="12" spans="1:11" x14ac:dyDescent="0.2">
      <c r="A12" s="309"/>
      <c r="B12" s="303"/>
      <c r="C12" s="309"/>
      <c r="D12" s="303"/>
      <c r="E12" s="312"/>
      <c r="F12" s="303"/>
      <c r="G12" s="312"/>
      <c r="H12" s="303"/>
      <c r="I12" s="312"/>
      <c r="J12" s="303"/>
      <c r="K12" s="292"/>
    </row>
    <row r="13" spans="1:11" x14ac:dyDescent="0.2">
      <c r="A13" s="313"/>
      <c r="B13" s="303"/>
      <c r="C13" s="314"/>
      <c r="D13" s="303"/>
      <c r="E13" s="314"/>
      <c r="F13" s="303"/>
      <c r="G13" s="314"/>
      <c r="H13" s="303"/>
      <c r="I13" s="311"/>
      <c r="J13" s="303"/>
      <c r="K13" s="292"/>
    </row>
    <row r="14" spans="1:11" x14ac:dyDescent="0.2">
      <c r="A14" s="309"/>
      <c r="B14" s="303"/>
      <c r="C14" s="312"/>
      <c r="D14" s="303"/>
      <c r="E14" s="312"/>
      <c r="F14" s="303"/>
      <c r="G14" s="312"/>
      <c r="H14" s="303"/>
      <c r="I14" s="312"/>
      <c r="J14" s="303"/>
      <c r="K14" s="292"/>
    </row>
    <row r="15" spans="1:11" x14ac:dyDescent="0.2">
      <c r="A15" s="309"/>
      <c r="B15" s="303"/>
      <c r="C15" s="312"/>
      <c r="D15" s="303"/>
      <c r="E15" s="312"/>
      <c r="F15" s="303"/>
      <c r="G15" s="312"/>
      <c r="H15" s="303"/>
      <c r="I15" s="312"/>
      <c r="J15" s="303"/>
      <c r="K15" s="292"/>
    </row>
    <row r="16" spans="1:11" x14ac:dyDescent="0.2">
      <c r="A16" s="309"/>
      <c r="B16" s="303"/>
      <c r="C16" s="309"/>
      <c r="D16" s="303"/>
      <c r="E16" s="309"/>
      <c r="F16" s="303"/>
      <c r="G16" s="312"/>
      <c r="H16" s="303"/>
      <c r="I16" s="309"/>
      <c r="J16" s="303"/>
      <c r="K16" s="292"/>
    </row>
    <row r="17" spans="1:12" x14ac:dyDescent="0.2">
      <c r="A17" s="306" t="s">
        <v>859</v>
      </c>
      <c r="B17" s="305">
        <f>SUM(B9:B16)</f>
        <v>0</v>
      </c>
      <c r="C17" s="306" t="s">
        <v>859</v>
      </c>
      <c r="D17" s="305">
        <f>SUM(D9:D16)</f>
        <v>0</v>
      </c>
      <c r="E17" s="306" t="s">
        <v>859</v>
      </c>
      <c r="F17" s="370">
        <f>SUM(F9:F16)</f>
        <v>0</v>
      </c>
      <c r="G17" s="306" t="s">
        <v>859</v>
      </c>
      <c r="H17" s="305">
        <f>SUM(H9:H16)</f>
        <v>0</v>
      </c>
      <c r="I17" s="306" t="s">
        <v>859</v>
      </c>
      <c r="J17" s="305">
        <f>SUM(J9:J16)</f>
        <v>0</v>
      </c>
      <c r="K17" s="305">
        <f>SUM(B17+D17+F17+H17+J17)</f>
        <v>0</v>
      </c>
    </row>
    <row r="18" spans="1:12" x14ac:dyDescent="0.2">
      <c r="A18" s="306" t="s">
        <v>860</v>
      </c>
      <c r="B18" s="305">
        <f>SUM(B7+B17)</f>
        <v>0</v>
      </c>
      <c r="C18" s="306" t="s">
        <v>860</v>
      </c>
      <c r="D18" s="305">
        <f>SUM(D7+D17)</f>
        <v>0</v>
      </c>
      <c r="E18" s="306" t="s">
        <v>860</v>
      </c>
      <c r="F18" s="305">
        <f>SUM(F7+F17)</f>
        <v>0</v>
      </c>
      <c r="G18" s="306" t="s">
        <v>860</v>
      </c>
      <c r="H18" s="305">
        <f>SUM(H7+H17)</f>
        <v>0</v>
      </c>
      <c r="I18" s="306" t="s">
        <v>860</v>
      </c>
      <c r="J18" s="305">
        <f>SUM(J7+J17)</f>
        <v>0</v>
      </c>
      <c r="K18" s="305">
        <f>SUM(B18+D18+F18+H18+J18)</f>
        <v>0</v>
      </c>
    </row>
    <row r="19" spans="1:12" x14ac:dyDescent="0.2">
      <c r="A19" s="306" t="s">
        <v>862</v>
      </c>
      <c r="B19" s="307"/>
      <c r="C19" s="306" t="s">
        <v>862</v>
      </c>
      <c r="D19" s="308"/>
      <c r="E19" s="306" t="s">
        <v>862</v>
      </c>
      <c r="F19" s="292"/>
      <c r="G19" s="306" t="s">
        <v>862</v>
      </c>
      <c r="H19" s="164"/>
      <c r="I19" s="306" t="s">
        <v>862</v>
      </c>
      <c r="J19" s="164"/>
      <c r="K19" s="292"/>
    </row>
    <row r="20" spans="1:12" x14ac:dyDescent="0.2">
      <c r="A20" s="309"/>
      <c r="B20" s="303"/>
      <c r="C20" s="312"/>
      <c r="D20" s="303"/>
      <c r="E20" s="312"/>
      <c r="F20" s="303"/>
      <c r="G20" s="312"/>
      <c r="H20" s="303"/>
      <c r="I20" s="312"/>
      <c r="J20" s="303"/>
      <c r="K20" s="292"/>
    </row>
    <row r="21" spans="1:12" x14ac:dyDescent="0.2">
      <c r="A21" s="309"/>
      <c r="B21" s="303"/>
      <c r="C21" s="312"/>
      <c r="D21" s="303"/>
      <c r="E21" s="312"/>
      <c r="F21" s="303"/>
      <c r="G21" s="312"/>
      <c r="H21" s="303"/>
      <c r="I21" s="312"/>
      <c r="J21" s="303"/>
      <c r="K21" s="292"/>
    </row>
    <row r="22" spans="1:12" x14ac:dyDescent="0.2">
      <c r="A22" s="309"/>
      <c r="B22" s="303"/>
      <c r="C22" s="314"/>
      <c r="D22" s="303"/>
      <c r="E22" s="314"/>
      <c r="F22" s="303"/>
      <c r="G22" s="314"/>
      <c r="H22" s="303"/>
      <c r="I22" s="311"/>
      <c r="J22" s="303"/>
      <c r="K22" s="292"/>
    </row>
    <row r="23" spans="1:12" x14ac:dyDescent="0.2">
      <c r="A23" s="309"/>
      <c r="B23" s="303"/>
      <c r="C23" s="312"/>
      <c r="D23" s="303"/>
      <c r="E23" s="312"/>
      <c r="F23" s="303"/>
      <c r="G23" s="312"/>
      <c r="H23" s="303"/>
      <c r="I23" s="312"/>
      <c r="J23" s="303"/>
      <c r="K23" s="292"/>
    </row>
    <row r="24" spans="1:12" x14ac:dyDescent="0.2">
      <c r="A24" s="309"/>
      <c r="B24" s="303"/>
      <c r="C24" s="314"/>
      <c r="D24" s="303"/>
      <c r="E24" s="314"/>
      <c r="F24" s="303"/>
      <c r="G24" s="314"/>
      <c r="H24" s="303"/>
      <c r="I24" s="311"/>
      <c r="J24" s="303"/>
      <c r="K24" s="292"/>
    </row>
    <row r="25" spans="1:12" x14ac:dyDescent="0.2">
      <c r="A25" s="309"/>
      <c r="B25" s="303"/>
      <c r="C25" s="312"/>
      <c r="D25" s="303"/>
      <c r="E25" s="312"/>
      <c r="F25" s="303"/>
      <c r="G25" s="312"/>
      <c r="H25" s="303"/>
      <c r="I25" s="312"/>
      <c r="J25" s="303"/>
      <c r="K25" s="292"/>
    </row>
    <row r="26" spans="1:12" x14ac:dyDescent="0.2">
      <c r="A26" s="309"/>
      <c r="B26" s="303"/>
      <c r="C26" s="312"/>
      <c r="D26" s="303"/>
      <c r="E26" s="312"/>
      <c r="F26" s="303"/>
      <c r="G26" s="312"/>
      <c r="H26" s="303"/>
      <c r="I26" s="312"/>
      <c r="J26" s="303"/>
      <c r="K26" s="292"/>
    </row>
    <row r="27" spans="1:12" x14ac:dyDescent="0.2">
      <c r="A27" s="309"/>
      <c r="B27" s="303"/>
      <c r="C27" s="309"/>
      <c r="D27" s="303"/>
      <c r="E27" s="309"/>
      <c r="F27" s="303"/>
      <c r="G27" s="312"/>
      <c r="H27" s="303"/>
      <c r="I27" s="312"/>
      <c r="J27" s="303"/>
      <c r="K27" s="292"/>
    </row>
    <row r="28" spans="1:12" x14ac:dyDescent="0.2">
      <c r="A28" s="306" t="s">
        <v>866</v>
      </c>
      <c r="B28" s="305">
        <f>SUM(B20:B27)</f>
        <v>0</v>
      </c>
      <c r="C28" s="306" t="s">
        <v>866</v>
      </c>
      <c r="D28" s="305">
        <f>SUM(D20:D27)</f>
        <v>0</v>
      </c>
      <c r="E28" s="306" t="s">
        <v>866</v>
      </c>
      <c r="F28" s="370">
        <f>SUM(F20:F27)</f>
        <v>0</v>
      </c>
      <c r="G28" s="306" t="s">
        <v>866</v>
      </c>
      <c r="H28" s="370">
        <f>SUM(H20:H27)</f>
        <v>0</v>
      </c>
      <c r="I28" s="306" t="s">
        <v>866</v>
      </c>
      <c r="J28" s="305">
        <f>SUM(J20:J27)</f>
        <v>0</v>
      </c>
      <c r="K28" s="305">
        <f>SUM(B28+D28+F28+H28+J28)</f>
        <v>0</v>
      </c>
    </row>
    <row r="29" spans="1:12" x14ac:dyDescent="0.2">
      <c r="A29" s="306" t="s">
        <v>1003</v>
      </c>
      <c r="B29" s="305">
        <f>SUM(B18-B28)</f>
        <v>0</v>
      </c>
      <c r="C29" s="306" t="s">
        <v>1003</v>
      </c>
      <c r="D29" s="305">
        <f>SUM(D18-D28)</f>
        <v>0</v>
      </c>
      <c r="E29" s="306" t="s">
        <v>1003</v>
      </c>
      <c r="F29" s="305">
        <f>SUM(F18-F28)</f>
        <v>0</v>
      </c>
      <c r="G29" s="306" t="s">
        <v>1003</v>
      </c>
      <c r="H29" s="305">
        <f>SUM(H18-H28)</f>
        <v>0</v>
      </c>
      <c r="I29" s="306" t="s">
        <v>1003</v>
      </c>
      <c r="J29" s="305">
        <f>SUM(J18-J28)</f>
        <v>0</v>
      </c>
      <c r="K29" s="315">
        <f>SUM(B29+D29+F29+H29+J29)</f>
        <v>0</v>
      </c>
      <c r="L29" s="21" t="s">
        <v>1077</v>
      </c>
    </row>
    <row r="30" spans="1:12" x14ac:dyDescent="0.2">
      <c r="A30" s="306"/>
      <c r="B30" s="339" t="str">
        <f>IF(B29&lt;0,"See Tab B","")</f>
        <v/>
      </c>
      <c r="C30" s="306"/>
      <c r="D30" s="339" t="str">
        <f>IF(D29&lt;0,"See Tab B","")</f>
        <v/>
      </c>
      <c r="E30" s="306"/>
      <c r="F30" s="339" t="str">
        <f>IF(F29&lt;0,"See Tab B","")</f>
        <v/>
      </c>
      <c r="G30" s="164"/>
      <c r="H30" s="339" t="str">
        <f>IF(H29&lt;0,"See Tab B","")</f>
        <v/>
      </c>
      <c r="I30" s="164"/>
      <c r="J30" s="339" t="str">
        <f>IF(J29&lt;0,"See Tab B","")</f>
        <v/>
      </c>
      <c r="K30" s="315">
        <f>SUM(K7+K17-K28)</f>
        <v>0</v>
      </c>
      <c r="L30" s="21" t="s">
        <v>1077</v>
      </c>
    </row>
    <row r="31" spans="1:12" x14ac:dyDescent="0.2">
      <c r="A31" s="164"/>
      <c r="B31" s="169"/>
      <c r="C31" s="164"/>
      <c r="D31" s="292"/>
      <c r="E31" s="164"/>
      <c r="F31" s="164"/>
      <c r="G31" s="32" t="s">
        <v>1078</v>
      </c>
      <c r="H31" s="32"/>
      <c r="I31" s="32"/>
      <c r="J31" s="32"/>
      <c r="K31" s="164"/>
    </row>
    <row r="32" spans="1:12" x14ac:dyDescent="0.2">
      <c r="A32" s="164"/>
      <c r="B32" s="169"/>
      <c r="C32" s="164"/>
      <c r="D32" s="164"/>
      <c r="E32" s="164"/>
      <c r="F32" s="164"/>
      <c r="G32" s="164"/>
      <c r="H32" s="164"/>
      <c r="I32" s="164"/>
      <c r="J32" s="164"/>
      <c r="K32" s="164"/>
    </row>
    <row r="33" spans="1:11" x14ac:dyDescent="0.2">
      <c r="A33" s="164"/>
      <c r="B33" s="169"/>
      <c r="C33" s="164"/>
      <c r="D33" s="164"/>
      <c r="E33" s="178" t="s">
        <v>869</v>
      </c>
      <c r="F33" s="273"/>
      <c r="G33" s="164"/>
      <c r="H33" s="164"/>
      <c r="I33" s="164"/>
      <c r="J33" s="164"/>
      <c r="K33" s="164"/>
    </row>
    <row r="34" spans="1:11" x14ac:dyDescent="0.2">
      <c r="B34" s="316"/>
    </row>
    <row r="35" spans="1:11" x14ac:dyDescent="0.2">
      <c r="B35" s="316"/>
    </row>
    <row r="36" spans="1:11" x14ac:dyDescent="0.2">
      <c r="B36" s="316"/>
    </row>
    <row r="37" spans="1:11" x14ac:dyDescent="0.2">
      <c r="B37" s="316"/>
    </row>
    <row r="38" spans="1:11" x14ac:dyDescent="0.2">
      <c r="B38" s="316"/>
    </row>
    <row r="39" spans="1:11" x14ac:dyDescent="0.2">
      <c r="B39" s="316"/>
    </row>
    <row r="40" spans="1:11" x14ac:dyDescent="0.2">
      <c r="B40" s="316"/>
    </row>
    <row r="41" spans="1:11" x14ac:dyDescent="0.2">
      <c r="B41" s="316"/>
    </row>
  </sheetData>
  <sheetProtection sheet="1" objects="1" scenarios="1"/>
  <mergeCells count="5">
    <mergeCell ref="I5:J5"/>
    <mergeCell ref="A5:B5"/>
    <mergeCell ref="C5:D5"/>
    <mergeCell ref="E5:F5"/>
    <mergeCell ref="G5:H5"/>
  </mergeCells>
  <phoneticPr fontId="9" type="noConversion"/>
  <pageMargins left="0.75" right="0.75" top="1" bottom="1" header="0.5" footer="0.5"/>
  <pageSetup scale="88" orientation="landscape" blackAndWhite="1" r:id="rId1"/>
  <headerFooter alignWithMargins="0">
    <oddHeader>&amp;RState of Kansas
City</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66"/>
  <sheetViews>
    <sheetView view="pageBreakPreview" zoomScale="60" zoomScaleNormal="100" workbookViewId="0">
      <selection activeCell="A7" sqref="A7:H7"/>
    </sheetView>
  </sheetViews>
  <sheetFormatPr defaultRowHeight="15" x14ac:dyDescent="0.2"/>
  <cols>
    <col min="1" max="1" width="70.5546875" style="95" customWidth="1"/>
    <col min="2" max="16384" width="8.88671875" style="95"/>
  </cols>
  <sheetData>
    <row r="1" spans="1:1" ht="18.75" x14ac:dyDescent="0.3">
      <c r="A1" s="506" t="s">
        <v>1101</v>
      </c>
    </row>
    <row r="2" spans="1:1" ht="15.75" x14ac:dyDescent="0.25">
      <c r="A2" s="1"/>
    </row>
    <row r="3" spans="1:1" ht="57" customHeight="1" x14ac:dyDescent="0.25">
      <c r="A3" s="507" t="s">
        <v>1102</v>
      </c>
    </row>
    <row r="4" spans="1:1" ht="15.75" x14ac:dyDescent="0.25">
      <c r="A4" s="505"/>
    </row>
    <row r="5" spans="1:1" ht="15.75" x14ac:dyDescent="0.25">
      <c r="A5" s="1"/>
    </row>
    <row r="6" spans="1:1" ht="44.25" customHeight="1" x14ac:dyDescent="0.25">
      <c r="A6" s="507" t="s">
        <v>1103</v>
      </c>
    </row>
    <row r="7" spans="1:1" ht="15.75" x14ac:dyDescent="0.25">
      <c r="A7" s="1"/>
    </row>
    <row r="8" spans="1:1" ht="15.75" x14ac:dyDescent="0.25">
      <c r="A8" s="505"/>
    </row>
    <row r="9" spans="1:1" ht="46.5" customHeight="1" x14ac:dyDescent="0.25">
      <c r="A9" s="507" t="s">
        <v>1104</v>
      </c>
    </row>
    <row r="10" spans="1:1" ht="15.75" x14ac:dyDescent="0.25">
      <c r="A10" s="1"/>
    </row>
    <row r="11" spans="1:1" ht="15.75" x14ac:dyDescent="0.25">
      <c r="A11" s="505"/>
    </row>
    <row r="12" spans="1:1" ht="60" customHeight="1" x14ac:dyDescent="0.25">
      <c r="A12" s="507" t="s">
        <v>1105</v>
      </c>
    </row>
    <row r="13" spans="1:1" ht="15.75" x14ac:dyDescent="0.25">
      <c r="A13" s="1"/>
    </row>
    <row r="14" spans="1:1" ht="15.75" x14ac:dyDescent="0.25">
      <c r="A14" s="1"/>
    </row>
    <row r="15" spans="1:1" ht="61.5" customHeight="1" x14ac:dyDescent="0.25">
      <c r="A15" s="507" t="s">
        <v>1106</v>
      </c>
    </row>
    <row r="16" spans="1:1" ht="15.75" x14ac:dyDescent="0.25">
      <c r="A16" s="1"/>
    </row>
    <row r="17" spans="1:1" ht="15.75" x14ac:dyDescent="0.25">
      <c r="A17" s="1"/>
    </row>
    <row r="18" spans="1:1" ht="59.25" customHeight="1" x14ac:dyDescent="0.25">
      <c r="A18" s="507" t="s">
        <v>1107</v>
      </c>
    </row>
    <row r="19" spans="1:1" ht="15.75" x14ac:dyDescent="0.25">
      <c r="A19" s="1"/>
    </row>
    <row r="20" spans="1:1" ht="15.75" x14ac:dyDescent="0.25">
      <c r="A20" s="1"/>
    </row>
    <row r="21" spans="1:1" ht="61.5" customHeight="1" x14ac:dyDescent="0.25">
      <c r="A21" s="507" t="s">
        <v>1108</v>
      </c>
    </row>
    <row r="22" spans="1:1" ht="15.75" x14ac:dyDescent="0.25">
      <c r="A22" s="505"/>
    </row>
    <row r="23" spans="1:1" ht="15.75" x14ac:dyDescent="0.25">
      <c r="A23" s="505"/>
    </row>
    <row r="24" spans="1:1" ht="63" customHeight="1" x14ac:dyDescent="0.25">
      <c r="A24" s="507" t="s">
        <v>1109</v>
      </c>
    </row>
    <row r="25" spans="1:1" ht="15.75" x14ac:dyDescent="0.25">
      <c r="A25" s="1"/>
    </row>
    <row r="26" spans="1:1" ht="15.75" x14ac:dyDescent="0.25">
      <c r="A26" s="1"/>
    </row>
    <row r="27" spans="1:1" ht="52.5" customHeight="1" x14ac:dyDescent="0.25">
      <c r="A27" s="518" t="s">
        <v>608</v>
      </c>
    </row>
    <row r="28" spans="1:1" ht="15.75" x14ac:dyDescent="0.25">
      <c r="A28" s="1"/>
    </row>
    <row r="29" spans="1:1" ht="15.75" x14ac:dyDescent="0.25">
      <c r="A29" s="1"/>
    </row>
    <row r="30" spans="1:1" ht="44.25" customHeight="1" x14ac:dyDescent="0.25">
      <c r="A30" s="507" t="s">
        <v>1110</v>
      </c>
    </row>
    <row r="31" spans="1:1" ht="15.75" x14ac:dyDescent="0.25">
      <c r="A31" s="1"/>
    </row>
    <row r="32" spans="1:1" ht="15.75" x14ac:dyDescent="0.25">
      <c r="A32" s="1"/>
    </row>
    <row r="33" spans="1:1" ht="42.75" customHeight="1" x14ac:dyDescent="0.25">
      <c r="A33" s="507" t="s">
        <v>1111</v>
      </c>
    </row>
    <row r="34" spans="1:1" ht="15.75" x14ac:dyDescent="0.25">
      <c r="A34" s="505"/>
    </row>
    <row r="35" spans="1:1" ht="15.75" x14ac:dyDescent="0.25">
      <c r="A35" s="505"/>
    </row>
    <row r="36" spans="1:1" ht="38.25" customHeight="1" x14ac:dyDescent="0.25">
      <c r="A36" s="507" t="s">
        <v>1112</v>
      </c>
    </row>
    <row r="37" spans="1:1" ht="15.75" x14ac:dyDescent="0.25">
      <c r="A37" s="505"/>
    </row>
    <row r="38" spans="1:1" ht="15.75" x14ac:dyDescent="0.25">
      <c r="A38" s="1"/>
    </row>
    <row r="39" spans="1:1" ht="75.75" customHeight="1" x14ac:dyDescent="0.25">
      <c r="A39" s="507" t="s">
        <v>1113</v>
      </c>
    </row>
    <row r="40" spans="1:1" ht="15.75" x14ac:dyDescent="0.25">
      <c r="A40" s="1"/>
    </row>
    <row r="41" spans="1:1" ht="15.75" x14ac:dyDescent="0.25">
      <c r="A41" s="1"/>
    </row>
    <row r="42" spans="1:1" ht="57.75" customHeight="1" x14ac:dyDescent="0.25">
      <c r="A42" s="507" t="s">
        <v>1114</v>
      </c>
    </row>
    <row r="43" spans="1:1" ht="15.75" x14ac:dyDescent="0.25">
      <c r="A43" s="505"/>
    </row>
    <row r="44" spans="1:1" ht="15.75" x14ac:dyDescent="0.25">
      <c r="A44" s="1"/>
    </row>
    <row r="45" spans="1:1" ht="57.75" customHeight="1" x14ac:dyDescent="0.25">
      <c r="A45" s="507" t="s">
        <v>1115</v>
      </c>
    </row>
    <row r="46" spans="1:1" ht="15.75" x14ac:dyDescent="0.25">
      <c r="A46" s="1"/>
    </row>
    <row r="47" spans="1:1" ht="15.75" x14ac:dyDescent="0.25">
      <c r="A47" s="1"/>
    </row>
    <row r="48" spans="1:1" ht="41.25" customHeight="1" x14ac:dyDescent="0.25">
      <c r="A48" s="507" t="s">
        <v>1116</v>
      </c>
    </row>
    <row r="49" spans="1:1" ht="15.75" x14ac:dyDescent="0.25">
      <c r="A49" s="1"/>
    </row>
    <row r="50" spans="1:1" ht="15.75" x14ac:dyDescent="0.25">
      <c r="A50" s="1"/>
    </row>
    <row r="51" spans="1:1" ht="75" customHeight="1" x14ac:dyDescent="0.25">
      <c r="A51" s="507" t="s">
        <v>1117</v>
      </c>
    </row>
    <row r="52" spans="1:1" ht="15.75" x14ac:dyDescent="0.25">
      <c r="A52" s="505"/>
    </row>
    <row r="53" spans="1:1" ht="15.75" x14ac:dyDescent="0.25">
      <c r="A53" s="505"/>
    </row>
    <row r="54" spans="1:1" ht="57.75" customHeight="1" x14ac:dyDescent="0.25">
      <c r="A54" s="507" t="s">
        <v>1118</v>
      </c>
    </row>
    <row r="55" spans="1:1" ht="15.75" x14ac:dyDescent="0.25">
      <c r="A55" s="1"/>
    </row>
    <row r="56" spans="1:1" ht="15.75" x14ac:dyDescent="0.25">
      <c r="A56" s="1"/>
    </row>
    <row r="57" spans="1:1" ht="44.25" customHeight="1" x14ac:dyDescent="0.25">
      <c r="A57" s="507" t="s">
        <v>1119</v>
      </c>
    </row>
    <row r="58" spans="1:1" ht="15.75" x14ac:dyDescent="0.25">
      <c r="A58" s="1"/>
    </row>
    <row r="59" spans="1:1" ht="15.75" x14ac:dyDescent="0.25">
      <c r="A59" s="1"/>
    </row>
    <row r="60" spans="1:1" ht="60" customHeight="1" x14ac:dyDescent="0.25">
      <c r="A60" s="507" t="s">
        <v>1120</v>
      </c>
    </row>
    <row r="61" spans="1:1" ht="15.75" x14ac:dyDescent="0.25">
      <c r="A61" s="505"/>
    </row>
    <row r="62" spans="1:1" ht="15.75" x14ac:dyDescent="0.25">
      <c r="A62" s="505"/>
    </row>
    <row r="63" spans="1:1" ht="57.75" customHeight="1" x14ac:dyDescent="0.25">
      <c r="A63" s="507" t="s">
        <v>1121</v>
      </c>
    </row>
    <row r="64" spans="1:1" ht="15.75" x14ac:dyDescent="0.25">
      <c r="A64" s="1"/>
    </row>
    <row r="65" spans="1:1" ht="15.75" x14ac:dyDescent="0.25">
      <c r="A65" s="1"/>
    </row>
    <row r="66" spans="1:1" ht="60" customHeight="1" x14ac:dyDescent="0.25">
      <c r="A66" s="507" t="s">
        <v>1122</v>
      </c>
    </row>
  </sheetData>
  <sheetProtection sheet="1" objects="1" scenarios="1"/>
  <phoneticPr fontId="0" type="noConversion"/>
  <printOptions horizontalCentered="1"/>
  <pageMargins left="0.5" right="0.5" top="0.5" bottom="0.5" header="0.3" footer="0.3"/>
  <pageSetup scale="36" orientation="portrait" blackAndWhite="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view="pageBreakPreview" topLeftCell="A3" zoomScale="60" zoomScaleNormal="100" workbookViewId="0">
      <selection activeCell="J5" sqref="J5"/>
    </sheetView>
  </sheetViews>
  <sheetFormatPr defaultRowHeight="15.75" x14ac:dyDescent="0.2"/>
  <cols>
    <col min="1" max="1" width="20.77734375" style="21" customWidth="1"/>
    <col min="2" max="2" width="15.77734375" style="21" customWidth="1"/>
    <col min="3" max="3" width="10.77734375" style="21" customWidth="1"/>
    <col min="4" max="4" width="15.77734375" style="21" customWidth="1"/>
    <col min="5" max="5" width="10.77734375" style="21" customWidth="1"/>
    <col min="6" max="6" width="15.77734375" style="21" customWidth="1"/>
    <col min="7" max="7" width="12.77734375" style="21" customWidth="1"/>
    <col min="8" max="8" width="10.77734375" style="21" customWidth="1"/>
    <col min="9" max="9" width="8.88671875" style="21"/>
    <col min="10" max="10" width="12.44140625" style="21" customWidth="1"/>
    <col min="11" max="11" width="12.33203125" style="21" customWidth="1"/>
    <col min="12" max="12" width="10.5546875" style="21" customWidth="1"/>
    <col min="13" max="13" width="12.109375" style="21" customWidth="1"/>
    <col min="14" max="16384" width="8.88671875" style="21"/>
  </cols>
  <sheetData>
    <row r="1" spans="1:9" x14ac:dyDescent="0.2">
      <c r="A1" s="955" t="s">
        <v>914</v>
      </c>
      <c r="B1" s="955"/>
      <c r="C1" s="955"/>
      <c r="D1" s="955"/>
      <c r="E1" s="955"/>
      <c r="F1" s="955"/>
      <c r="G1" s="955"/>
      <c r="H1" s="955"/>
      <c r="I1" s="318"/>
    </row>
    <row r="2" spans="1:9" ht="18" customHeight="1" x14ac:dyDescent="0.2">
      <c r="A2" s="36"/>
      <c r="B2" s="36"/>
      <c r="C2" s="36"/>
      <c r="D2" s="36"/>
      <c r="E2" s="36"/>
      <c r="F2" s="36"/>
      <c r="G2" s="36"/>
      <c r="H2" s="36"/>
      <c r="I2" s="36">
        <f>inputPrYr!$C$5</f>
        <v>2014</v>
      </c>
    </row>
    <row r="3" spans="1:9" ht="18" customHeight="1" x14ac:dyDescent="0.2">
      <c r="A3" s="947" t="s">
        <v>229</v>
      </c>
      <c r="B3" s="947"/>
      <c r="C3" s="947"/>
      <c r="D3" s="947"/>
      <c r="E3" s="947"/>
      <c r="F3" s="947"/>
      <c r="G3" s="947"/>
      <c r="H3" s="947"/>
    </row>
    <row r="4" spans="1:9" x14ac:dyDescent="0.2">
      <c r="A4" s="945" t="str">
        <f>inputPrYr!D2</f>
        <v>City of Osawatomie</v>
      </c>
      <c r="B4" s="945"/>
      <c r="C4" s="945"/>
      <c r="D4" s="945"/>
      <c r="E4" s="945"/>
      <c r="F4" s="945"/>
      <c r="G4" s="945"/>
      <c r="H4" s="945"/>
    </row>
    <row r="5" spans="1:9" ht="18" customHeight="1" x14ac:dyDescent="0.25">
      <c r="A5" s="1004" t="str">
        <f>CONCATENATE("will meet on ",inputBudSum!B7," at ",inputBudSum!B9," at ",inputBudSum!B11," for the purpose of hearing and")</f>
        <v>will meet on August 22, 2012 at 6:30 PM at Memorial Hall for the purpose of hearing and</v>
      </c>
      <c r="B5" s="1004"/>
      <c r="C5" s="1004"/>
      <c r="D5" s="1004"/>
      <c r="E5" s="1004"/>
      <c r="F5" s="1004"/>
      <c r="G5" s="1004"/>
      <c r="H5" s="1004"/>
    </row>
    <row r="6" spans="1:9" ht="16.5" customHeight="1" x14ac:dyDescent="0.2">
      <c r="A6" s="947" t="s">
        <v>464</v>
      </c>
      <c r="B6" s="947"/>
      <c r="C6" s="947"/>
      <c r="D6" s="947"/>
      <c r="E6" s="947"/>
      <c r="F6" s="947"/>
      <c r="G6" s="947"/>
      <c r="H6" s="947"/>
    </row>
    <row r="7" spans="1:9" ht="16.5" customHeight="1" x14ac:dyDescent="0.2">
      <c r="A7" s="947" t="str">
        <f>CONCATENATE("Detailed budget information is available at ",inputBudSum!B14," and will be available at this hearing.")</f>
        <v>Detailed budget information is available at City Hall and will be available at this hearing.</v>
      </c>
      <c r="B7" s="947"/>
      <c r="C7" s="947"/>
      <c r="D7" s="947"/>
      <c r="E7" s="947"/>
      <c r="F7" s="947"/>
      <c r="G7" s="947"/>
      <c r="H7" s="947"/>
    </row>
    <row r="8" spans="1:9" x14ac:dyDescent="0.2">
      <c r="A8" s="44" t="s">
        <v>915</v>
      </c>
      <c r="B8" s="45"/>
      <c r="C8" s="45"/>
      <c r="D8" s="45"/>
      <c r="E8" s="45"/>
      <c r="F8" s="45"/>
      <c r="G8" s="45"/>
      <c r="H8" s="45"/>
    </row>
    <row r="9" spans="1:9" x14ac:dyDescent="0.2">
      <c r="A9" s="129" t="str">
        <f>CONCATENATE("Proposed Budget ",I2," Expenditures and Amount of ",I2-1," Ad Valorem Tax establish the maximum limits of the ",I2," budget.")</f>
        <v>Proposed Budget 2014 Expenditures and Amount of 2013 Ad Valorem Tax establish the maximum limits of the 2014 budget.</v>
      </c>
      <c r="B9" s="45"/>
      <c r="C9" s="45"/>
      <c r="D9" s="45"/>
      <c r="E9" s="45"/>
      <c r="F9" s="45"/>
      <c r="G9" s="45"/>
      <c r="H9" s="45"/>
    </row>
    <row r="10" spans="1:9" x14ac:dyDescent="0.2">
      <c r="A10" s="129" t="s">
        <v>978</v>
      </c>
      <c r="B10" s="45"/>
      <c r="C10" s="45"/>
      <c r="D10" s="45"/>
      <c r="E10" s="45"/>
      <c r="F10" s="45"/>
      <c r="G10" s="45"/>
      <c r="H10" s="45"/>
    </row>
    <row r="11" spans="1:9" x14ac:dyDescent="0.2">
      <c r="A11" s="36"/>
      <c r="B11" s="280"/>
      <c r="C11" s="280"/>
      <c r="D11" s="280"/>
      <c r="E11" s="280"/>
      <c r="F11" s="280"/>
      <c r="G11" s="280"/>
      <c r="H11" s="280"/>
    </row>
    <row r="12" spans="1:9" x14ac:dyDescent="0.2">
      <c r="A12" s="36"/>
      <c r="B12" s="319" t="str">
        <f>CONCATENATE("Prior Year Actual for ",I2-2,"")</f>
        <v>Prior Year Actual for 2012</v>
      </c>
      <c r="C12" s="132"/>
      <c r="D12" s="319" t="str">
        <f>CONCATENATE("Current Year Estimate for ",I2-1,"")</f>
        <v>Current Year Estimate for 2013</v>
      </c>
      <c r="E12" s="132"/>
      <c r="F12" s="130" t="str">
        <f>CONCATENATE("Proposed Budget for ",I2,"")</f>
        <v>Proposed Budget for 2014</v>
      </c>
      <c r="G12" s="131"/>
      <c r="H12" s="132"/>
    </row>
    <row r="13" spans="1:9" ht="21" customHeight="1" x14ac:dyDescent="0.25">
      <c r="A13" s="36"/>
      <c r="B13" s="271"/>
      <c r="C13" s="135" t="s">
        <v>872</v>
      </c>
      <c r="D13" s="135"/>
      <c r="E13" s="135" t="s">
        <v>872</v>
      </c>
      <c r="F13" s="547" t="s">
        <v>726</v>
      </c>
      <c r="G13" s="135" t="str">
        <f>CONCATENATE("Amount of ",I2-1,"")</f>
        <v>Amount of 2013</v>
      </c>
      <c r="H13" s="135" t="s">
        <v>1041</v>
      </c>
    </row>
    <row r="14" spans="1:9" x14ac:dyDescent="0.25">
      <c r="A14" s="53" t="s">
        <v>873</v>
      </c>
      <c r="B14" s="139" t="s">
        <v>874</v>
      </c>
      <c r="C14" s="139" t="s">
        <v>875</v>
      </c>
      <c r="D14" s="139" t="s">
        <v>874</v>
      </c>
      <c r="E14" s="139" t="s">
        <v>875</v>
      </c>
      <c r="F14" s="548" t="s">
        <v>496</v>
      </c>
      <c r="G14" s="140" t="s">
        <v>851</v>
      </c>
      <c r="H14" s="139" t="s">
        <v>875</v>
      </c>
    </row>
    <row r="15" spans="1:9" x14ac:dyDescent="0.2">
      <c r="A15" s="76" t="str">
        <f>inputPrYr!B17</f>
        <v>General</v>
      </c>
      <c r="B15" s="76">
        <f>IF(general!$C$95&lt;&gt;0,general!$C$95,"  ")</f>
        <v>2129896</v>
      </c>
      <c r="C15" s="320">
        <f>IF(inputPrYr!D86&gt;0,inputPrYr!D86,"  ")</f>
        <v>22.364999999999998</v>
      </c>
      <c r="D15" s="76">
        <f>IF(general!$D$95&lt;&gt;0,general!$D$95,"  ")</f>
        <v>2212655</v>
      </c>
      <c r="E15" s="320">
        <f>IF(inputOth!D23&gt;0,inputOth!D23,"  ")</f>
        <v>25.375</v>
      </c>
      <c r="F15" s="76">
        <f>IF(general!$E$95&lt;&gt;0,general!$E$95,"  ")</f>
        <v>2267715</v>
      </c>
      <c r="G15" s="76">
        <f>IF(general!$E$102&lt;&gt;0,general!$E$102,"  ")</f>
        <v>542701.68999999994</v>
      </c>
      <c r="H15" s="320">
        <f>IF(general!E102&gt;0,ROUND(G15/$F$59*1000,3),"  ")</f>
        <v>24.096</v>
      </c>
    </row>
    <row r="16" spans="1:9" x14ac:dyDescent="0.2">
      <c r="A16" s="76" t="str">
        <f>inputPrYr!B18</f>
        <v>Bond &amp; Interest</v>
      </c>
      <c r="B16" s="76">
        <f>IF(DebtService!C46&lt;&gt;0,DebtService!C46,"  ")</f>
        <v>566263.32000000007</v>
      </c>
      <c r="C16" s="320">
        <f>IF(inputPrYr!D87&gt;0,inputPrYr!D87,"  ")</f>
        <v>10.945</v>
      </c>
      <c r="D16" s="76">
        <f>IF(DebtService!D46&lt;&gt;0,DebtService!D46,"  ")</f>
        <v>752787.5</v>
      </c>
      <c r="E16" s="320">
        <f>IF(inputOth!D24&gt;0,inputOth!D24,"  ")</f>
        <v>10.449</v>
      </c>
      <c r="F16" s="76">
        <f>IF(DebtService!E46&lt;&gt;0,DebtService!E46,"  ")</f>
        <v>808495</v>
      </c>
      <c r="G16" s="76">
        <f>IF(DebtService!E53&lt;&gt;0,DebtService!E53,"  ")</f>
        <v>247628.82000000007</v>
      </c>
      <c r="H16" s="320">
        <f>IF(DebtService!E53&gt;0,ROUND(G16/$F$59*1000,3),"  ")</f>
        <v>10.994999999999999</v>
      </c>
    </row>
    <row r="17" spans="1:8" x14ac:dyDescent="0.25">
      <c r="A17" s="76" t="str">
        <f>inputPrYr!B19</f>
        <v>Library</v>
      </c>
      <c r="B17" s="858">
        <f>IF(('Library-Rec'!C31)&lt;&gt;0,('Library-Rec'!C31),"  ")</f>
        <v>5729</v>
      </c>
      <c r="C17" s="320" t="str">
        <f>IF(inputPrYr!D88&gt;0,inputPrYr!D88,"  ")</f>
        <v xml:space="preserve">  </v>
      </c>
      <c r="D17" s="858">
        <f>IF(('Library-Rec'!D31)&lt;&gt;0,('Library-Rec'!D31),"  ")</f>
        <v>20000</v>
      </c>
      <c r="E17" s="320" t="str">
        <f>IF(inputOth!D25&gt;0,inputOth!D25,"  ")</f>
        <v xml:space="preserve">  </v>
      </c>
      <c r="F17" s="858">
        <f>IF(('Library-Rec'!E31)&lt;&gt;0,('Library-Rec'!E31),"  ")</f>
        <v>111854</v>
      </c>
      <c r="G17" s="859" t="str">
        <f>IF('Library-Rec'!E38&lt;&gt;0,'Library-Rec'!E38,"  ")</f>
        <v xml:space="preserve">  </v>
      </c>
      <c r="H17" s="860" t="str">
        <f>IF('Library-Rec'!E38&gt;0,ROUND(G17/$F$59*1000,3),"")</f>
        <v/>
      </c>
    </row>
    <row r="18" spans="1:8" x14ac:dyDescent="0.2">
      <c r="A18" s="76" t="str">
        <f>IF(inputPrYr!$B21&gt;"  ",(inputPrYr!$B21),"  ")</f>
        <v>Industrial</v>
      </c>
      <c r="B18" s="76">
        <f>IF('Ind-EBF'!$C$34&gt;0,'Ind-EBF'!$C$34,"  ")</f>
        <v>11373</v>
      </c>
      <c r="C18" s="320" t="str">
        <f>IF(inputPrYr!D89&gt;0,inputPrYr!D89,"  ")</f>
        <v xml:space="preserve">  </v>
      </c>
      <c r="D18" s="76">
        <f>IF('Ind-EBF'!$D$34&gt;0,'Ind-EBF'!$D$34,"  ")</f>
        <v>69300</v>
      </c>
      <c r="E18" s="320" t="str">
        <f>IF(inputOth!D26&gt;0,inputOth!D26,"  ")</f>
        <v xml:space="preserve">  </v>
      </c>
      <c r="F18" s="76">
        <f>IF('Ind-EBF'!$E$34&gt;0,'Ind-EBF'!$E$34,"  ")</f>
        <v>62785</v>
      </c>
      <c r="G18" s="76" t="str">
        <f>IF('Ind-EBF'!$E$41&lt;&gt;0,'Ind-EBF'!$E$41,"  ")</f>
        <v xml:space="preserve">  </v>
      </c>
      <c r="H18" s="320" t="str">
        <f>IF('Ind-EBF'!E41&lt;&gt;0,ROUND(G18/$F$59*1000,3),"  ")</f>
        <v xml:space="preserve">  </v>
      </c>
    </row>
    <row r="19" spans="1:8" x14ac:dyDescent="0.2">
      <c r="A19" s="76" t="str">
        <f>IF(inputPrYr!$B22&gt;"  ",(inputPrYr!$B22),"  ")</f>
        <v>Employee Benefits</v>
      </c>
      <c r="B19" s="76">
        <f>IF('Ind-EBF'!$C$78&gt;0,'Ind-EBF'!$C$78,"  ")</f>
        <v>576999</v>
      </c>
      <c r="C19" s="320">
        <f>IF(inputPrYr!D90&gt;0,inputPrYr!D90,"  ")</f>
        <v>19.922999999999998</v>
      </c>
      <c r="D19" s="76">
        <f>IF('Ind-EBF'!$D$78&gt;0,'Ind-EBF'!$D$78,"  ")</f>
        <v>641405.4384000001</v>
      </c>
      <c r="E19" s="320">
        <f>IF(inputOth!D27&gt;0,inputOth!D27,"  ")</f>
        <v>22.433</v>
      </c>
      <c r="F19" s="76">
        <f>IF('Ind-EBF'!$E$78&gt;0,'Ind-EBF'!$E$78,"  ")</f>
        <v>705973.11237400002</v>
      </c>
      <c r="G19" s="76">
        <f>IF('Ind-EBF'!$E$85&lt;&gt;0,'Ind-EBF'!$E$85,"  ")</f>
        <v>559567.55077400012</v>
      </c>
      <c r="H19" s="320">
        <f>IF('Ind-EBF'!E85&lt;&gt;0,ROUND(G19/$F$59*1000,3),"  ")</f>
        <v>24.844999999999999</v>
      </c>
    </row>
    <row r="20" spans="1:8" x14ac:dyDescent="0.2">
      <c r="A20" s="76" t="str">
        <f>IF(inputPrYr!$B23&gt;"  ",(inputPrYr!$B23),"  ")</f>
        <v>Public Safety Equipment</v>
      </c>
      <c r="B20" s="76" t="str">
        <f>IF('PS Equip-REBF'!$C$30&gt;0,'PS Equip-REBF'!$C$30,"  ")</f>
        <v xml:space="preserve">  </v>
      </c>
      <c r="C20" s="320" t="str">
        <f>IF(inputPrYr!D91&gt;0,inputPrYr!D91,"  ")</f>
        <v xml:space="preserve">  </v>
      </c>
      <c r="D20" s="76" t="str">
        <f>IF('PS Equip-REBF'!$D$30&gt;0,'PS Equip-REBF'!$D$30,"  ")</f>
        <v xml:space="preserve">  </v>
      </c>
      <c r="E20" s="320" t="str">
        <f>IF(inputOth!D28&gt;0,inputOth!D28,"  ")</f>
        <v xml:space="preserve">  </v>
      </c>
      <c r="F20" s="76">
        <f>IF('PS Equip-REBF'!$E$30&gt;0,'PS Equip-REBF'!$E$30,"  ")</f>
        <v>9847</v>
      </c>
      <c r="G20" s="76" t="str">
        <f>IF('PS Equip-REBF'!$E$37&lt;&gt;0,'PS Equip-REBF'!$E$37,"  ")</f>
        <v xml:space="preserve">  </v>
      </c>
      <c r="H20" s="320" t="str">
        <f>IF('PS Equip-REBF'!E37&lt;&gt;0,ROUND(G20/$F$59*1000,3),"  ")</f>
        <v xml:space="preserve">  </v>
      </c>
    </row>
    <row r="21" spans="1:8" x14ac:dyDescent="0.2">
      <c r="A21" s="76" t="str">
        <f>IF(inputPrYr!$B24&gt;"  ",(inputPrYr!$B24),"  ")</f>
        <v>Recreation Employee Benefits</v>
      </c>
      <c r="B21" s="76">
        <f>IF('PS Equip-REBF'!$C$66&gt;0,'PS Equip-REBF'!$C$66,"  ")</f>
        <v>12653</v>
      </c>
      <c r="C21" s="320">
        <f>IF(inputPrYr!D92&gt;0,inputPrYr!D92,"  ")</f>
        <v>0.501</v>
      </c>
      <c r="D21" s="76">
        <f>IF('PS Equip-REBF'!$D$66&gt;0,'PS Equip-REBF'!$D$66,"  ")</f>
        <v>2419</v>
      </c>
      <c r="E21" s="320" t="str">
        <f>IF(inputOth!D29&gt;0,inputOth!D29,"  ")</f>
        <v xml:space="preserve">  </v>
      </c>
      <c r="F21" s="76">
        <f>IF('PS Equip-REBF'!$E$66&gt;0,'PS Equip-REBF'!$E$66,"  ")</f>
        <v>80</v>
      </c>
      <c r="G21" s="76" t="str">
        <f>IF('PS Equip-REBF'!$E$73&lt;&gt;0,'PS Equip-REBF'!$E$73,"  ")</f>
        <v xml:space="preserve">  </v>
      </c>
      <c r="H21" s="320" t="str">
        <f>IF('PS Equip-REBF'!E73&lt;&gt;0,ROUND(G21/$F$59*1000,3),"  ")</f>
        <v xml:space="preserve">  </v>
      </c>
    </row>
    <row r="22" spans="1:8" hidden="1" x14ac:dyDescent="0.2">
      <c r="A22" s="76" t="str">
        <f>IF(inputPrYr!$B25&gt;"  ",(inputPrYr!$B25),"  ")</f>
        <v xml:space="preserve">  </v>
      </c>
      <c r="B22" s="76" t="str">
        <f>IF('levy page11'!$C$33&gt;0,'levy page11'!$C$33,"  ")</f>
        <v xml:space="preserve">  </v>
      </c>
      <c r="C22" s="320" t="str">
        <f>IF(inputPrYr!D93&gt;0,inputPrYr!D93,"  ")</f>
        <v xml:space="preserve">  </v>
      </c>
      <c r="D22" s="76" t="str">
        <f>IF('levy page11'!$D$33&gt;0,'levy page11'!$D$33,"  ")</f>
        <v xml:space="preserve">  </v>
      </c>
      <c r="E22" s="320" t="str">
        <f>IF(inputOth!D30&gt;0,inputOth!D30,"  ")</f>
        <v xml:space="preserve">  </v>
      </c>
      <c r="F22" s="76" t="str">
        <f>IF('levy page11'!$E$33&gt;0,'levy page11'!$E$33,"  ")</f>
        <v xml:space="preserve">  </v>
      </c>
      <c r="G22" s="76" t="str">
        <f>IF('levy page11'!$E$40&lt;&gt;0,'levy page11'!$E$40,"  ")</f>
        <v xml:space="preserve">  </v>
      </c>
      <c r="H22" s="320" t="str">
        <f>IF('levy page11'!E40&lt;&gt;0,ROUND(G22/$F$59*1000,3),"  ")</f>
        <v xml:space="preserve">  </v>
      </c>
    </row>
    <row r="23" spans="1:8" hidden="1" x14ac:dyDescent="0.2">
      <c r="A23" s="76" t="str">
        <f>IF(inputPrYr!$B26&gt;"  ",(inputPrYr!$B26),"  ")</f>
        <v xml:space="preserve">  </v>
      </c>
      <c r="B23" s="76" t="str">
        <f>IF('levy page11'!$C$73&gt;0,'levy page11'!$C$73,"  ")</f>
        <v xml:space="preserve">  </v>
      </c>
      <c r="C23" s="320" t="str">
        <f>IF(inputPrYr!D94&gt;0,inputPrYr!D94,"  ")</f>
        <v xml:space="preserve">  </v>
      </c>
      <c r="D23" s="76" t="str">
        <f>IF('levy page11'!$D$73&gt;0,'levy page11'!$D$73,"  ")</f>
        <v xml:space="preserve">  </v>
      </c>
      <c r="E23" s="320" t="str">
        <f>IF(inputOth!D31&gt;0,inputOth!D31,"  ")</f>
        <v xml:space="preserve">  </v>
      </c>
      <c r="F23" s="76" t="str">
        <f>IF('levy page11'!$E$73&gt;0,'levy page11'!$E$73,"  ")</f>
        <v xml:space="preserve">  </v>
      </c>
      <c r="G23" s="76" t="str">
        <f>IF('levy page11'!$E$80&lt;&gt;0,'levy page11'!$E$80,"  ")</f>
        <v xml:space="preserve">  </v>
      </c>
      <c r="H23" s="320" t="str">
        <f>IF('levy page11'!E80&lt;&gt;0,ROUND(G23/$F$59*1000,3),"  ")</f>
        <v xml:space="preserve">  </v>
      </c>
    </row>
    <row r="24" spans="1:8" hidden="1" x14ac:dyDescent="0.2">
      <c r="A24" s="76" t="str">
        <f>IF(inputPrYr!$B27&gt;"  ",(inputPrYr!$B27),"  ")</f>
        <v xml:space="preserve">  </v>
      </c>
      <c r="B24" s="76" t="str">
        <f>IF('levy page12'!$C$33&gt;0,'levy page12'!$C$33,"  ")</f>
        <v xml:space="preserve">  </v>
      </c>
      <c r="C24" s="320" t="str">
        <f>IF(inputPrYr!D95&gt;0,inputPrYr!D95,"  ")</f>
        <v xml:space="preserve">  </v>
      </c>
      <c r="D24" s="76" t="str">
        <f>IF('levy page12'!$D$33&gt;0,'levy page12'!$D$33,"  ")</f>
        <v xml:space="preserve">  </v>
      </c>
      <c r="E24" s="320" t="str">
        <f>IF(inputOth!D32&gt;0,inputOth!D32,"  ")</f>
        <v xml:space="preserve">  </v>
      </c>
      <c r="F24" s="76" t="str">
        <f>IF('levy page12'!$E$33&gt;0,'levy page12'!$E$33,"  ")</f>
        <v xml:space="preserve">  </v>
      </c>
      <c r="G24" s="76" t="str">
        <f>IF('levy page12'!$E$40&lt;&gt;0,'levy page12'!$E$40,"  ")</f>
        <v xml:space="preserve">  </v>
      </c>
      <c r="H24" s="320" t="str">
        <f>IF('levy page12'!E40&lt;&gt;0,ROUND(G24/$F$59*1000,3),"  ")</f>
        <v xml:space="preserve">  </v>
      </c>
    </row>
    <row r="25" spans="1:8" hidden="1" x14ac:dyDescent="0.2">
      <c r="A25" s="76" t="str">
        <f>IF(inputPrYr!$B28&gt;"  ",(inputPrYr!$B28),"  ")</f>
        <v xml:space="preserve">  </v>
      </c>
      <c r="B25" s="76" t="str">
        <f>IF('levy page12'!$C$73&gt;0,'levy page12'!$C$73,"  ")</f>
        <v xml:space="preserve">  </v>
      </c>
      <c r="C25" s="320" t="str">
        <f>IF(inputPrYr!D96&gt;0,inputPrYr!D96,"  ")</f>
        <v xml:space="preserve">  </v>
      </c>
      <c r="D25" s="76" t="str">
        <f>IF('levy page12'!$D$73&gt;0,'levy page12'!$D$73,"  ")</f>
        <v xml:space="preserve">  </v>
      </c>
      <c r="E25" s="320" t="str">
        <f>IF(inputOth!D33&gt;0,inputOth!D33,"  ")</f>
        <v xml:space="preserve">  </v>
      </c>
      <c r="F25" s="76" t="str">
        <f>IF('levy page12'!$E$73&gt;0,'levy page12'!$E$73,"  ")</f>
        <v xml:space="preserve">  </v>
      </c>
      <c r="G25" s="76" t="str">
        <f>IF('levy page12'!$E$80&lt;&gt;0,'levy page12'!$E$80,"  ")</f>
        <v xml:space="preserve">  </v>
      </c>
      <c r="H25" s="320" t="str">
        <f>IF('levy page12'!E80&lt;&gt;0,ROUND(G25/$F$59*1000,3),"  ")</f>
        <v xml:space="preserve">  </v>
      </c>
    </row>
    <row r="26" spans="1:8" hidden="1" x14ac:dyDescent="0.2">
      <c r="A26" s="76" t="str">
        <f>IF(inputPrYr!$B29&gt;"  ",(inputPrYr!$B29),"  ")</f>
        <v xml:space="preserve">  </v>
      </c>
      <c r="B26" s="76" t="str">
        <f>IF('levy page13'!$C$33&gt;0,'levy page13'!$C$33,"  ")</f>
        <v xml:space="preserve">  </v>
      </c>
      <c r="C26" s="320" t="str">
        <f>IF(inputPrYr!D97&gt;0,inputPrYr!D97,"  ")</f>
        <v xml:space="preserve">  </v>
      </c>
      <c r="D26" s="76" t="str">
        <f>IF('levy page13'!$D$33&gt;0,'levy page13'!$D$33,"  ")</f>
        <v xml:space="preserve">  </v>
      </c>
      <c r="E26" s="320" t="str">
        <f>IF(inputOth!D34&gt;0,inputOth!D34,"  ")</f>
        <v xml:space="preserve">  </v>
      </c>
      <c r="F26" s="76" t="str">
        <f>IF('levy page13'!$E$33&gt;0,'levy page13'!$E$33,"  ")</f>
        <v xml:space="preserve">  </v>
      </c>
      <c r="G26" s="76" t="str">
        <f>IF('levy page13'!$E$40&lt;&gt;0,'levy page13'!$E$40,"  ")</f>
        <v xml:space="preserve">  </v>
      </c>
      <c r="H26" s="320" t="str">
        <f>IF('levy page13'!E40&lt;&gt;0,ROUND(G26/$F$59*1000,3),"  ")</f>
        <v xml:space="preserve">  </v>
      </c>
    </row>
    <row r="27" spans="1:8" hidden="1" x14ac:dyDescent="0.2">
      <c r="A27" s="76" t="str">
        <f>IF(inputPrYr!$B30&gt;"  ",(inputPrYr!$B30),"  ")</f>
        <v xml:space="preserve">  </v>
      </c>
      <c r="B27" s="76" t="str">
        <f>IF('levy page13'!$C$73&gt;0,'levy page13'!$C$73,"  ")</f>
        <v xml:space="preserve">  </v>
      </c>
      <c r="C27" s="320" t="str">
        <f>IF(inputPrYr!D98&gt;0,inputPrYr!D98,"  ")</f>
        <v xml:space="preserve">  </v>
      </c>
      <c r="D27" s="76" t="str">
        <f>IF('levy page13'!$D$73&gt;0,'levy page13'!$D$73,"  ")</f>
        <v xml:space="preserve">  </v>
      </c>
      <c r="E27" s="320" t="str">
        <f>IF(inputOth!D35&gt;0,inputOth!D35,"  ")</f>
        <v xml:space="preserve">  </v>
      </c>
      <c r="F27" s="76" t="str">
        <f>IF('levy page13'!$E$73&gt;0,'levy page13'!$E$73,"  ")</f>
        <v xml:space="preserve">  </v>
      </c>
      <c r="G27" s="76" t="str">
        <f>IF('levy page13'!$E$80&lt;&gt;0,'levy page13'!$E$80,"  ")</f>
        <v xml:space="preserve">  </v>
      </c>
      <c r="H27" s="320" t="str">
        <f>IF('levy page13'!E80&lt;&gt;0,ROUND(G27/$F$59*1000,3),"  ")</f>
        <v xml:space="preserve">  </v>
      </c>
    </row>
    <row r="28" spans="1:8" x14ac:dyDescent="0.2">
      <c r="A28" s="76" t="str">
        <f>IF(inputPrYr!$B36&gt;"  ",(inputPrYr!$B36),"  ")</f>
        <v>Street Improvements</v>
      </c>
      <c r="B28" s="76">
        <f>IF('St Imp-Refuse'!$C$29&gt;0,'St Imp-Refuse'!$C$29,"  ")</f>
        <v>91352</v>
      </c>
      <c r="C28" s="54"/>
      <c r="D28" s="76">
        <f>IF('St Imp-Refuse'!$D$29&gt;0,'St Imp-Refuse'!$D$29,"  ")</f>
        <v>122000</v>
      </c>
      <c r="E28" s="54"/>
      <c r="F28" s="76">
        <f>IF('St Imp-Refuse'!$E$29&gt;0,'St Imp-Refuse'!$E$29,"  ")</f>
        <v>182000</v>
      </c>
      <c r="G28" s="76"/>
      <c r="H28" s="320"/>
    </row>
    <row r="29" spans="1:8" x14ac:dyDescent="0.2">
      <c r="A29" s="76" t="str">
        <f>IF(inputPrYr!$B37&gt;"  ",(inputPrYr!$B37),"  ")</f>
        <v>Refuse</v>
      </c>
      <c r="B29" s="76">
        <f>IF('St Imp-Refuse'!$C$53&gt;0,'St Imp-Refuse'!$C$53,"  ")</f>
        <v>373389</v>
      </c>
      <c r="C29" s="54"/>
      <c r="D29" s="76">
        <f>IF('St Imp-Refuse'!$D$53&gt;0,'St Imp-Refuse'!$D$53,"  ")</f>
        <v>376700</v>
      </c>
      <c r="E29" s="54"/>
      <c r="F29" s="76">
        <f>IF('St Imp-Refuse'!$E$53&gt;0,'St Imp-Refuse'!$E$53,"  ")</f>
        <v>379700</v>
      </c>
      <c r="G29" s="76"/>
      <c r="H29" s="320"/>
    </row>
    <row r="30" spans="1:8" x14ac:dyDescent="0.2">
      <c r="A30" s="76" t="str">
        <f>IF(inputPrYr!$B38&gt;"  ",(inputPrYr!$B38),"  ")</f>
        <v>Golf Course</v>
      </c>
      <c r="B30" s="76">
        <f>IF('Golf-911'!$C$32&gt;0,'Golf-911'!$C$32,"  ")</f>
        <v>254718</v>
      </c>
      <c r="C30" s="54"/>
      <c r="D30" s="76">
        <f>IF('Golf-911'!$D$32&gt;0,'Golf-911'!$D$32,"  ")</f>
        <v>298327.15999999997</v>
      </c>
      <c r="E30" s="54"/>
      <c r="F30" s="76">
        <f>IF('Golf-911'!$E$32&gt;0,'Golf-911'!$E$32,"  ")</f>
        <v>255122.78599999999</v>
      </c>
      <c r="G30" s="76"/>
      <c r="H30" s="320"/>
    </row>
    <row r="31" spans="1:8" x14ac:dyDescent="0.2">
      <c r="A31" s="76" t="str">
        <f>IF(inputPrYr!$B39&gt;"  ",(inputPrYr!$B39),"  ")</f>
        <v>Special Revenue (911)</v>
      </c>
      <c r="B31" s="76" t="str">
        <f>IF('Golf-911'!$C$55&gt;0,'Golf-911'!$C$55,"  ")</f>
        <v xml:space="preserve">  </v>
      </c>
      <c r="C31" s="54"/>
      <c r="D31" s="76" t="str">
        <f>IF('Golf-911'!$D$55&gt;0,'Golf-911'!$D$55,"  ")</f>
        <v xml:space="preserve">  </v>
      </c>
      <c r="E31" s="54"/>
      <c r="F31" s="76">
        <f>IF('Golf-911'!$E$55&gt;0,'Golf-911'!$E$55,"  ")</f>
        <v>9897</v>
      </c>
      <c r="G31" s="76"/>
      <c r="H31" s="320"/>
    </row>
    <row r="32" spans="1:8" x14ac:dyDescent="0.2">
      <c r="A32" s="76" t="str">
        <f>IF(inputPrYr!$B40&gt;"  ",(inputPrYr!$B40),"  ")</f>
        <v>Tourism</v>
      </c>
      <c r="B32" s="76">
        <f>IF(Tourism!$C$34&gt;0,Tourism!$C$34,"  ")</f>
        <v>47174</v>
      </c>
      <c r="C32" s="54"/>
      <c r="D32" s="76">
        <f>IF(Tourism!$D$34&gt;0,Tourism!$D$34,"  ")</f>
        <v>62283</v>
      </c>
      <c r="E32" s="54"/>
      <c r="F32" s="76">
        <f>IF(Tourism!$E$34&gt;0,Tourism!$E$34,"  ")</f>
        <v>74380</v>
      </c>
      <c r="G32" s="54"/>
      <c r="H32" s="54"/>
    </row>
    <row r="33" spans="1:13" hidden="1" x14ac:dyDescent="0.2">
      <c r="A33" s="76" t="str">
        <f>IF(inputPrYr!$B41&gt;"  ",(inputPrYr!$B41),"  ")</f>
        <v xml:space="preserve">  </v>
      </c>
      <c r="B33" s="76" t="str">
        <f>IF(Tourism!$C$58&gt;0,Tourism!$C$58,"  ")</f>
        <v xml:space="preserve">  </v>
      </c>
      <c r="C33" s="54"/>
      <c r="D33" s="76" t="str">
        <f>IF(Tourism!$D$58&gt;0,Tourism!$D$58,"  ")</f>
        <v xml:space="preserve">  </v>
      </c>
      <c r="E33" s="54"/>
      <c r="F33" s="76" t="str">
        <f>IF(Tourism!$E$58&gt;0,Tourism!$E$58,"  ")</f>
        <v xml:space="preserve">  </v>
      </c>
      <c r="G33" s="54"/>
      <c r="H33" s="54"/>
    </row>
    <row r="34" spans="1:13" hidden="1" x14ac:dyDescent="0.2">
      <c r="A34" s="76" t="str">
        <f>IF(inputPrYr!$B42&gt;"  ",(inputPrYr!$B42),"  ")</f>
        <v xml:space="preserve">  </v>
      </c>
      <c r="B34" s="76" t="str">
        <f>IF('levy 7'!$C$23&gt;0,'levy 7'!$C$23,"  ")</f>
        <v xml:space="preserve">  </v>
      </c>
      <c r="C34" s="54"/>
      <c r="D34" s="76" t="str">
        <f>IF('levy 7'!$D$23&gt;0,'levy 7'!$D$23,"  ")</f>
        <v xml:space="preserve">  </v>
      </c>
      <c r="E34" s="54"/>
      <c r="F34" s="76" t="str">
        <f>IF('levy 7'!$E$23&gt;0,'levy 7'!$E$23,"  ")</f>
        <v xml:space="preserve">  </v>
      </c>
      <c r="G34" s="54"/>
      <c r="H34" s="54"/>
    </row>
    <row r="35" spans="1:13" hidden="1" x14ac:dyDescent="0.2">
      <c r="A35" s="76" t="str">
        <f>IF(inputPrYr!$B43&gt;"  ",(inputPrYr!$B43),"  ")</f>
        <v xml:space="preserve">  </v>
      </c>
      <c r="B35" s="76" t="str">
        <f>IF('levy 7'!$C$54&gt;0,'levy 7'!$C$54,"  ")</f>
        <v xml:space="preserve">  </v>
      </c>
      <c r="C35" s="54"/>
      <c r="D35" s="76" t="str">
        <f>IF('levy 7'!$D$54&gt;0,'levy 7'!$D$54,"  ")</f>
        <v xml:space="preserve">  </v>
      </c>
      <c r="E35" s="54"/>
      <c r="F35" s="76" t="str">
        <f>IF('levy 7'!$E$54&gt;0,'levy 7'!$E$54,"  ")</f>
        <v xml:space="preserve">  </v>
      </c>
      <c r="G35" s="54"/>
      <c r="H35" s="54"/>
    </row>
    <row r="36" spans="1:13" hidden="1" x14ac:dyDescent="0.2">
      <c r="A36" s="76" t="str">
        <f>IF(inputPrYr!$B44&gt;"  ",(inputPrYr!$B44),"  ")</f>
        <v xml:space="preserve">  </v>
      </c>
      <c r="B36" s="76" t="str">
        <f>IF('Levy 8'!$C$23&gt;0,'Levy 8'!$C$23,"  ")</f>
        <v xml:space="preserve">  </v>
      </c>
      <c r="C36" s="54"/>
      <c r="D36" s="76" t="str">
        <f>IF('Levy 8'!$D$23&gt;0,'Levy 8'!$D$23,"  ")</f>
        <v xml:space="preserve">  </v>
      </c>
      <c r="E36" s="54"/>
      <c r="F36" s="76" t="str">
        <f>IF('Levy 8'!$E$23&gt;0,'Levy 8'!$E$23,"  ")</f>
        <v xml:space="preserve">  </v>
      </c>
      <c r="G36" s="54"/>
      <c r="H36" s="54"/>
    </row>
    <row r="37" spans="1:13" hidden="1" x14ac:dyDescent="0.2">
      <c r="A37" s="76" t="str">
        <f>IF(inputPrYr!$B45&gt;"  ",(inputPrYr!$B45),"  ")</f>
        <v xml:space="preserve">  </v>
      </c>
      <c r="B37" s="76" t="str">
        <f>IF('Levy 8'!$C$47&gt;0,'Levy 8'!$C$47,"  ")</f>
        <v xml:space="preserve">  </v>
      </c>
      <c r="C37" s="54"/>
      <c r="D37" s="76" t="str">
        <f>IF('Levy 8'!$D$47&gt;0,'Levy 8'!$D$47,"  ")</f>
        <v xml:space="preserve">  </v>
      </c>
      <c r="E37" s="54"/>
      <c r="F37" s="76" t="str">
        <f>IF('Levy 8'!$E$47&gt;0,'Levy 8'!$E$47,"  ")</f>
        <v xml:space="preserve">  </v>
      </c>
      <c r="G37" s="54"/>
      <c r="H37" s="54"/>
    </row>
    <row r="38" spans="1:13" hidden="1" x14ac:dyDescent="0.2">
      <c r="A38" s="76" t="str">
        <f>IF(inputPrYr!$B46&gt;"  ",(inputPrYr!$B46),"  ")</f>
        <v xml:space="preserve">  </v>
      </c>
      <c r="B38" s="76" t="str">
        <f>IF(levy9!$C$21&gt;0,levy9!$C$21,"  ")</f>
        <v xml:space="preserve">  </v>
      </c>
      <c r="C38" s="54"/>
      <c r="D38" s="76" t="str">
        <f>IF(levy9!$D$21&gt;0,levy9!$D$21,"  ")</f>
        <v xml:space="preserve">  </v>
      </c>
      <c r="E38" s="54"/>
      <c r="F38" s="76" t="str">
        <f>IF(levy9!$E$21&gt;0,levy9!$E$21,"  ")</f>
        <v xml:space="preserve">  </v>
      </c>
      <c r="G38" s="54"/>
      <c r="H38" s="54"/>
    </row>
    <row r="39" spans="1:13" hidden="1" x14ac:dyDescent="0.2">
      <c r="A39" s="76" t="str">
        <f>IF(inputPrYr!$B47&gt;"  ",(inputPrYr!$B47),"  ")</f>
        <v xml:space="preserve">  </v>
      </c>
      <c r="B39" s="76" t="str">
        <f>IF(levy9!$C$52&gt;0,levy9!$C$52,"  ")</f>
        <v xml:space="preserve">  </v>
      </c>
      <c r="C39" s="54"/>
      <c r="D39" s="76" t="str">
        <f>IF(levy9!$D$52&gt;0,levy9!$D$52,"  ")</f>
        <v xml:space="preserve">  </v>
      </c>
      <c r="E39" s="54"/>
      <c r="F39" s="76" t="str">
        <f>IF(levy9!$E$52&gt;0,levy9!$E$52,"  ")</f>
        <v xml:space="preserve">  </v>
      </c>
      <c r="G39" s="54"/>
      <c r="H39" s="54"/>
    </row>
    <row r="40" spans="1:13" hidden="1" x14ac:dyDescent="0.2">
      <c r="A40" s="76" t="str">
        <f>IF(inputPrYr!$B48&gt;"  ",(inputPrYr!$B48),"  ")</f>
        <v xml:space="preserve">  </v>
      </c>
      <c r="B40" s="76" t="str">
        <f>IF(levy10!$C$30&gt;0,levy10!$C$30,"  ")</f>
        <v xml:space="preserve">  </v>
      </c>
      <c r="C40" s="54"/>
      <c r="D40" s="76" t="str">
        <f>IF(levy10!$D$30&gt;0,levy10!$D$30,"  ")</f>
        <v xml:space="preserve">  </v>
      </c>
      <c r="E40" s="54"/>
      <c r="F40" s="76" t="str">
        <f>IF(levy10!$E$30&gt;0,levy10!$E$30,"  ")</f>
        <v xml:space="preserve">  </v>
      </c>
      <c r="G40" s="54"/>
      <c r="H40" s="54"/>
    </row>
    <row r="41" spans="1:13" hidden="1" x14ac:dyDescent="0.25">
      <c r="A41" s="76" t="str">
        <f>IF(inputPrYr!$B49&gt;"  ",(inputPrYr!$B49),"  ")</f>
        <v xml:space="preserve">  </v>
      </c>
      <c r="B41" s="76" t="str">
        <f>IF(levy10!$C$61&gt;0,levy10!$C$61,"  ")</f>
        <v xml:space="preserve">  </v>
      </c>
      <c r="C41" s="54"/>
      <c r="D41" s="76" t="str">
        <f>IF(levy10!$D$61&gt;0,levy10!$D$61,"  ")</f>
        <v xml:space="preserve">  </v>
      </c>
      <c r="E41" s="54"/>
      <c r="F41" s="76" t="str">
        <f>IF(levy10!$E$61&gt;0,levy10!$E$61,"  ")</f>
        <v xml:space="preserve">  </v>
      </c>
      <c r="G41" s="54"/>
      <c r="H41" s="54"/>
      <c r="J41" s="1006" t="str">
        <f>CONCATENATE("Estimated Value Of One Mill For ",I2,"")</f>
        <v>Estimated Value Of One Mill For 2014</v>
      </c>
      <c r="K41" s="1011"/>
      <c r="L41" s="1011"/>
      <c r="M41" s="1012"/>
    </row>
    <row r="42" spans="1:13" hidden="1" x14ac:dyDescent="0.25">
      <c r="A42" s="76" t="str">
        <f>IF(inputPrYr!$B50&gt;"  ",(inputPrYr!$B50),"  ")</f>
        <v xml:space="preserve">  </v>
      </c>
      <c r="B42" s="76" t="str">
        <f>IF('no levy page21'!$C$30&gt;0,'no levy page21'!$C$30,"  ")</f>
        <v xml:space="preserve">  </v>
      </c>
      <c r="C42" s="54"/>
      <c r="D42" s="76" t="str">
        <f>IF('no levy page21'!$D$30&gt;0,'no levy page21'!$D$30,"  ")</f>
        <v xml:space="preserve">  </v>
      </c>
      <c r="E42" s="54"/>
      <c r="F42" s="76" t="str">
        <f>IF('no levy page21'!$E$30&gt;0,'no levy page21'!$E$30,"  ")</f>
        <v xml:space="preserve">  </v>
      </c>
      <c r="G42" s="54"/>
      <c r="H42" s="54"/>
      <c r="J42" s="521"/>
      <c r="K42" s="522"/>
      <c r="L42" s="522"/>
      <c r="M42" s="523"/>
    </row>
    <row r="43" spans="1:13" hidden="1" x14ac:dyDescent="0.25">
      <c r="A43" s="76" t="str">
        <f>IF(inputPrYr!$B51&gt;"  ",(inputPrYr!$B51),"  ")</f>
        <v xml:space="preserve">  </v>
      </c>
      <c r="B43" s="76" t="str">
        <f>IF('no levy page21'!$C$61&gt;0,'no levy page21'!$C$61,"  ")</f>
        <v xml:space="preserve">  </v>
      </c>
      <c r="C43" s="54"/>
      <c r="D43" s="76" t="str">
        <f>IF('no levy page21'!$D$61&gt;0,'no levy page21'!$D$61,"  ")</f>
        <v xml:space="preserve">  </v>
      </c>
      <c r="E43" s="54"/>
      <c r="F43" s="76" t="str">
        <f>IF('no levy page21'!$E$61&gt;0,'no levy page21'!$E$61,"  ")</f>
        <v xml:space="preserve">  </v>
      </c>
      <c r="G43" s="54"/>
      <c r="H43" s="54"/>
      <c r="J43" s="524" t="s">
        <v>617</v>
      </c>
      <c r="K43" s="525"/>
      <c r="L43" s="525"/>
      <c r="M43" s="526">
        <f>ROUND(F59/1000,0)</f>
        <v>22522</v>
      </c>
    </row>
    <row r="44" spans="1:13" x14ac:dyDescent="0.2">
      <c r="A44" s="76" t="str">
        <f>IF(inputPrYr!$B53&gt;"  ",(inputPrYr!$B53),"  ")</f>
        <v>Water</v>
      </c>
      <c r="B44" s="76">
        <f>IF(Water!$C$38&gt;0,Water!$C$38,"  ")</f>
        <v>719266</v>
      </c>
      <c r="C44" s="54"/>
      <c r="D44" s="76">
        <f>IF(Water!$D$38&gt;0,Water!$D$38,"  ")</f>
        <v>859531</v>
      </c>
      <c r="E44" s="54"/>
      <c r="F44" s="76">
        <f>IF(Water!$E$38&gt;0,Water!$E$38,"  ")</f>
        <v>903467</v>
      </c>
      <c r="G44" s="54"/>
      <c r="H44" s="54"/>
    </row>
    <row r="45" spans="1:13" x14ac:dyDescent="0.25">
      <c r="A45" s="76" t="str">
        <f>IF(inputPrYr!$B54&gt;"  ",(inputPrYr!$B54),"  ")</f>
        <v>Electric</v>
      </c>
      <c r="B45" s="76">
        <f>IF(Elec!$C$45&gt;0,Elec!$C$45,"  ")</f>
        <v>3856297.69</v>
      </c>
      <c r="C45" s="54"/>
      <c r="D45" s="76">
        <f>IF(Elec!$D$45&gt;0,Elec!$D$45,"  ")</f>
        <v>3952611</v>
      </c>
      <c r="E45" s="54"/>
      <c r="F45" s="76">
        <f>IF(Elec!$E$45&gt;0,Elec!$E$45,"  ")</f>
        <v>4143113</v>
      </c>
      <c r="G45" s="54"/>
      <c r="H45" s="54"/>
      <c r="J45" s="1006" t="str">
        <f>CONCATENATE("Want The Mill Rate The Same As For ",I2-1,"?")</f>
        <v>Want The Mill Rate The Same As For 2013?</v>
      </c>
      <c r="K45" s="1011"/>
      <c r="L45" s="1011"/>
      <c r="M45" s="1012"/>
    </row>
    <row r="46" spans="1:13" x14ac:dyDescent="0.25">
      <c r="A46" s="76" t="str">
        <f>IF(inputPrYr!$B55&gt;"  ",(inputPrYr!$B55),"  ")</f>
        <v>Sewer</v>
      </c>
      <c r="B46" s="76">
        <f>IF(Sewer!$C$29&gt;0,Sewer!$C$29,"  ")</f>
        <v>774860</v>
      </c>
      <c r="C46" s="54"/>
      <c r="D46" s="76">
        <f>IF(Sewer!$D$29&gt;0,Sewer!$D$29,"  ")</f>
        <v>834806</v>
      </c>
      <c r="E46" s="54"/>
      <c r="F46" s="76">
        <f>IF(Sewer!$E$29&gt;0,Sewer!$E$29,"  ")</f>
        <v>893881.00000000012</v>
      </c>
      <c r="G46" s="54"/>
      <c r="H46" s="54"/>
      <c r="J46" s="528"/>
      <c r="K46" s="522"/>
      <c r="L46" s="522"/>
      <c r="M46" s="529"/>
    </row>
    <row r="47" spans="1:13" x14ac:dyDescent="0.25">
      <c r="A47" s="76" t="str">
        <f>IF(inputPrYr!$B56&gt;"  ",(inputPrYr!$B56),"  ")</f>
        <v>Special Parks &amp; Recreation</v>
      </c>
      <c r="B47" s="76">
        <f>IF('SP&amp;R'!$C$37&gt;0,'SP&amp;R'!$C$37,"  ")</f>
        <v>229942</v>
      </c>
      <c r="C47" s="54"/>
      <c r="D47" s="76">
        <f>IF('SP&amp;R'!$D$37&gt;0,'SP&amp;R'!$D$37,"  ")</f>
        <v>269903</v>
      </c>
      <c r="E47" s="54"/>
      <c r="F47" s="76">
        <f>IF('SP&amp;R'!$E$37&gt;0,'SP&amp;R'!$E$37,"  ")</f>
        <v>255766.21432476764</v>
      </c>
      <c r="G47" s="54"/>
      <c r="H47" s="54"/>
      <c r="J47" s="528" t="str">
        <f>CONCATENATE("",I2-1," Mill Rate Was:")</f>
        <v>2013 Mill Rate Was:</v>
      </c>
      <c r="K47" s="522"/>
      <c r="L47" s="522"/>
      <c r="M47" s="530">
        <f>E52</f>
        <v>58.256999999999998</v>
      </c>
    </row>
    <row r="48" spans="1:13" x14ac:dyDescent="0.25">
      <c r="A48" s="76" t="str">
        <f>IF(inputPrYr!$B59&gt;"  ",('CIP Funds'!$A3),"  ")</f>
        <v>Non-Budgeted CIP Funds</v>
      </c>
      <c r="B48" s="76">
        <f>IF('CIP Funds'!$K$22&gt;0,'CIP Funds'!$K$22,"  ")</f>
        <v>425033</v>
      </c>
      <c r="C48" s="54"/>
      <c r="D48" s="76"/>
      <c r="E48" s="54"/>
      <c r="F48" s="76"/>
      <c r="G48" s="54"/>
      <c r="H48" s="54"/>
      <c r="J48" s="531" t="str">
        <f>CONCATENATE("",I2," Tax Levy Fund Expenditures Must Be")</f>
        <v>2014 Tax Levy Fund Expenditures Must Be</v>
      </c>
      <c r="K48" s="532"/>
      <c r="L48" s="532"/>
      <c r="M48" s="529"/>
    </row>
    <row r="49" spans="1:13" x14ac:dyDescent="0.25">
      <c r="A49" s="76" t="str">
        <f>IF(inputPrYr!$B65&gt;"  ",('Agency Funds1'!$A3),"  ")</f>
        <v>Non-Budgeted Agency Funds 1</v>
      </c>
      <c r="B49" s="76">
        <f>IF('Agency Funds1'!$K$22&gt;0,'Agency Funds1'!$K$22,"  ")</f>
        <v>73634</v>
      </c>
      <c r="C49" s="54"/>
      <c r="D49" s="76"/>
      <c r="E49" s="54"/>
      <c r="F49" s="76"/>
      <c r="G49" s="54"/>
      <c r="H49" s="54"/>
      <c r="J49" s="531" t="str">
        <f>IF(M49&gt;0,"Increased By:","")</f>
        <v/>
      </c>
      <c r="K49" s="532"/>
      <c r="L49" s="532"/>
      <c r="M49" s="571">
        <f>IF(M56&lt;0,M56*-1,0)</f>
        <v>0</v>
      </c>
    </row>
    <row r="50" spans="1:13" x14ac:dyDescent="0.2">
      <c r="A50" s="76" t="str">
        <f>IF(inputPrYr!$B71&gt;"  ",('Agency Funds2'!$A3),"  ")</f>
        <v>Non-Budgeted Agency Funds 2</v>
      </c>
      <c r="B50" s="76">
        <f>IF('Agency Funds2'!$K$22&gt;0,'Agency Funds2'!$K$22,"  ")</f>
        <v>2624</v>
      </c>
      <c r="C50" s="54"/>
      <c r="D50" s="76"/>
      <c r="E50" s="54"/>
      <c r="F50" s="76"/>
      <c r="G50" s="54"/>
      <c r="H50" s="54"/>
      <c r="J50" s="572" t="str">
        <f>IF(M50&lt;0,"Reduced By:","")</f>
        <v>Reduced By:</v>
      </c>
      <c r="K50" s="573"/>
      <c r="L50" s="573"/>
      <c r="M50" s="574">
        <f>IF(M56&gt;0,M56*-1,0)</f>
        <v>-37822.060774000129</v>
      </c>
    </row>
    <row r="51" spans="1:13" ht="16.5" thickBot="1" x14ac:dyDescent="0.3">
      <c r="A51" s="76" t="str">
        <f>IF(inputPrYr!$B77&gt;"  ",(NonBudD!$A3),"  ")</f>
        <v xml:space="preserve">  </v>
      </c>
      <c r="B51" s="541" t="str">
        <f>IF(NonBudD!$K$28&gt;0,NonBudD!$K$28,"  ")</f>
        <v xml:space="preserve">  </v>
      </c>
      <c r="C51" s="542"/>
      <c r="D51" s="541"/>
      <c r="E51" s="542"/>
      <c r="F51" s="541"/>
      <c r="G51" s="542"/>
      <c r="H51" s="542"/>
      <c r="J51" s="535"/>
      <c r="K51" s="535"/>
      <c r="L51" s="535"/>
      <c r="M51" s="535"/>
    </row>
    <row r="52" spans="1:13" x14ac:dyDescent="0.25">
      <c r="A52" s="53" t="s">
        <v>490</v>
      </c>
      <c r="B52" s="861">
        <f>SUM(B15:B51)</f>
        <v>10151203.01</v>
      </c>
      <c r="C52" s="862">
        <f>SUM(C15:C27)</f>
        <v>53.734000000000002</v>
      </c>
      <c r="D52" s="861">
        <f>SUM(D15:D51)</f>
        <v>10474728.0984</v>
      </c>
      <c r="E52" s="862">
        <f>SUM(E15:E27)</f>
        <v>58.256999999999998</v>
      </c>
      <c r="F52" s="861">
        <f>SUM(F15:F51)</f>
        <v>11064076.112698767</v>
      </c>
      <c r="G52" s="861">
        <f>SUM(G15:G51)</f>
        <v>1349898.0607740001</v>
      </c>
      <c r="H52" s="862">
        <f>SUM(H15:H27)</f>
        <v>59.936</v>
      </c>
      <c r="J52" s="1006" t="str">
        <f>CONCATENATE("Impact On Keeping The Same Mill Rate As For ",I2-1,"")</f>
        <v>Impact On Keeping The Same Mill Rate As For 2013</v>
      </c>
      <c r="K52" s="1009"/>
      <c r="L52" s="1009"/>
      <c r="M52" s="1010"/>
    </row>
    <row r="53" spans="1:13" x14ac:dyDescent="0.25">
      <c r="A53" s="504" t="str">
        <f>IF((inputPrYr!B33&gt;""),(inputPrYr!B33),"")</f>
        <v>Recreation</v>
      </c>
      <c r="B53" s="854">
        <f>IF(('Library-Rec'!C68)&lt;&gt;0,('Library-Rec'!C68),"  ")</f>
        <v>101066</v>
      </c>
      <c r="C53" s="857">
        <f>IF(inputPrYr!D99&gt;0,inputPrYr!D99,"  ")</f>
        <v>4</v>
      </c>
      <c r="D53" s="854">
        <f>IF(('Library-Rec'!D68)&lt;&gt;0,('Library-Rec'!D68),"  ")</f>
        <v>13456</v>
      </c>
      <c r="E53" s="856" t="str">
        <f>IF(inputOth!D36&gt;0,inputOth!D36,"  ")</f>
        <v xml:space="preserve">  </v>
      </c>
      <c r="F53" s="854">
        <f>IF(('Library-Rec'!E68)&lt;&gt;0,('Library-Rec'!E68),"  ")</f>
        <v>783</v>
      </c>
      <c r="G53" s="855" t="str">
        <f>IF('Library-Rec'!E75&lt;&gt;0,'Library-Rec'!E75,"  ")</f>
        <v xml:space="preserve">  </v>
      </c>
      <c r="H53" s="856">
        <f>IF('Library-Rec'!E75&gt;0,ROUND(G53/$F$59*1000,3),0)</f>
        <v>0</v>
      </c>
      <c r="I53" s="538" t="str">
        <f>IF(H53&gt;inputOth!E6,"Exceed Limit","")</f>
        <v/>
      </c>
      <c r="J53" s="528"/>
      <c r="K53" s="522"/>
      <c r="L53" s="522"/>
      <c r="M53" s="529"/>
    </row>
    <row r="54" spans="1:13" x14ac:dyDescent="0.25">
      <c r="A54" s="503" t="s">
        <v>602</v>
      </c>
      <c r="B54" s="863">
        <f t="shared" ref="B54:H54" si="0">SUM(B52:B53)</f>
        <v>10252269.01</v>
      </c>
      <c r="C54" s="864">
        <f t="shared" si="0"/>
        <v>57.734000000000002</v>
      </c>
      <c r="D54" s="863">
        <f t="shared" si="0"/>
        <v>10488184.0984</v>
      </c>
      <c r="E54" s="864">
        <f t="shared" si="0"/>
        <v>58.256999999999998</v>
      </c>
      <c r="F54" s="863">
        <f t="shared" si="0"/>
        <v>11064859.112698767</v>
      </c>
      <c r="G54" s="863">
        <f t="shared" si="0"/>
        <v>1349898.0607740001</v>
      </c>
      <c r="H54" s="864">
        <f t="shared" si="0"/>
        <v>59.936</v>
      </c>
      <c r="J54" s="528" t="str">
        <f>CONCATENATE("",I2," Ad Valorem Tax Revenue:")</f>
        <v>2014 Ad Valorem Tax Revenue:</v>
      </c>
      <c r="K54" s="522"/>
      <c r="L54" s="522"/>
      <c r="M54" s="523">
        <f>G52</f>
        <v>1349898.0607740001</v>
      </c>
    </row>
    <row r="55" spans="1:13" x14ac:dyDescent="0.25">
      <c r="A55" s="41" t="s">
        <v>876</v>
      </c>
      <c r="B55" s="861">
        <f>transfers!C25</f>
        <v>1296917</v>
      </c>
      <c r="C55" s="188"/>
      <c r="D55" s="861">
        <f>transfers!D25</f>
        <v>1218672</v>
      </c>
      <c r="E55" s="188"/>
      <c r="F55" s="861">
        <f>transfers!E25</f>
        <v>1046690</v>
      </c>
      <c r="G55" s="86"/>
      <c r="H55" s="36"/>
      <c r="J55" s="528" t="str">
        <f>CONCATENATE("",I2-1," Ad Valorem Tax Revenue:")</f>
        <v>2013 Ad Valorem Tax Revenue:</v>
      </c>
      <c r="K55" s="522"/>
      <c r="L55" s="522"/>
      <c r="M55" s="536">
        <f>ROUND(F59*M47/1000,0)</f>
        <v>1312076</v>
      </c>
    </row>
    <row r="56" spans="1:13" ht="16.5" thickBot="1" x14ac:dyDescent="0.3">
      <c r="A56" s="41" t="s">
        <v>877</v>
      </c>
      <c r="B56" s="865">
        <f>B54-B55</f>
        <v>8955352.0099999998</v>
      </c>
      <c r="C56" s="36"/>
      <c r="D56" s="865">
        <f>D54-D55</f>
        <v>9269512.0984000005</v>
      </c>
      <c r="E56" s="193"/>
      <c r="F56" s="865">
        <f>F54-F55</f>
        <v>10018169.112698767</v>
      </c>
      <c r="G56" s="36"/>
      <c r="H56" s="36"/>
      <c r="J56" s="533" t="s">
        <v>618</v>
      </c>
      <c r="K56" s="534"/>
      <c r="L56" s="534"/>
      <c r="M56" s="526">
        <f>SUM(M54-M55)</f>
        <v>37822.060774000129</v>
      </c>
    </row>
    <row r="57" spans="1:13" ht="16.5" thickTop="1" x14ac:dyDescent="0.25">
      <c r="A57" s="41" t="s">
        <v>878</v>
      </c>
      <c r="B57" s="861">
        <f>inputPrYr!E102</f>
        <v>1236166</v>
      </c>
      <c r="C57" s="65"/>
      <c r="D57" s="861">
        <f>inputPrYr!E31</f>
        <v>1323632.6024720224</v>
      </c>
      <c r="E57" s="65"/>
      <c r="F57" s="321" t="s">
        <v>839</v>
      </c>
      <c r="G57" s="36"/>
      <c r="H57" s="36"/>
      <c r="J57" s="527"/>
      <c r="K57" s="527"/>
      <c r="L57" s="527"/>
      <c r="M57" s="535"/>
    </row>
    <row r="58" spans="1:13" x14ac:dyDescent="0.25">
      <c r="A58" s="41" t="s">
        <v>879</v>
      </c>
      <c r="B58" s="866"/>
      <c r="C58" s="36"/>
      <c r="D58" s="867"/>
      <c r="E58" s="36"/>
      <c r="F58" s="866"/>
      <c r="G58" s="36"/>
      <c r="H58" s="36"/>
      <c r="J58" s="1006" t="s">
        <v>619</v>
      </c>
      <c r="K58" s="1007"/>
      <c r="L58" s="1007"/>
      <c r="M58" s="1008"/>
    </row>
    <row r="59" spans="1:13" x14ac:dyDescent="0.25">
      <c r="A59" s="41" t="s">
        <v>880</v>
      </c>
      <c r="B59" s="861">
        <f>inputPrYr!E103</f>
        <v>23005714</v>
      </c>
      <c r="C59" s="36"/>
      <c r="D59" s="861">
        <f>inputOth!E39</f>
        <v>22720472</v>
      </c>
      <c r="E59" s="36"/>
      <c r="F59" s="861">
        <f>inputOth!E9</f>
        <v>22522195</v>
      </c>
      <c r="G59" s="36"/>
      <c r="H59" s="36"/>
      <c r="J59" s="528"/>
      <c r="K59" s="522"/>
      <c r="L59" s="522"/>
      <c r="M59" s="529"/>
    </row>
    <row r="60" spans="1:13" ht="13.5" customHeight="1" x14ac:dyDescent="0.25">
      <c r="A60" s="36"/>
      <c r="B60" s="36"/>
      <c r="C60" s="36"/>
      <c r="D60" s="36"/>
      <c r="E60" s="36"/>
      <c r="F60" s="36"/>
      <c r="G60" s="36"/>
      <c r="H60" s="36"/>
      <c r="J60" s="528" t="str">
        <f>CONCATENATE("Current ",I2," Estimated Mill Rate:")</f>
        <v>Current 2014 Estimated Mill Rate:</v>
      </c>
      <c r="K60" s="522"/>
      <c r="L60" s="522"/>
      <c r="M60" s="530">
        <f>H52</f>
        <v>59.936</v>
      </c>
    </row>
    <row r="61" spans="1:13" x14ac:dyDescent="0.25">
      <c r="A61" s="41" t="s">
        <v>881</v>
      </c>
      <c r="B61" s="36"/>
      <c r="C61" s="36"/>
      <c r="D61" s="36"/>
      <c r="E61" s="36"/>
      <c r="F61" s="36"/>
      <c r="G61" s="36"/>
      <c r="H61" s="36"/>
      <c r="J61" s="528" t="str">
        <f>CONCATENATE("Desired ",I2," Mill Rate:")</f>
        <v>Desired 2014 Mill Rate:</v>
      </c>
      <c r="K61" s="522"/>
      <c r="L61" s="522"/>
      <c r="M61" s="520">
        <v>0</v>
      </c>
    </row>
    <row r="62" spans="1:13" ht="18.75" customHeight="1" x14ac:dyDescent="0.25">
      <c r="A62" s="41" t="s">
        <v>882</v>
      </c>
      <c r="B62" s="322">
        <f>I2-3</f>
        <v>2011</v>
      </c>
      <c r="C62" s="36"/>
      <c r="D62" s="322">
        <f>I2-2</f>
        <v>2012</v>
      </c>
      <c r="E62" s="36"/>
      <c r="F62" s="322">
        <f>I2-1</f>
        <v>2013</v>
      </c>
      <c r="G62" s="36"/>
      <c r="H62" s="36"/>
      <c r="J62" s="528" t="str">
        <f>CONCATENATE("",I2," Ad Valorem Tax:")</f>
        <v>2014 Ad Valorem Tax:</v>
      </c>
      <c r="K62" s="522"/>
      <c r="L62" s="522"/>
      <c r="M62" s="536">
        <f>ROUND(F59*M61/1000,0)</f>
        <v>0</v>
      </c>
    </row>
    <row r="63" spans="1:13" ht="18.75" customHeight="1" x14ac:dyDescent="0.25">
      <c r="A63" s="41" t="s">
        <v>883</v>
      </c>
      <c r="B63" s="231">
        <f>inputPrYr!D107</f>
        <v>6121000</v>
      </c>
      <c r="C63" s="163"/>
      <c r="D63" s="231">
        <f>inputPrYr!E107</f>
        <v>6055000</v>
      </c>
      <c r="E63" s="163"/>
      <c r="F63" s="231">
        <f>debt!G18</f>
        <v>8248000</v>
      </c>
      <c r="G63" s="36"/>
      <c r="H63" s="36"/>
      <c r="J63" s="533" t="str">
        <f>CONCATENATE("",I2," Tax Levy Fund Exp. Changed By:")</f>
        <v>2014 Tax Levy Fund Exp. Changed By:</v>
      </c>
      <c r="K63" s="534"/>
      <c r="L63" s="534"/>
      <c r="M63" s="526">
        <f>M62-G52</f>
        <v>-1349898.0607740001</v>
      </c>
    </row>
    <row r="64" spans="1:13" ht="18.75" customHeight="1" x14ac:dyDescent="0.2">
      <c r="A64" s="41" t="s">
        <v>884</v>
      </c>
      <c r="B64" s="496">
        <f>inputPrYr!D108</f>
        <v>0</v>
      </c>
      <c r="C64" s="163"/>
      <c r="D64" s="496">
        <f>inputPrYr!E108</f>
        <v>0</v>
      </c>
      <c r="E64" s="163"/>
      <c r="F64" s="231">
        <f>debt!G27</f>
        <v>0</v>
      </c>
      <c r="G64" s="36"/>
      <c r="H64" s="36"/>
    </row>
    <row r="65" spans="1:10" ht="18.75" customHeight="1" x14ac:dyDescent="0.2">
      <c r="A65" s="36" t="s">
        <v>902</v>
      </c>
      <c r="B65" s="496">
        <f>inputPrYr!D109</f>
        <v>2336772</v>
      </c>
      <c r="C65" s="163"/>
      <c r="D65" s="496">
        <f>inputPrYr!E109</f>
        <v>2101171.04</v>
      </c>
      <c r="E65" s="163"/>
      <c r="F65" s="231">
        <f>debt!G37</f>
        <v>0</v>
      </c>
      <c r="G65" s="36"/>
      <c r="H65" s="36"/>
    </row>
    <row r="66" spans="1:10" ht="18" customHeight="1" x14ac:dyDescent="0.2">
      <c r="A66" s="41" t="s">
        <v>979</v>
      </c>
      <c r="B66" s="496">
        <f>inputPrYr!D110</f>
        <v>192452</v>
      </c>
      <c r="C66" s="163"/>
      <c r="D66" s="496">
        <f>inputPrYr!E110</f>
        <v>156849</v>
      </c>
      <c r="E66" s="163"/>
      <c r="F66" s="231">
        <f>lpform!G24</f>
        <v>132781</v>
      </c>
      <c r="G66" s="36"/>
      <c r="H66" s="36"/>
      <c r="J66" s="21">
        <v>1349898</v>
      </c>
    </row>
    <row r="67" spans="1:10" ht="19.5" customHeight="1" thickBot="1" x14ac:dyDescent="0.25">
      <c r="A67" s="41" t="s">
        <v>885</v>
      </c>
      <c r="B67" s="330">
        <f>SUM(B63:B66)</f>
        <v>8650224</v>
      </c>
      <c r="C67" s="163"/>
      <c r="D67" s="330">
        <f>SUM(D63:D66)</f>
        <v>8313020.04</v>
      </c>
      <c r="E67" s="163"/>
      <c r="F67" s="330">
        <f>SUM(F63:F66)</f>
        <v>8380781</v>
      </c>
      <c r="G67" s="36"/>
      <c r="H67" s="36"/>
      <c r="J67" s="21">
        <v>1337721</v>
      </c>
    </row>
    <row r="68" spans="1:10" ht="18.75" customHeight="1" thickTop="1" x14ac:dyDescent="0.2">
      <c r="A68" s="41" t="s">
        <v>886</v>
      </c>
      <c r="B68" s="36"/>
      <c r="C68" s="36"/>
      <c r="D68" s="36"/>
      <c r="E68" s="36"/>
      <c r="F68" s="36"/>
      <c r="G68" s="36"/>
      <c r="H68" s="36"/>
      <c r="J68" s="316">
        <f>+J66-J67</f>
        <v>12177</v>
      </c>
    </row>
    <row r="69" spans="1:10" x14ac:dyDescent="0.2">
      <c r="A69" s="36"/>
      <c r="B69" s="36"/>
      <c r="C69" s="36"/>
      <c r="D69" s="36"/>
      <c r="E69" s="36"/>
      <c r="F69" s="36"/>
      <c r="G69" s="36"/>
      <c r="H69" s="36"/>
      <c r="J69" s="21">
        <f>+J68/J67</f>
        <v>9.1027949774280283E-3</v>
      </c>
    </row>
    <row r="70" spans="1:10" x14ac:dyDescent="0.2">
      <c r="A70" s="1005" t="str">
        <f>inputBudSum!B3</f>
        <v>Don Cawby</v>
      </c>
      <c r="B70" s="1005"/>
      <c r="C70" s="65"/>
      <c r="D70" s="36"/>
      <c r="E70" s="36"/>
      <c r="F70" s="36"/>
      <c r="G70" s="36"/>
      <c r="H70" s="36"/>
    </row>
    <row r="71" spans="1:10" x14ac:dyDescent="0.2">
      <c r="A71" s="1003" t="str">
        <f>CONCATENATE("City Official Title: ",inputBudSum!B5,"")</f>
        <v>City Official Title: City Manager</v>
      </c>
      <c r="B71" s="999"/>
      <c r="C71" s="36"/>
      <c r="D71" s="36"/>
      <c r="E71" s="36"/>
      <c r="F71" s="36"/>
      <c r="G71" s="36"/>
      <c r="H71" s="36"/>
    </row>
    <row r="72" spans="1:10" x14ac:dyDescent="0.2">
      <c r="A72" s="36"/>
      <c r="B72" s="36"/>
      <c r="C72" s="36"/>
      <c r="D72" s="36"/>
      <c r="E72" s="36"/>
      <c r="F72" s="36"/>
      <c r="G72" s="36"/>
      <c r="H72" s="36"/>
    </row>
    <row r="73" spans="1:10" x14ac:dyDescent="0.2">
      <c r="A73" s="36"/>
      <c r="B73" s="36"/>
      <c r="C73" s="127" t="s">
        <v>861</v>
      </c>
      <c r="D73" s="273">
        <v>27</v>
      </c>
      <c r="E73" s="36"/>
      <c r="F73" s="36"/>
      <c r="G73" s="36"/>
      <c r="H73" s="36"/>
    </row>
    <row r="75" spans="1:10" x14ac:dyDescent="0.2">
      <c r="F75" s="316">
        <f>+D59-F59</f>
        <v>198277</v>
      </c>
    </row>
  </sheetData>
  <mergeCells count="12">
    <mergeCell ref="J58:M58"/>
    <mergeCell ref="J52:M52"/>
    <mergeCell ref="J41:M41"/>
    <mergeCell ref="J45:M45"/>
    <mergeCell ref="A1:H1"/>
    <mergeCell ref="A4:H4"/>
    <mergeCell ref="A6:H6"/>
    <mergeCell ref="A7:H7"/>
    <mergeCell ref="A3:H3"/>
    <mergeCell ref="A71:B71"/>
    <mergeCell ref="A5:H5"/>
    <mergeCell ref="A70:B70"/>
  </mergeCells>
  <phoneticPr fontId="0" type="noConversion"/>
  <printOptions horizontalCentered="1"/>
  <pageMargins left="0.5" right="0.5" top="0.5" bottom="0.5" header="0.3" footer="0.3"/>
  <pageSetup scale="66" orientation="portrait" blackAndWhite="1" horizontalDpi="120" verticalDpi="14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heetViews>
  <sheetFormatPr defaultRowHeight="15" x14ac:dyDescent="0.2"/>
  <cols>
    <col min="1" max="1" width="13.77734375" customWidth="1"/>
    <col min="2" max="2" width="16.109375" customWidth="1"/>
  </cols>
  <sheetData>
    <row r="1" spans="1:10" x14ac:dyDescent="0.2">
      <c r="J1" s="589" t="s">
        <v>648</v>
      </c>
    </row>
    <row r="2" spans="1:10" ht="54" customHeight="1" x14ac:dyDescent="0.2">
      <c r="A2" s="942" t="s">
        <v>1161</v>
      </c>
      <c r="B2" s="943"/>
      <c r="C2" s="943"/>
      <c r="D2" s="943"/>
      <c r="E2" s="943"/>
      <c r="F2" s="943"/>
      <c r="J2" s="589" t="s">
        <v>649</v>
      </c>
    </row>
    <row r="3" spans="1:10" ht="15.75" x14ac:dyDescent="0.25">
      <c r="A3" s="1" t="s">
        <v>650</v>
      </c>
      <c r="B3" s="590" t="s">
        <v>313</v>
      </c>
      <c r="C3" s="590"/>
      <c r="J3" s="589" t="s">
        <v>651</v>
      </c>
    </row>
    <row r="4" spans="1:10" ht="15.75" x14ac:dyDescent="0.25">
      <c r="A4" s="1"/>
      <c r="B4" s="588"/>
      <c r="J4" s="589" t="s">
        <v>652</v>
      </c>
    </row>
    <row r="5" spans="1:10" ht="15.75" x14ac:dyDescent="0.25">
      <c r="A5" s="1" t="s">
        <v>620</v>
      </c>
      <c r="B5" s="590" t="s">
        <v>312</v>
      </c>
      <c r="J5" s="589" t="s">
        <v>653</v>
      </c>
    </row>
    <row r="6" spans="1:10" ht="15.75" x14ac:dyDescent="0.25">
      <c r="A6" s="346"/>
      <c r="B6" s="346"/>
      <c r="C6" s="346"/>
      <c r="D6" s="347" t="s">
        <v>654</v>
      </c>
      <c r="E6" s="346"/>
      <c r="F6" s="346"/>
      <c r="J6" s="589" t="s">
        <v>655</v>
      </c>
    </row>
    <row r="7" spans="1:10" ht="15.75" x14ac:dyDescent="0.25">
      <c r="A7" s="347" t="s">
        <v>1162</v>
      </c>
      <c r="B7" s="590" t="s">
        <v>314</v>
      </c>
      <c r="C7" s="348"/>
      <c r="D7" s="347" t="str">
        <f ca="1">IF(B7="","",CONCATENATE("Latest date for notice to be published in your newspaper: ",G18," ",G22,", ",G23))</f>
        <v>Latest date for notice to be published in your newspaper: August 12, 2012</v>
      </c>
      <c r="E7" s="346"/>
      <c r="F7" s="346"/>
      <c r="J7" s="589" t="s">
        <v>656</v>
      </c>
    </row>
    <row r="8" spans="1:10" ht="15.75" x14ac:dyDescent="0.25">
      <c r="A8" s="347"/>
      <c r="B8" s="349"/>
      <c r="C8" s="350"/>
      <c r="D8" s="347"/>
      <c r="E8" s="346"/>
      <c r="F8" s="346"/>
      <c r="J8" s="589" t="s">
        <v>657</v>
      </c>
    </row>
    <row r="9" spans="1:10" ht="15.75" x14ac:dyDescent="0.25">
      <c r="A9" s="347" t="s">
        <v>1163</v>
      </c>
      <c r="B9" s="590" t="s">
        <v>238</v>
      </c>
      <c r="C9" s="351"/>
      <c r="D9" s="347"/>
      <c r="E9" s="346"/>
      <c r="F9" s="346"/>
      <c r="J9" s="589" t="s">
        <v>658</v>
      </c>
    </row>
    <row r="10" spans="1:10" ht="15.75" x14ac:dyDescent="0.25">
      <c r="A10" s="347"/>
      <c r="B10" s="347"/>
      <c r="C10" s="347"/>
      <c r="D10" s="347"/>
      <c r="E10" s="346"/>
      <c r="F10" s="346"/>
      <c r="J10" s="589" t="s">
        <v>659</v>
      </c>
    </row>
    <row r="11" spans="1:10" ht="15.75" x14ac:dyDescent="0.25">
      <c r="A11" s="347" t="s">
        <v>1164</v>
      </c>
      <c r="B11" s="591" t="s">
        <v>223</v>
      </c>
      <c r="C11" s="591"/>
      <c r="D11" s="591"/>
      <c r="E11" s="592"/>
      <c r="F11" s="346"/>
      <c r="J11" s="589" t="s">
        <v>660</v>
      </c>
    </row>
    <row r="12" spans="1:10" ht="15.75" x14ac:dyDescent="0.25">
      <c r="A12" s="347"/>
      <c r="B12" s="347"/>
      <c r="C12" s="347"/>
      <c r="D12" s="347"/>
      <c r="E12" s="346"/>
      <c r="F12" s="346"/>
      <c r="J12" s="589" t="s">
        <v>661</v>
      </c>
    </row>
    <row r="13" spans="1:10" ht="15.75" x14ac:dyDescent="0.25">
      <c r="A13" s="347"/>
      <c r="B13" s="347"/>
      <c r="C13" s="347"/>
      <c r="D13" s="347"/>
      <c r="E13" s="346"/>
      <c r="F13" s="346"/>
    </row>
    <row r="14" spans="1:10" ht="15.75" x14ac:dyDescent="0.25">
      <c r="A14" s="347" t="s">
        <v>1165</v>
      </c>
      <c r="B14" s="591" t="s">
        <v>1169</v>
      </c>
      <c r="C14" s="591"/>
      <c r="D14" s="591"/>
      <c r="E14" s="592"/>
      <c r="F14" s="346"/>
    </row>
    <row r="17" spans="1:7" ht="15.75" x14ac:dyDescent="0.25">
      <c r="A17" s="944" t="s">
        <v>1166</v>
      </c>
      <c r="B17" s="944"/>
      <c r="C17" s="347"/>
      <c r="D17" s="347"/>
      <c r="E17" s="347"/>
      <c r="F17" s="346"/>
    </row>
    <row r="18" spans="1:7" ht="15.75" x14ac:dyDescent="0.25">
      <c r="A18" s="347"/>
      <c r="B18" s="347"/>
      <c r="C18" s="347"/>
      <c r="D18" s="347"/>
      <c r="E18" s="347"/>
      <c r="F18" s="346"/>
      <c r="G18" s="589" t="str">
        <f ca="1">IF(B7="","",INDIRECT(G19))</f>
        <v>August</v>
      </c>
    </row>
    <row r="19" spans="1:7" ht="15.75" x14ac:dyDescent="0.25">
      <c r="A19" s="347" t="s">
        <v>620</v>
      </c>
      <c r="B19" s="347" t="s">
        <v>621</v>
      </c>
      <c r="C19" s="347"/>
      <c r="D19" s="347"/>
      <c r="E19" s="347"/>
      <c r="F19" s="346"/>
      <c r="G19" s="593" t="str">
        <f>IF(B7="","",CONCATENATE("J",G21))</f>
        <v>J8</v>
      </c>
    </row>
    <row r="20" spans="1:7" ht="15.75" x14ac:dyDescent="0.25">
      <c r="A20" s="347"/>
      <c r="B20" s="347"/>
      <c r="C20" s="347"/>
      <c r="D20" s="347"/>
      <c r="E20" s="347"/>
      <c r="F20" s="346"/>
      <c r="G20" s="594">
        <f>B7-10</f>
        <v>41133</v>
      </c>
    </row>
    <row r="21" spans="1:7" ht="15.75" x14ac:dyDescent="0.2">
      <c r="A21" s="347" t="s">
        <v>1162</v>
      </c>
      <c r="B21" s="349" t="s">
        <v>1167</v>
      </c>
      <c r="C21" s="347"/>
      <c r="D21" s="347"/>
      <c r="E21" s="347"/>
      <c r="G21" s="595">
        <f>IF(B7="","",MONTH(G20))</f>
        <v>8</v>
      </c>
    </row>
    <row r="22" spans="1:7" ht="15.75" x14ac:dyDescent="0.2">
      <c r="A22" s="347"/>
      <c r="B22" s="347"/>
      <c r="C22" s="347"/>
      <c r="D22" s="347"/>
      <c r="E22" s="347"/>
      <c r="G22" s="596">
        <f>IF(B7="","",DAY(G20))</f>
        <v>12</v>
      </c>
    </row>
    <row r="23" spans="1:7" ht="15.75" x14ac:dyDescent="0.2">
      <c r="A23" s="347" t="s">
        <v>1163</v>
      </c>
      <c r="B23" s="347" t="s">
        <v>1168</v>
      </c>
      <c r="C23" s="347"/>
      <c r="D23" s="347"/>
      <c r="E23" s="347"/>
      <c r="G23" s="597">
        <f>IF(B7="","",YEAR(G20))</f>
        <v>2012</v>
      </c>
    </row>
    <row r="24" spans="1:7" ht="15.75" x14ac:dyDescent="0.2">
      <c r="A24" s="347"/>
      <c r="B24" s="347"/>
      <c r="C24" s="347"/>
      <c r="D24" s="347"/>
      <c r="E24" s="347"/>
    </row>
    <row r="25" spans="1:7" ht="15.75" x14ac:dyDescent="0.2">
      <c r="A25" s="347" t="s">
        <v>1164</v>
      </c>
      <c r="B25" s="347" t="s">
        <v>1169</v>
      </c>
      <c r="C25" s="347"/>
      <c r="D25" s="347"/>
      <c r="E25" s="347"/>
    </row>
    <row r="26" spans="1:7" ht="15.75" x14ac:dyDescent="0.2">
      <c r="A26" s="347"/>
      <c r="B26" s="347"/>
      <c r="C26" s="347"/>
      <c r="D26" s="347"/>
      <c r="E26" s="347"/>
    </row>
    <row r="27" spans="1:7" ht="15.75" x14ac:dyDescent="0.2">
      <c r="A27" s="347" t="s">
        <v>1165</v>
      </c>
      <c r="B27" s="347" t="s">
        <v>1169</v>
      </c>
      <c r="C27" s="347"/>
      <c r="D27" s="347"/>
      <c r="E27" s="347"/>
    </row>
  </sheetData>
  <sheetProtection sheet="1"/>
  <mergeCells count="2">
    <mergeCell ref="A2:F2"/>
    <mergeCell ref="A17:B17"/>
  </mergeCells>
  <phoneticPr fontId="0" type="noConversion"/>
  <pageMargins left="0.7" right="0.7" top="0.75" bottom="0.75" header="0.3" footer="0.3"/>
  <pageSetup orientation="portrait" blackAndWhite="1"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topLeftCell="A7" zoomScaleNormal="100" workbookViewId="0"/>
  </sheetViews>
  <sheetFormatPr defaultRowHeight="15" x14ac:dyDescent="0.2"/>
  <cols>
    <col min="1" max="1" width="10.109375" style="95" customWidth="1"/>
    <col min="2" max="2" width="16.33203125" style="95" customWidth="1"/>
    <col min="3" max="3" width="11.77734375" style="95" customWidth="1"/>
    <col min="4" max="4" width="12.77734375" style="95" customWidth="1"/>
    <col min="5" max="5" width="11.77734375" style="95" customWidth="1"/>
    <col min="6" max="16384" width="8.88671875" style="95"/>
  </cols>
  <sheetData>
    <row r="1" spans="1:6" ht="15.75" x14ac:dyDescent="0.2">
      <c r="A1" s="188" t="str">
        <f>inputPrYr!D2</f>
        <v>City of Osawatomie</v>
      </c>
      <c r="B1" s="36"/>
      <c r="C1" s="36"/>
      <c r="D1" s="36"/>
      <c r="E1" s="36"/>
      <c r="F1" s="36">
        <f>inputPrYr!C5</f>
        <v>2014</v>
      </c>
    </row>
    <row r="2" spans="1:6" ht="15.75" x14ac:dyDescent="0.2">
      <c r="A2" s="36"/>
      <c r="B2" s="36"/>
      <c r="C2" s="36"/>
      <c r="D2" s="36"/>
      <c r="E2" s="36"/>
      <c r="F2" s="36"/>
    </row>
    <row r="3" spans="1:6" ht="15.75" x14ac:dyDescent="0.2">
      <c r="A3" s="36"/>
      <c r="B3" s="959" t="str">
        <f>CONCATENATE("",F1," Neighborhood Revitalization Rebate")</f>
        <v>2014 Neighborhood Revitalization Rebate</v>
      </c>
      <c r="C3" s="1014"/>
      <c r="D3" s="1014"/>
      <c r="E3" s="1014"/>
      <c r="F3" s="36"/>
    </row>
    <row r="4" spans="1:6" ht="15.75" x14ac:dyDescent="0.2">
      <c r="A4" s="36"/>
      <c r="B4" s="36"/>
      <c r="C4" s="36"/>
      <c r="D4" s="36"/>
      <c r="E4" s="36"/>
      <c r="F4" s="36"/>
    </row>
    <row r="5" spans="1:6" ht="51.75" customHeight="1" x14ac:dyDescent="0.2">
      <c r="A5" s="36"/>
      <c r="B5" s="324" t="str">
        <f>CONCATENATE("Budgeted Funds         for ",F1,"")</f>
        <v>Budgeted Funds         for 2014</v>
      </c>
      <c r="C5" s="324" t="str">
        <f>CONCATENATE("",F1-1," Ad Valorem before Rebate**")</f>
        <v>2013 Ad Valorem before Rebate**</v>
      </c>
      <c r="D5" s="325" t="str">
        <f>CONCATENATE("",F1-1," Mil Rate before Rebate")</f>
        <v>2013 Mil Rate before Rebate</v>
      </c>
      <c r="E5" s="326" t="str">
        <f>CONCATENATE("Estimate ",F1," NR Rebate")</f>
        <v>Estimate 2014 NR Rebate</v>
      </c>
      <c r="F5" s="87"/>
    </row>
    <row r="6" spans="1:6" ht="15.75" x14ac:dyDescent="0.2">
      <c r="A6" s="36"/>
      <c r="B6" s="53" t="str">
        <f>inputPrYr!B17</f>
        <v>General</v>
      </c>
      <c r="C6" s="327"/>
      <c r="D6" s="328" t="str">
        <f>IF(C6&gt;0,C6/$D$25,"")</f>
        <v/>
      </c>
      <c r="E6" s="231" t="str">
        <f t="shared" ref="E6:E18" si="0">IF(C6&gt;0,ROUND(D6*$D$29,0),"")</f>
        <v/>
      </c>
      <c r="F6" s="87"/>
    </row>
    <row r="7" spans="1:6" ht="15.75" x14ac:dyDescent="0.2">
      <c r="A7" s="36"/>
      <c r="B7" s="53" t="str">
        <f>inputPrYr!B18</f>
        <v>Bond &amp; Interest</v>
      </c>
      <c r="C7" s="327"/>
      <c r="D7" s="328" t="str">
        <f t="shared" ref="D7:D18" si="1">IF(C7&gt;0,C7/$D$25,"")</f>
        <v/>
      </c>
      <c r="E7" s="231" t="str">
        <f t="shared" si="0"/>
        <v/>
      </c>
      <c r="F7" s="87"/>
    </row>
    <row r="8" spans="1:6" ht="15.75" x14ac:dyDescent="0.2">
      <c r="A8" s="36"/>
      <c r="B8" s="53" t="str">
        <f>inputPrYr!B19</f>
        <v>Library</v>
      </c>
      <c r="C8" s="327"/>
      <c r="D8" s="328" t="str">
        <f>IF(C8&gt;0,C8/$D$25,"")</f>
        <v/>
      </c>
      <c r="E8" s="231" t="str">
        <f>IF(C8&gt;0,ROUND(D8*$D$29,0),"")</f>
        <v/>
      </c>
      <c r="F8" s="87"/>
    </row>
    <row r="9" spans="1:6" ht="15.75" x14ac:dyDescent="0.2">
      <c r="A9" s="36"/>
      <c r="B9" s="76" t="str">
        <f>inputPrYr!B21</f>
        <v>Industrial</v>
      </c>
      <c r="C9" s="327"/>
      <c r="D9" s="328" t="str">
        <f t="shared" si="1"/>
        <v/>
      </c>
      <c r="E9" s="231" t="str">
        <f t="shared" si="0"/>
        <v/>
      </c>
      <c r="F9" s="87"/>
    </row>
    <row r="10" spans="1:6" ht="15.75" x14ac:dyDescent="0.2">
      <c r="A10" s="36"/>
      <c r="B10" s="76" t="str">
        <f>inputPrYr!B22</f>
        <v>Employee Benefits</v>
      </c>
      <c r="C10" s="327"/>
      <c r="D10" s="328" t="str">
        <f t="shared" si="1"/>
        <v/>
      </c>
      <c r="E10" s="231" t="str">
        <f t="shared" si="0"/>
        <v/>
      </c>
      <c r="F10" s="87"/>
    </row>
    <row r="11" spans="1:6" ht="15.75" x14ac:dyDescent="0.2">
      <c r="A11" s="36"/>
      <c r="B11" s="76" t="str">
        <f>inputPrYr!B23</f>
        <v>Public Safety Equipment</v>
      </c>
      <c r="C11" s="327"/>
      <c r="D11" s="328" t="str">
        <f t="shared" si="1"/>
        <v/>
      </c>
      <c r="E11" s="231" t="str">
        <f t="shared" si="0"/>
        <v/>
      </c>
      <c r="F11" s="87"/>
    </row>
    <row r="12" spans="1:6" ht="15.75" x14ac:dyDescent="0.2">
      <c r="A12" s="36"/>
      <c r="B12" s="76" t="str">
        <f>inputPrYr!B24</f>
        <v>Recreation Employee Benefits</v>
      </c>
      <c r="C12" s="327"/>
      <c r="D12" s="328" t="str">
        <f t="shared" si="1"/>
        <v/>
      </c>
      <c r="E12" s="231" t="str">
        <f t="shared" si="0"/>
        <v/>
      </c>
      <c r="F12" s="87"/>
    </row>
    <row r="13" spans="1:6" ht="15.75" x14ac:dyDescent="0.2">
      <c r="A13" s="36"/>
      <c r="B13" s="76">
        <f>inputPrYr!B25</f>
        <v>0</v>
      </c>
      <c r="C13" s="329"/>
      <c r="D13" s="328" t="str">
        <f t="shared" si="1"/>
        <v/>
      </c>
      <c r="E13" s="231" t="str">
        <f t="shared" si="0"/>
        <v/>
      </c>
      <c r="F13" s="87"/>
    </row>
    <row r="14" spans="1:6" ht="15.75" x14ac:dyDescent="0.2">
      <c r="A14" s="36"/>
      <c r="B14" s="76">
        <f>inputPrYr!B26</f>
        <v>0</v>
      </c>
      <c r="C14" s="329"/>
      <c r="D14" s="328" t="str">
        <f t="shared" si="1"/>
        <v/>
      </c>
      <c r="E14" s="231" t="str">
        <f t="shared" si="0"/>
        <v/>
      </c>
      <c r="F14" s="87"/>
    </row>
    <row r="15" spans="1:6" ht="15.75" x14ac:dyDescent="0.2">
      <c r="A15" s="36"/>
      <c r="B15" s="76">
        <f>inputPrYr!B27</f>
        <v>0</v>
      </c>
      <c r="C15" s="329"/>
      <c r="D15" s="328" t="str">
        <f t="shared" si="1"/>
        <v/>
      </c>
      <c r="E15" s="231" t="str">
        <f t="shared" si="0"/>
        <v/>
      </c>
      <c r="F15" s="87"/>
    </row>
    <row r="16" spans="1:6" ht="15.75" x14ac:dyDescent="0.2">
      <c r="A16" s="36"/>
      <c r="B16" s="76">
        <f>inputPrYr!B28</f>
        <v>0</v>
      </c>
      <c r="C16" s="329"/>
      <c r="D16" s="328" t="str">
        <f t="shared" si="1"/>
        <v/>
      </c>
      <c r="E16" s="231" t="str">
        <f t="shared" si="0"/>
        <v/>
      </c>
      <c r="F16" s="87"/>
    </row>
    <row r="17" spans="1:6" ht="15.75" x14ac:dyDescent="0.2">
      <c r="A17" s="36"/>
      <c r="B17" s="76">
        <f>inputPrYr!B29</f>
        <v>0</v>
      </c>
      <c r="C17" s="329"/>
      <c r="D17" s="328" t="str">
        <f t="shared" si="1"/>
        <v/>
      </c>
      <c r="E17" s="231" t="str">
        <f t="shared" si="0"/>
        <v/>
      </c>
      <c r="F17" s="87"/>
    </row>
    <row r="18" spans="1:6" ht="15.75" x14ac:dyDescent="0.2">
      <c r="A18" s="36"/>
      <c r="B18" s="76">
        <f>inputPrYr!B30</f>
        <v>0</v>
      </c>
      <c r="C18" s="329"/>
      <c r="D18" s="328" t="str">
        <f t="shared" si="1"/>
        <v/>
      </c>
      <c r="E18" s="231" t="str">
        <f t="shared" si="0"/>
        <v/>
      </c>
      <c r="F18" s="87"/>
    </row>
    <row r="19" spans="1:6" ht="15.75" x14ac:dyDescent="0.2">
      <c r="A19" s="36"/>
      <c r="B19" s="76" t="str">
        <f>inputPrYr!B33</f>
        <v>Recreation</v>
      </c>
      <c r="C19" s="329"/>
      <c r="D19" s="328" t="str">
        <f>IF(C19&gt;0,C19/$D$25,"")</f>
        <v/>
      </c>
      <c r="E19" s="231" t="str">
        <f>IF(C19&gt;0,ROUND(D19*$D$29,0),"")</f>
        <v/>
      </c>
      <c r="F19" s="87"/>
    </row>
    <row r="20" spans="1:6" ht="16.5" thickBot="1" x14ac:dyDescent="0.25">
      <c r="A20" s="36"/>
      <c r="B20" s="54" t="s">
        <v>845</v>
      </c>
      <c r="C20" s="330">
        <f>SUM(C6:C19)</f>
        <v>0</v>
      </c>
      <c r="D20" s="331">
        <f>SUM(D6:D18)</f>
        <v>0</v>
      </c>
      <c r="E20" s="330">
        <f>SUM(E6:E18)</f>
        <v>0</v>
      </c>
      <c r="F20" s="87"/>
    </row>
    <row r="21" spans="1:6" ht="16.5" thickTop="1" x14ac:dyDescent="0.2">
      <c r="A21" s="36"/>
      <c r="B21" s="36"/>
      <c r="C21" s="36"/>
      <c r="D21" s="36"/>
      <c r="E21" s="36"/>
      <c r="F21" s="87"/>
    </row>
    <row r="22" spans="1:6" ht="15.75" x14ac:dyDescent="0.2">
      <c r="A22" s="36"/>
      <c r="B22" s="36"/>
      <c r="C22" s="36"/>
      <c r="D22" s="36"/>
      <c r="E22" s="36"/>
      <c r="F22" s="87"/>
    </row>
    <row r="23" spans="1:6" ht="15.75" x14ac:dyDescent="0.2">
      <c r="A23" s="1015" t="str">
        <f>CONCATENATE("",F1-1," July 1 Valuation:")</f>
        <v>2013 July 1 Valuation:</v>
      </c>
      <c r="B23" s="982"/>
      <c r="C23" s="1015"/>
      <c r="D23" s="323">
        <f>inputOth!E9</f>
        <v>22522195</v>
      </c>
      <c r="E23" s="36"/>
      <c r="F23" s="87"/>
    </row>
    <row r="24" spans="1:6" ht="15.75" x14ac:dyDescent="0.2">
      <c r="A24" s="36"/>
      <c r="B24" s="36"/>
      <c r="C24" s="36"/>
      <c r="D24" s="36"/>
      <c r="E24" s="36"/>
      <c r="F24" s="87"/>
    </row>
    <row r="25" spans="1:6" ht="15.75" x14ac:dyDescent="0.2">
      <c r="A25" s="36"/>
      <c r="B25" s="1015" t="s">
        <v>1097</v>
      </c>
      <c r="C25" s="1015"/>
      <c r="D25" s="332">
        <f>IF(D23&gt;0,(D23*0.001),"")</f>
        <v>22522.195</v>
      </c>
      <c r="E25" s="36"/>
      <c r="F25" s="87"/>
    </row>
    <row r="26" spans="1:6" ht="15.75" x14ac:dyDescent="0.2">
      <c r="A26" s="36"/>
      <c r="B26" s="127"/>
      <c r="C26" s="127"/>
      <c r="D26" s="333"/>
      <c r="E26" s="36"/>
      <c r="F26" s="87"/>
    </row>
    <row r="27" spans="1:6" ht="15.75" x14ac:dyDescent="0.2">
      <c r="A27" s="1013" t="s">
        <v>1098</v>
      </c>
      <c r="B27" s="949"/>
      <c r="C27" s="949"/>
      <c r="D27" s="334">
        <f>inputOth!E19</f>
        <v>0</v>
      </c>
      <c r="E27" s="57"/>
      <c r="F27" s="57"/>
    </row>
    <row r="28" spans="1:6" x14ac:dyDescent="0.2">
      <c r="A28" s="57"/>
      <c r="B28" s="57"/>
      <c r="C28" s="57"/>
      <c r="D28" s="335"/>
      <c r="E28" s="57"/>
      <c r="F28" s="57"/>
    </row>
    <row r="29" spans="1:6" ht="15.75" x14ac:dyDescent="0.2">
      <c r="A29" s="57"/>
      <c r="B29" s="1013" t="s">
        <v>1099</v>
      </c>
      <c r="C29" s="982"/>
      <c r="D29" s="336" t="str">
        <f>IF(D27&gt;0,(D27*0.001),"")</f>
        <v/>
      </c>
      <c r="E29" s="57"/>
      <c r="F29" s="57"/>
    </row>
    <row r="30" spans="1:6" x14ac:dyDescent="0.2">
      <c r="A30" s="57"/>
      <c r="B30" s="57"/>
      <c r="C30" s="57"/>
      <c r="D30" s="57"/>
      <c r="E30" s="57"/>
      <c r="F30" s="57"/>
    </row>
    <row r="31" spans="1:6" x14ac:dyDescent="0.2">
      <c r="A31" s="57"/>
      <c r="B31" s="57"/>
      <c r="C31" s="57"/>
      <c r="D31" s="57"/>
      <c r="E31" s="57"/>
      <c r="F31" s="57"/>
    </row>
    <row r="32" spans="1:6" x14ac:dyDescent="0.2">
      <c r="A32" s="57"/>
      <c r="B32" s="57"/>
      <c r="C32" s="57"/>
      <c r="D32" s="57"/>
      <c r="E32" s="57"/>
      <c r="F32" s="57"/>
    </row>
    <row r="33" spans="1:6" ht="15.75" x14ac:dyDescent="0.25">
      <c r="A33" s="366" t="str">
        <f>CONCATENATE("**This information comes from the ",F1," Budget Summary page.  See instructions tab #13 for completing")</f>
        <v>**This information comes from the 2014 Budget Summary page.  See instructions tab #13 for completing</v>
      </c>
      <c r="B33" s="57"/>
      <c r="C33" s="57"/>
      <c r="D33" s="57"/>
      <c r="E33" s="57"/>
      <c r="F33" s="57"/>
    </row>
    <row r="34" spans="1:6" ht="15.75" x14ac:dyDescent="0.25">
      <c r="A34" s="366" t="s">
        <v>466</v>
      </c>
      <c r="B34" s="57"/>
      <c r="C34" s="57"/>
      <c r="D34" s="57"/>
      <c r="E34" s="57"/>
      <c r="F34" s="57"/>
    </row>
    <row r="35" spans="1:6" ht="15.75" x14ac:dyDescent="0.25">
      <c r="A35" s="366"/>
      <c r="B35" s="57"/>
      <c r="C35" s="57"/>
      <c r="D35" s="57"/>
      <c r="E35" s="57"/>
      <c r="F35" s="57"/>
    </row>
    <row r="36" spans="1:6" ht="15.75" x14ac:dyDescent="0.25">
      <c r="A36" s="366"/>
      <c r="B36" s="57"/>
      <c r="C36" s="57"/>
      <c r="D36" s="57"/>
      <c r="E36" s="57"/>
      <c r="F36" s="57"/>
    </row>
    <row r="37" spans="1:6" ht="15.75" x14ac:dyDescent="0.25">
      <c r="A37" s="366"/>
      <c r="B37" s="57"/>
      <c r="C37" s="57"/>
      <c r="D37" s="57"/>
      <c r="E37" s="57"/>
      <c r="F37" s="57"/>
    </row>
    <row r="38" spans="1:6" ht="15.75" x14ac:dyDescent="0.25">
      <c r="A38" s="366"/>
      <c r="B38" s="57"/>
      <c r="C38" s="57"/>
      <c r="D38" s="57"/>
      <c r="E38" s="57"/>
      <c r="F38" s="57"/>
    </row>
    <row r="39" spans="1:6" x14ac:dyDescent="0.2">
      <c r="A39" s="57"/>
      <c r="B39" s="57"/>
      <c r="C39" s="57"/>
      <c r="D39" s="57"/>
      <c r="E39" s="57"/>
      <c r="F39" s="57"/>
    </row>
    <row r="40" spans="1:6" ht="15.75" x14ac:dyDescent="0.2">
      <c r="A40" s="57"/>
      <c r="B40" s="178" t="s">
        <v>869</v>
      </c>
      <c r="C40" s="273"/>
      <c r="D40" s="57"/>
      <c r="E40" s="57"/>
      <c r="F40" s="57"/>
    </row>
    <row r="41" spans="1:6" ht="15.75" x14ac:dyDescent="0.2">
      <c r="A41" s="87"/>
      <c r="B41" s="36"/>
      <c r="C41" s="36"/>
      <c r="D41" s="337"/>
      <c r="E41" s="87"/>
      <c r="F41" s="87"/>
    </row>
  </sheetData>
  <sheetProtection sheet="1"/>
  <mergeCells count="5">
    <mergeCell ref="B29:C29"/>
    <mergeCell ref="B3:E3"/>
    <mergeCell ref="A23:C23"/>
    <mergeCell ref="B25:C25"/>
    <mergeCell ref="A27:C27"/>
  </mergeCells>
  <phoneticPr fontId="9" type="noConversion"/>
  <pageMargins left="0.75" right="0.75" top="1" bottom="1" header="0.5" footer="0.5"/>
  <pageSetup scale="92" orientation="portrait" blackAndWhite="1" r:id="rId1"/>
  <headerFooter alignWithMargins="0">
    <oddHeader>&amp;RState of  Kansas
City</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selection activeCell="A4" sqref="A4:G5"/>
    </sheetView>
  </sheetViews>
  <sheetFormatPr defaultRowHeight="15.75" x14ac:dyDescent="0.25"/>
  <cols>
    <col min="1" max="16384" width="8.88671875" style="1"/>
  </cols>
  <sheetData>
    <row r="1" spans="1:14" ht="16.5" customHeight="1" x14ac:dyDescent="0.25">
      <c r="A1" s="1016" t="s">
        <v>981</v>
      </c>
      <c r="B1" s="1016"/>
      <c r="C1" s="1016"/>
      <c r="D1" s="1016"/>
      <c r="E1" s="1016"/>
      <c r="F1" s="1016"/>
      <c r="G1" s="1016"/>
    </row>
    <row r="2" spans="1:14" ht="16.5" customHeight="1" x14ac:dyDescent="0.25">
      <c r="A2" s="1016"/>
      <c r="B2" s="1016"/>
      <c r="C2" s="1016"/>
      <c r="D2" s="1016"/>
      <c r="E2" s="1016"/>
      <c r="F2" s="1016"/>
      <c r="G2" s="1016"/>
    </row>
    <row r="3" spans="1:14" ht="16.5" customHeight="1" x14ac:dyDescent="0.25">
      <c r="A3" s="1017"/>
      <c r="B3" s="1017"/>
      <c r="C3" s="1017"/>
      <c r="D3" s="1017"/>
      <c r="E3" s="1017"/>
      <c r="F3" s="1017"/>
      <c r="G3" s="1017"/>
    </row>
    <row r="4" spans="1:14" ht="16.5" customHeight="1" x14ac:dyDescent="0.25">
      <c r="A4" s="1018" t="str">
        <f>CONCATENATE("AN ORDINANCE ATTESTING TO AN INCREASE IN TAX REVENUES FOR BUDGET YEAR ",inputPrYr!C5," FOR THE ",(inputPrYr!$D$2))</f>
        <v>AN ORDINANCE ATTESTING TO AN INCREASE IN TAX REVENUES FOR BUDGET YEAR 2014 FOR THE City of Osawatomie</v>
      </c>
      <c r="B4" s="1018"/>
      <c r="C4" s="1018"/>
      <c r="D4" s="1018"/>
      <c r="E4" s="1018"/>
      <c r="F4" s="1018"/>
      <c r="G4" s="1018"/>
    </row>
    <row r="5" spans="1:14" ht="16.5" customHeight="1" x14ac:dyDescent="0.25">
      <c r="A5" s="1018"/>
      <c r="B5" s="1018"/>
      <c r="C5" s="1018"/>
      <c r="D5" s="1018"/>
      <c r="E5" s="1018"/>
      <c r="F5" s="1018"/>
      <c r="G5" s="1018"/>
    </row>
    <row r="6" spans="1:14" ht="16.5" customHeight="1" x14ac:dyDescent="0.25">
      <c r="A6" s="1016"/>
      <c r="B6" s="1016"/>
      <c r="C6" s="1016"/>
      <c r="D6" s="1016"/>
      <c r="E6" s="1016"/>
      <c r="F6" s="1016"/>
      <c r="G6" s="1016"/>
    </row>
    <row r="7" spans="1:14" ht="16.5" customHeight="1" x14ac:dyDescent="0.25">
      <c r="A7" s="1018" t="str">
        <f>CONCATENATE("WHEREAS, the ",(inputPrYr!$D$2)," must continue to provide services to protect the health, safety, and welfare of the citizens of this community; and")</f>
        <v>WHEREAS, the City of Osawatomie must continue to provide services to protect the health, safety, and welfare of the citizens of this community; and</v>
      </c>
      <c r="B7" s="1018"/>
      <c r="C7" s="1018"/>
      <c r="D7" s="1018"/>
      <c r="E7" s="1018"/>
      <c r="F7" s="1018"/>
      <c r="G7" s="1018"/>
      <c r="H7" s="15"/>
      <c r="I7" s="15"/>
      <c r="J7" s="15"/>
      <c r="K7" s="15"/>
      <c r="L7" s="15"/>
      <c r="M7" s="15"/>
      <c r="N7" s="15"/>
    </row>
    <row r="8" spans="1:14" ht="16.5" customHeight="1" x14ac:dyDescent="0.25">
      <c r="A8" s="1018"/>
      <c r="B8" s="1018"/>
      <c r="C8" s="1018"/>
      <c r="D8" s="1018"/>
      <c r="E8" s="1018"/>
      <c r="F8" s="1018"/>
      <c r="G8" s="1018"/>
      <c r="H8" s="15"/>
      <c r="I8" s="15"/>
      <c r="J8" s="15"/>
      <c r="K8" s="15"/>
      <c r="L8" s="15"/>
      <c r="M8" s="15"/>
      <c r="N8" s="15"/>
    </row>
    <row r="9" spans="1:14" ht="16.5" customHeight="1" x14ac:dyDescent="0.25">
      <c r="A9" s="16"/>
      <c r="B9" s="16"/>
      <c r="C9" s="16"/>
      <c r="D9" s="16"/>
      <c r="E9" s="16"/>
      <c r="F9" s="16"/>
      <c r="G9" s="16"/>
    </row>
    <row r="10" spans="1:14" ht="16.5" customHeight="1" x14ac:dyDescent="0.25">
      <c r="A10" s="1018" t="s">
        <v>982</v>
      </c>
      <c r="B10" s="1018"/>
      <c r="C10" s="1018"/>
      <c r="D10" s="1018"/>
      <c r="E10" s="1018"/>
      <c r="F10" s="1018"/>
      <c r="G10" s="1018"/>
    </row>
    <row r="11" spans="1:14" ht="16.5" customHeight="1" x14ac:dyDescent="0.25">
      <c r="A11" s="1018"/>
      <c r="B11" s="1018"/>
      <c r="C11" s="1018"/>
      <c r="D11" s="1018"/>
      <c r="E11" s="1018"/>
      <c r="F11" s="1018"/>
      <c r="G11" s="1018"/>
    </row>
    <row r="12" spans="1:14" ht="16.5" customHeight="1" x14ac:dyDescent="0.25">
      <c r="A12" s="16"/>
      <c r="B12" s="16"/>
      <c r="C12" s="16"/>
      <c r="D12" s="16"/>
      <c r="E12" s="16"/>
      <c r="F12" s="16"/>
      <c r="G12" s="16"/>
    </row>
    <row r="13" spans="1:14" ht="16.5" customHeight="1" x14ac:dyDescent="0.25">
      <c r="A13" s="1018" t="str">
        <f>CONCATENATE("NOW THEREFORE, be it ordained by the Governing Body of the ",(inputPrYr!$D$2),":")</f>
        <v>NOW THEREFORE, be it ordained by the Governing Body of the City of Osawatomie:</v>
      </c>
      <c r="B13" s="1018"/>
      <c r="C13" s="1018"/>
      <c r="D13" s="1018"/>
      <c r="E13" s="1018"/>
      <c r="F13" s="1018"/>
      <c r="G13" s="1018"/>
      <c r="H13" s="15"/>
      <c r="I13" s="15"/>
      <c r="J13" s="15"/>
      <c r="K13" s="15"/>
      <c r="L13" s="15"/>
      <c r="M13" s="15"/>
      <c r="N13" s="15"/>
    </row>
    <row r="14" spans="1:14" ht="16.5" customHeight="1" x14ac:dyDescent="0.25">
      <c r="A14" s="1018"/>
      <c r="B14" s="1018"/>
      <c r="C14" s="1018"/>
      <c r="D14" s="1018"/>
      <c r="E14" s="1018"/>
      <c r="F14" s="1018"/>
      <c r="G14" s="1018"/>
      <c r="H14" s="15"/>
      <c r="I14" s="15"/>
      <c r="J14" s="15"/>
      <c r="K14" s="15"/>
      <c r="L14" s="15"/>
      <c r="M14" s="15"/>
      <c r="N14" s="15"/>
    </row>
    <row r="15" spans="1:14" ht="16.5" customHeight="1" x14ac:dyDescent="0.25">
      <c r="A15" s="1018"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Osawatomie  has scheduled a public hearing and has prepared the proposed budget necessary to fund city services from January 1, 2014 until December 31, 2014.</v>
      </c>
      <c r="B15" s="1018"/>
      <c r="C15" s="1018"/>
      <c r="D15" s="1018"/>
      <c r="E15" s="1018"/>
      <c r="F15" s="1018"/>
      <c r="G15" s="1018"/>
      <c r="H15" s="15"/>
      <c r="I15" s="15"/>
      <c r="J15" s="15"/>
      <c r="K15" s="15"/>
      <c r="L15" s="15"/>
      <c r="M15" s="15"/>
      <c r="N15" s="15"/>
    </row>
    <row r="16" spans="1:14" ht="16.5" customHeight="1" x14ac:dyDescent="0.25">
      <c r="A16" s="1018"/>
      <c r="B16" s="1018"/>
      <c r="C16" s="1018"/>
      <c r="D16" s="1018"/>
      <c r="E16" s="1018"/>
      <c r="F16" s="1018"/>
      <c r="G16" s="1018"/>
      <c r="H16" s="15"/>
      <c r="I16" s="15"/>
      <c r="J16" s="15"/>
      <c r="K16" s="15"/>
      <c r="L16" s="15"/>
      <c r="M16" s="15"/>
      <c r="N16" s="15"/>
    </row>
    <row r="17" spans="1:14" ht="16.5" customHeight="1" x14ac:dyDescent="0.25">
      <c r="A17" s="1018"/>
      <c r="B17" s="1018"/>
      <c r="C17" s="1018"/>
      <c r="D17" s="1018"/>
      <c r="E17" s="1018"/>
      <c r="F17" s="1018"/>
      <c r="G17" s="1018"/>
      <c r="H17" s="15"/>
      <c r="I17" s="15"/>
      <c r="J17" s="15"/>
      <c r="K17" s="15"/>
      <c r="L17" s="15"/>
      <c r="M17" s="15"/>
      <c r="N17" s="15"/>
    </row>
    <row r="18" spans="1:14" ht="16.5" customHeight="1" x14ac:dyDescent="0.25">
      <c r="A18" s="15"/>
      <c r="B18" s="15"/>
      <c r="C18" s="15"/>
      <c r="D18" s="15"/>
      <c r="E18" s="15"/>
      <c r="F18" s="15"/>
      <c r="G18" s="15"/>
    </row>
    <row r="19" spans="1:14" ht="16.5" customHeight="1" x14ac:dyDescent="0.25">
      <c r="A19" s="1020" t="s">
        <v>1042</v>
      </c>
      <c r="B19" s="1020"/>
      <c r="C19" s="1020"/>
      <c r="D19" s="1020"/>
      <c r="E19" s="1020"/>
      <c r="F19" s="1020"/>
      <c r="G19" s="1020"/>
    </row>
    <row r="20" spans="1:14" ht="16.5" customHeight="1" x14ac:dyDescent="0.25">
      <c r="A20" s="1020" t="s">
        <v>1043</v>
      </c>
      <c r="B20" s="1020"/>
      <c r="C20" s="1020"/>
      <c r="D20" s="1020"/>
      <c r="E20" s="1020"/>
      <c r="F20" s="1020"/>
      <c r="G20" s="1020"/>
    </row>
    <row r="21" spans="1:14" ht="16.5" customHeight="1" x14ac:dyDescent="0.25">
      <c r="A21" s="1020" t="str">
        <f>CONCATENATE("necessary to budget property tax revenues in an amount exceeding the levy in the ",inputPrYr!C5-1,"")</f>
        <v>necessary to budget property tax revenues in an amount exceeding the levy in the 2013</v>
      </c>
      <c r="B21" s="1020"/>
      <c r="C21" s="1020"/>
      <c r="D21" s="1020"/>
      <c r="E21" s="1020"/>
      <c r="F21" s="1020"/>
      <c r="G21" s="1020"/>
    </row>
    <row r="22" spans="1:14" ht="16.5" customHeight="1" x14ac:dyDescent="0.25">
      <c r="A22" s="17" t="s">
        <v>1044</v>
      </c>
      <c r="B22" s="17"/>
      <c r="C22" s="17"/>
      <c r="D22" s="17"/>
      <c r="E22" s="17"/>
      <c r="F22" s="17"/>
      <c r="G22" s="17"/>
    </row>
    <row r="23" spans="1:14" ht="16.5" customHeight="1" x14ac:dyDescent="0.25">
      <c r="A23" s="15"/>
      <c r="B23" s="15"/>
      <c r="C23" s="15"/>
      <c r="D23" s="15"/>
      <c r="E23" s="15"/>
      <c r="F23" s="15"/>
      <c r="G23" s="15"/>
    </row>
    <row r="24" spans="1:14" ht="16.5" customHeight="1" x14ac:dyDescent="0.25">
      <c r="A24" s="1018" t="s">
        <v>983</v>
      </c>
      <c r="B24" s="1018"/>
      <c r="C24" s="1018"/>
      <c r="D24" s="1018"/>
      <c r="E24" s="1018"/>
      <c r="F24" s="1018"/>
      <c r="G24" s="1018"/>
    </row>
    <row r="25" spans="1:14" ht="16.5" customHeight="1" x14ac:dyDescent="0.25">
      <c r="A25" s="1018"/>
      <c r="B25" s="1018"/>
      <c r="C25" s="1018"/>
      <c r="D25" s="1018"/>
      <c r="E25" s="1018"/>
      <c r="F25" s="1018"/>
      <c r="G25" s="1018"/>
    </row>
    <row r="26" spans="1:14" ht="16.5" customHeight="1" x14ac:dyDescent="0.25">
      <c r="A26" s="15"/>
      <c r="B26" s="15"/>
      <c r="C26" s="15"/>
      <c r="D26" s="15"/>
      <c r="E26" s="15"/>
      <c r="F26" s="15"/>
      <c r="G26" s="15"/>
    </row>
    <row r="27" spans="1:14" ht="16.5" customHeight="1" x14ac:dyDescent="0.25">
      <c r="A27" s="1018" t="str">
        <f>CONCATENATE("Passed and approved by the Governing Body on this ______ day of __________, ",inputPrYr!C5-1,".")</f>
        <v>Passed and approved by the Governing Body on this ______ day of __________, 2013.</v>
      </c>
      <c r="B27" s="1018"/>
      <c r="C27" s="1018"/>
      <c r="D27" s="1018"/>
      <c r="E27" s="1018"/>
      <c r="F27" s="1018"/>
      <c r="G27" s="1018"/>
    </row>
    <row r="28" spans="1:14" ht="16.5" customHeight="1" x14ac:dyDescent="0.25">
      <c r="A28" s="1018"/>
      <c r="B28" s="1018"/>
      <c r="C28" s="1018"/>
      <c r="D28" s="1018"/>
      <c r="E28" s="1018"/>
      <c r="F28" s="1018"/>
      <c r="G28" s="1018"/>
    </row>
    <row r="29" spans="1:14" ht="16.5" customHeight="1" x14ac:dyDescent="0.25"/>
    <row r="30" spans="1:14" ht="16.5" customHeight="1" x14ac:dyDescent="0.25">
      <c r="A30" s="1019" t="s">
        <v>984</v>
      </c>
      <c r="B30" s="1019"/>
      <c r="C30" s="1019"/>
      <c r="D30" s="1019"/>
      <c r="E30" s="1019"/>
      <c r="F30" s="1019"/>
      <c r="G30" s="1019"/>
    </row>
    <row r="31" spans="1:14" ht="16.5" customHeight="1" x14ac:dyDescent="0.25">
      <c r="A31" s="1019" t="s">
        <v>989</v>
      </c>
      <c r="B31" s="1019"/>
      <c r="C31" s="1019"/>
      <c r="D31" s="1019"/>
      <c r="E31" s="1019"/>
      <c r="F31" s="1019"/>
      <c r="G31" s="1019"/>
    </row>
    <row r="32" spans="1:14" ht="16.5" customHeight="1" x14ac:dyDescent="0.25">
      <c r="A32" s="1" t="s">
        <v>985</v>
      </c>
    </row>
    <row r="33" spans="1:2" ht="16.5" customHeight="1" x14ac:dyDescent="0.25">
      <c r="B33" s="1" t="s">
        <v>986</v>
      </c>
    </row>
    <row r="34" spans="1:2" ht="16.5" customHeight="1" x14ac:dyDescent="0.25"/>
    <row r="35" spans="1:2" ht="16.5" customHeight="1" x14ac:dyDescent="0.25"/>
    <row r="36" spans="1:2" ht="16.5" customHeight="1" x14ac:dyDescent="0.25">
      <c r="A36" s="1" t="s">
        <v>987</v>
      </c>
    </row>
    <row r="37" spans="1:2" ht="16.5" customHeight="1" x14ac:dyDescent="0.25"/>
    <row r="38" spans="1:2" ht="16.5" customHeight="1" x14ac:dyDescent="0.25"/>
    <row r="39" spans="1:2" ht="16.5" customHeight="1" x14ac:dyDescent="0.25"/>
    <row r="40" spans="1:2" ht="16.5" customHeight="1" x14ac:dyDescent="0.25">
      <c r="A40" s="1" t="s">
        <v>988</v>
      </c>
    </row>
  </sheetData>
  <sheetProtection sheet="1" objects="1" scenarios="1"/>
  <mergeCells count="16">
    <mergeCell ref="A30:G30"/>
    <mergeCell ref="A31:G31"/>
    <mergeCell ref="A27:G28"/>
    <mergeCell ref="A10:G11"/>
    <mergeCell ref="A13:G14"/>
    <mergeCell ref="A24:G25"/>
    <mergeCell ref="A15:G17"/>
    <mergeCell ref="A19:G19"/>
    <mergeCell ref="A20:G20"/>
    <mergeCell ref="A21:G21"/>
    <mergeCell ref="A1:G1"/>
    <mergeCell ref="A2:G2"/>
    <mergeCell ref="A3:G3"/>
    <mergeCell ref="A7:G8"/>
    <mergeCell ref="A4:G5"/>
    <mergeCell ref="A6:G6"/>
  </mergeCells>
  <phoneticPr fontId="9" type="noConversion"/>
  <pageMargins left="1" right="1" top="1" bottom="1" header="0.5" footer="0.5"/>
  <pageSetup orientation="portrait" blackAndWhite="1" r:id="rId1"/>
  <headerFooter alignWithMargins="0">
    <oddFooter>&amp;Lrevised 8/06/07</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85"/>
  <sheetViews>
    <sheetView workbookViewId="0"/>
  </sheetViews>
  <sheetFormatPr defaultRowHeight="15" x14ac:dyDescent="0.2"/>
  <cols>
    <col min="1" max="1" width="71.33203125" customWidth="1"/>
  </cols>
  <sheetData>
    <row r="3" spans="1:12" x14ac:dyDescent="0.2">
      <c r="A3" s="354" t="s">
        <v>1174</v>
      </c>
      <c r="B3" s="354"/>
      <c r="C3" s="354"/>
      <c r="D3" s="354"/>
      <c r="E3" s="354"/>
      <c r="F3" s="354"/>
      <c r="G3" s="354"/>
      <c r="H3" s="354"/>
      <c r="I3" s="354"/>
      <c r="J3" s="354"/>
      <c r="K3" s="354"/>
      <c r="L3" s="354"/>
    </row>
    <row r="5" spans="1:12" x14ac:dyDescent="0.2">
      <c r="A5" s="355" t="s">
        <v>1175</v>
      </c>
    </row>
    <row r="6" spans="1:12" x14ac:dyDescent="0.2">
      <c r="A6" s="355" t="str">
        <f>CONCATENATE(inputPrYr!C5-2," 'total expenditures' exceed your ",inputPrYr!C5-2," 'budget authority.'")</f>
        <v>2012 'total expenditures' exceed your 2012 'budget authority.'</v>
      </c>
    </row>
    <row r="7" spans="1:12" x14ac:dyDescent="0.2">
      <c r="A7" s="355"/>
    </row>
    <row r="8" spans="1:12" x14ac:dyDescent="0.2">
      <c r="A8" s="355" t="s">
        <v>1176</v>
      </c>
    </row>
    <row r="9" spans="1:12" x14ac:dyDescent="0.2">
      <c r="A9" s="355" t="s">
        <v>1177</v>
      </c>
    </row>
    <row r="10" spans="1:12" x14ac:dyDescent="0.2">
      <c r="A10" s="355" t="s">
        <v>1178</v>
      </c>
    </row>
    <row r="11" spans="1:12" x14ac:dyDescent="0.2">
      <c r="A11" s="355"/>
    </row>
    <row r="12" spans="1:12" x14ac:dyDescent="0.2">
      <c r="A12" s="355"/>
    </row>
    <row r="13" spans="1:12" x14ac:dyDescent="0.2">
      <c r="A13" s="356" t="s">
        <v>1179</v>
      </c>
    </row>
    <row r="15" spans="1:12" x14ac:dyDescent="0.2">
      <c r="A15" s="355" t="s">
        <v>1180</v>
      </c>
    </row>
    <row r="16" spans="1:12" x14ac:dyDescent="0.2">
      <c r="A16" s="355" t="str">
        <f>CONCATENATE("(i.e. an audit has not been completed, or the ",inputPrYr!C5," adopted")</f>
        <v>(i.e. an audit has not been completed, or the 2014 adopted</v>
      </c>
    </row>
    <row r="17" spans="1:1" x14ac:dyDescent="0.2">
      <c r="A17" s="355" t="s">
        <v>1181</v>
      </c>
    </row>
    <row r="18" spans="1:1" x14ac:dyDescent="0.2">
      <c r="A18" s="355" t="s">
        <v>1182</v>
      </c>
    </row>
    <row r="19" spans="1:1" x14ac:dyDescent="0.2">
      <c r="A19" s="355" t="s">
        <v>1183</v>
      </c>
    </row>
    <row r="21" spans="1:1" x14ac:dyDescent="0.2">
      <c r="A21" s="356" t="s">
        <v>1184</v>
      </c>
    </row>
    <row r="22" spans="1:1" x14ac:dyDescent="0.2">
      <c r="A22" s="356"/>
    </row>
    <row r="23" spans="1:1" x14ac:dyDescent="0.2">
      <c r="A23" s="355" t="s">
        <v>1185</v>
      </c>
    </row>
    <row r="24" spans="1:1" x14ac:dyDescent="0.2">
      <c r="A24" s="355" t="s">
        <v>1186</v>
      </c>
    </row>
    <row r="25" spans="1:1" x14ac:dyDescent="0.2">
      <c r="A25" s="355" t="str">
        <f>CONCATENATE("particular fund.  If your ",inputPrYr!C5-2," budget was amended, did you")</f>
        <v>particular fund.  If your 2012 budget was amended, did you</v>
      </c>
    </row>
    <row r="26" spans="1:1" x14ac:dyDescent="0.2">
      <c r="A26" s="355" t="s">
        <v>1187</v>
      </c>
    </row>
    <row r="27" spans="1:1" x14ac:dyDescent="0.2">
      <c r="A27" s="355"/>
    </row>
    <row r="28" spans="1:1" x14ac:dyDescent="0.2">
      <c r="A28" s="355" t="str">
        <f>CONCATENATE("Next, look to see if any of your ",inputPrYr!C5-2," expenditures can be")</f>
        <v>Next, look to see if any of your 2012 expenditures can be</v>
      </c>
    </row>
    <row r="29" spans="1:1" x14ac:dyDescent="0.2">
      <c r="A29" s="355" t="s">
        <v>1188</v>
      </c>
    </row>
    <row r="30" spans="1:1" x14ac:dyDescent="0.2">
      <c r="A30" s="355" t="s">
        <v>1189</v>
      </c>
    </row>
    <row r="31" spans="1:1" x14ac:dyDescent="0.2">
      <c r="A31" s="355" t="s">
        <v>1190</v>
      </c>
    </row>
    <row r="32" spans="1:1" x14ac:dyDescent="0.2">
      <c r="A32" s="355"/>
    </row>
    <row r="33" spans="1:1" x14ac:dyDescent="0.2">
      <c r="A33" s="355" t="str">
        <f>CONCATENATE("Additionally, do your ",inputPrYr!C5-2," receipts contain a reimbursement")</f>
        <v>Additionally, do your 2012 receipts contain a reimbursement</v>
      </c>
    </row>
    <row r="34" spans="1:1" x14ac:dyDescent="0.2">
      <c r="A34" s="355" t="s">
        <v>1191</v>
      </c>
    </row>
    <row r="35" spans="1:1" x14ac:dyDescent="0.2">
      <c r="A35" s="355" t="s">
        <v>1192</v>
      </c>
    </row>
    <row r="36" spans="1:1" x14ac:dyDescent="0.2">
      <c r="A36" s="355"/>
    </row>
    <row r="37" spans="1:1" x14ac:dyDescent="0.2">
      <c r="A37" s="355" t="s">
        <v>1193</v>
      </c>
    </row>
    <row r="38" spans="1:1" x14ac:dyDescent="0.2">
      <c r="A38" s="355" t="s">
        <v>1194</v>
      </c>
    </row>
    <row r="39" spans="1:1" x14ac:dyDescent="0.2">
      <c r="A39" s="355" t="s">
        <v>1195</v>
      </c>
    </row>
    <row r="40" spans="1:1" x14ac:dyDescent="0.2">
      <c r="A40" s="355" t="s">
        <v>1196</v>
      </c>
    </row>
    <row r="41" spans="1:1" x14ac:dyDescent="0.2">
      <c r="A41" s="355" t="s">
        <v>1197</v>
      </c>
    </row>
    <row r="42" spans="1:1" x14ac:dyDescent="0.2">
      <c r="A42" s="355" t="s">
        <v>1198</v>
      </c>
    </row>
    <row r="43" spans="1:1" x14ac:dyDescent="0.2">
      <c r="A43" s="355" t="s">
        <v>1199</v>
      </c>
    </row>
    <row r="44" spans="1:1" x14ac:dyDescent="0.2">
      <c r="A44" s="355" t="s">
        <v>1200</v>
      </c>
    </row>
    <row r="45" spans="1:1" x14ac:dyDescent="0.2">
      <c r="A45" s="355"/>
    </row>
    <row r="46" spans="1:1" x14ac:dyDescent="0.2">
      <c r="A46" s="355" t="s">
        <v>1201</v>
      </c>
    </row>
    <row r="47" spans="1:1" x14ac:dyDescent="0.2">
      <c r="A47" s="355" t="s">
        <v>1202</v>
      </c>
    </row>
    <row r="48" spans="1:1" x14ac:dyDescent="0.2">
      <c r="A48" s="355" t="s">
        <v>1203</v>
      </c>
    </row>
    <row r="49" spans="1:1" x14ac:dyDescent="0.2">
      <c r="A49" s="355"/>
    </row>
    <row r="50" spans="1:1" x14ac:dyDescent="0.2">
      <c r="A50" s="355" t="s">
        <v>1204</v>
      </c>
    </row>
    <row r="51" spans="1:1" x14ac:dyDescent="0.2">
      <c r="A51" s="355" t="s">
        <v>1205</v>
      </c>
    </row>
    <row r="52" spans="1:1" x14ac:dyDescent="0.2">
      <c r="A52" s="355" t="s">
        <v>1206</v>
      </c>
    </row>
    <row r="53" spans="1:1" x14ac:dyDescent="0.2">
      <c r="A53" s="355"/>
    </row>
    <row r="54" spans="1:1" x14ac:dyDescent="0.2">
      <c r="A54" s="356" t="s">
        <v>1207</v>
      </c>
    </row>
    <row r="55" spans="1:1" x14ac:dyDescent="0.2">
      <c r="A55" s="355"/>
    </row>
    <row r="56" spans="1:1" x14ac:dyDescent="0.2">
      <c r="A56" s="355" t="s">
        <v>315</v>
      </c>
    </row>
    <row r="57" spans="1:1" x14ac:dyDescent="0.2">
      <c r="A57" s="355" t="s">
        <v>316</v>
      </c>
    </row>
    <row r="58" spans="1:1" x14ac:dyDescent="0.2">
      <c r="A58" s="355" t="s">
        <v>317</v>
      </c>
    </row>
    <row r="59" spans="1:1" x14ac:dyDescent="0.2">
      <c r="A59" s="355" t="s">
        <v>318</v>
      </c>
    </row>
    <row r="60" spans="1:1" x14ac:dyDescent="0.2">
      <c r="A60" s="355" t="s">
        <v>319</v>
      </c>
    </row>
    <row r="61" spans="1:1" x14ac:dyDescent="0.2">
      <c r="A61" s="355" t="s">
        <v>320</v>
      </c>
    </row>
    <row r="62" spans="1:1" x14ac:dyDescent="0.2">
      <c r="A62" s="355" t="s">
        <v>321</v>
      </c>
    </row>
    <row r="63" spans="1:1" x14ac:dyDescent="0.2">
      <c r="A63" s="355" t="s">
        <v>322</v>
      </c>
    </row>
    <row r="64" spans="1:1" x14ac:dyDescent="0.2">
      <c r="A64" s="355" t="s">
        <v>323</v>
      </c>
    </row>
    <row r="65" spans="1:1" x14ac:dyDescent="0.2">
      <c r="A65" s="355" t="s">
        <v>324</v>
      </c>
    </row>
    <row r="66" spans="1:1" x14ac:dyDescent="0.2">
      <c r="A66" s="355" t="s">
        <v>325</v>
      </c>
    </row>
    <row r="67" spans="1:1" x14ac:dyDescent="0.2">
      <c r="A67" s="355" t="s">
        <v>326</v>
      </c>
    </row>
    <row r="68" spans="1:1" x14ac:dyDescent="0.2">
      <c r="A68" s="355" t="s">
        <v>327</v>
      </c>
    </row>
    <row r="69" spans="1:1" x14ac:dyDescent="0.2">
      <c r="A69" s="355"/>
    </row>
    <row r="70" spans="1:1" x14ac:dyDescent="0.2">
      <c r="A70" s="355" t="s">
        <v>328</v>
      </c>
    </row>
    <row r="71" spans="1:1" x14ac:dyDescent="0.2">
      <c r="A71" s="355" t="s">
        <v>329</v>
      </c>
    </row>
    <row r="72" spans="1:1" x14ac:dyDescent="0.2">
      <c r="A72" s="355" t="s">
        <v>330</v>
      </c>
    </row>
    <row r="73" spans="1:1" x14ac:dyDescent="0.2">
      <c r="A73" s="355"/>
    </row>
    <row r="74" spans="1:1" x14ac:dyDescent="0.2">
      <c r="A74" s="356" t="str">
        <f>CONCATENATE("What if the ",inputPrYr!C5-2," financial records have been closed?")</f>
        <v>What if the 2012 financial records have been closed?</v>
      </c>
    </row>
    <row r="76" spans="1:1" x14ac:dyDescent="0.2">
      <c r="A76" s="355" t="s">
        <v>331</v>
      </c>
    </row>
    <row r="77" spans="1:1" x14ac:dyDescent="0.2">
      <c r="A77" s="355" t="str">
        <f>CONCATENATE("(i.e. an audit for ",inputPrYr!C5-2," has been completed, or the ",inputPrYr!C5)</f>
        <v>(i.e. an audit for 2012 has been completed, or the 2014</v>
      </c>
    </row>
    <row r="78" spans="1:1" x14ac:dyDescent="0.2">
      <c r="A78" s="355" t="s">
        <v>332</v>
      </c>
    </row>
    <row r="79" spans="1:1" x14ac:dyDescent="0.2">
      <c r="A79" s="355" t="s">
        <v>333</v>
      </c>
    </row>
    <row r="80" spans="1:1" x14ac:dyDescent="0.2">
      <c r="A80" s="355"/>
    </row>
    <row r="81" spans="1:1" x14ac:dyDescent="0.2">
      <c r="A81" s="355" t="s">
        <v>334</v>
      </c>
    </row>
    <row r="82" spans="1:1" x14ac:dyDescent="0.2">
      <c r="A82" s="355" t="s">
        <v>335</v>
      </c>
    </row>
    <row r="83" spans="1:1" x14ac:dyDescent="0.2">
      <c r="A83" s="355" t="s">
        <v>336</v>
      </c>
    </row>
    <row r="84" spans="1:1" x14ac:dyDescent="0.2">
      <c r="A84" s="355"/>
    </row>
    <row r="85" spans="1:1" x14ac:dyDescent="0.2">
      <c r="A85" s="355" t="s">
        <v>337</v>
      </c>
    </row>
  </sheetData>
  <sheetProtection sheet="1"/>
  <phoneticPr fontId="0" type="noConversion"/>
  <pageMargins left="0.7" right="0.7" top="0.75" bottom="0.75" header="0.3" footer="0.3"/>
  <pageSetup orientation="portrait" r:id="rId1"/>
  <headerFooter>
    <oddFooter>&amp;Lrevised 10/2/09</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109"/>
  <sheetViews>
    <sheetView topLeftCell="A80" workbookViewId="0">
      <selection activeCell="J109" sqref="J109"/>
    </sheetView>
  </sheetViews>
  <sheetFormatPr defaultRowHeight="15" x14ac:dyDescent="0.2"/>
  <cols>
    <col min="1" max="1" width="71.33203125" customWidth="1"/>
  </cols>
  <sheetData>
    <row r="3" spans="1:10" x14ac:dyDescent="0.2">
      <c r="A3" s="354" t="s">
        <v>338</v>
      </c>
      <c r="B3" s="354"/>
      <c r="C3" s="354"/>
      <c r="D3" s="354"/>
      <c r="E3" s="354"/>
      <c r="F3" s="354"/>
      <c r="G3" s="354"/>
      <c r="H3" s="357"/>
      <c r="I3" s="357"/>
      <c r="J3" s="357"/>
    </row>
    <row r="5" spans="1:10" x14ac:dyDescent="0.2">
      <c r="A5" s="355" t="s">
        <v>339</v>
      </c>
    </row>
    <row r="6" spans="1:10" x14ac:dyDescent="0.2">
      <c r="A6" t="str">
        <f>CONCATENATE(inputPrYr!C5-2," expenditures show that you finished the year with a ")</f>
        <v xml:space="preserve">2012 expenditures show that you finished the year with a </v>
      </c>
    </row>
    <row r="7" spans="1:10" x14ac:dyDescent="0.2">
      <c r="A7" t="s">
        <v>340</v>
      </c>
    </row>
    <row r="9" spans="1:10" x14ac:dyDescent="0.2">
      <c r="A9" t="s">
        <v>341</v>
      </c>
    </row>
    <row r="10" spans="1:10" x14ac:dyDescent="0.2">
      <c r="A10" t="s">
        <v>342</v>
      </c>
    </row>
    <row r="11" spans="1:10" x14ac:dyDescent="0.2">
      <c r="A11" t="s">
        <v>343</v>
      </c>
    </row>
    <row r="13" spans="1:10" x14ac:dyDescent="0.2">
      <c r="A13" s="356" t="s">
        <v>344</v>
      </c>
    </row>
    <row r="14" spans="1:10" x14ac:dyDescent="0.2">
      <c r="A14" s="356"/>
    </row>
    <row r="15" spans="1:10" x14ac:dyDescent="0.2">
      <c r="A15" s="355" t="s">
        <v>345</v>
      </c>
    </row>
    <row r="16" spans="1:10" x14ac:dyDescent="0.2">
      <c r="A16" s="355" t="s">
        <v>346</v>
      </c>
    </row>
    <row r="17" spans="1:1" x14ac:dyDescent="0.2">
      <c r="A17" s="355" t="s">
        <v>347</v>
      </c>
    </row>
    <row r="18" spans="1:1" x14ac:dyDescent="0.2">
      <c r="A18" s="355"/>
    </row>
    <row r="19" spans="1:1" x14ac:dyDescent="0.2">
      <c r="A19" s="356" t="s">
        <v>348</v>
      </c>
    </row>
    <row r="20" spans="1:1" x14ac:dyDescent="0.2">
      <c r="A20" s="356"/>
    </row>
    <row r="21" spans="1:1" x14ac:dyDescent="0.2">
      <c r="A21" s="355" t="s">
        <v>349</v>
      </c>
    </row>
    <row r="22" spans="1:1" x14ac:dyDescent="0.2">
      <c r="A22" s="355" t="s">
        <v>350</v>
      </c>
    </row>
    <row r="23" spans="1:1" x14ac:dyDescent="0.2">
      <c r="A23" s="355" t="s">
        <v>351</v>
      </c>
    </row>
    <row r="24" spans="1:1" x14ac:dyDescent="0.2">
      <c r="A24" s="355"/>
    </row>
    <row r="25" spans="1:1" x14ac:dyDescent="0.2">
      <c r="A25" s="356" t="s">
        <v>352</v>
      </c>
    </row>
    <row r="26" spans="1:1" x14ac:dyDescent="0.2">
      <c r="A26" s="356"/>
    </row>
    <row r="27" spans="1:1" x14ac:dyDescent="0.2">
      <c r="A27" s="355" t="s">
        <v>353</v>
      </c>
    </row>
    <row r="28" spans="1:1" x14ac:dyDescent="0.2">
      <c r="A28" s="355" t="s">
        <v>354</v>
      </c>
    </row>
    <row r="29" spans="1:1" x14ac:dyDescent="0.2">
      <c r="A29" s="355" t="s">
        <v>355</v>
      </c>
    </row>
    <row r="30" spans="1:1" x14ac:dyDescent="0.2">
      <c r="A30" s="355"/>
    </row>
    <row r="31" spans="1:1" x14ac:dyDescent="0.2">
      <c r="A31" s="356" t="s">
        <v>356</v>
      </c>
    </row>
    <row r="32" spans="1:1" x14ac:dyDescent="0.2">
      <c r="A32" s="356"/>
    </row>
    <row r="33" spans="1:8" x14ac:dyDescent="0.2">
      <c r="A33" s="355" t="str">
        <f>CONCATENATE("If your financial records for ",inputPrYr!C5-2," are not closed")</f>
        <v>If your financial records for 2012 are not closed</v>
      </c>
      <c r="B33" s="355"/>
      <c r="C33" s="355"/>
      <c r="D33" s="355"/>
      <c r="E33" s="355"/>
      <c r="F33" s="355"/>
      <c r="G33" s="355"/>
      <c r="H33" s="355"/>
    </row>
    <row r="34" spans="1:8" x14ac:dyDescent="0.2">
      <c r="A34" s="355" t="str">
        <f>CONCATENATE("(i.e. an audit has not been completed, or the ",inputPrYr!C5," adopted ")</f>
        <v xml:space="preserve">(i.e. an audit has not been completed, or the 2014 adopted </v>
      </c>
      <c r="B34" s="355"/>
      <c r="C34" s="355"/>
      <c r="D34" s="355"/>
      <c r="E34" s="355"/>
      <c r="F34" s="355"/>
      <c r="G34" s="355"/>
      <c r="H34" s="355"/>
    </row>
    <row r="35" spans="1:8" x14ac:dyDescent="0.2">
      <c r="A35" s="355" t="s">
        <v>357</v>
      </c>
      <c r="B35" s="355"/>
      <c r="C35" s="355"/>
      <c r="D35" s="355"/>
      <c r="E35" s="355"/>
      <c r="F35" s="355"/>
      <c r="G35" s="355"/>
      <c r="H35" s="355"/>
    </row>
    <row r="36" spans="1:8" x14ac:dyDescent="0.2">
      <c r="A36" s="355" t="s">
        <v>358</v>
      </c>
      <c r="B36" s="355"/>
      <c r="C36" s="355"/>
      <c r="D36" s="355"/>
      <c r="E36" s="355"/>
      <c r="F36" s="355"/>
      <c r="G36" s="355"/>
      <c r="H36" s="355"/>
    </row>
    <row r="37" spans="1:8" x14ac:dyDescent="0.2">
      <c r="A37" s="355" t="s">
        <v>359</v>
      </c>
      <c r="B37" s="355"/>
      <c r="C37" s="355"/>
      <c r="D37" s="355"/>
      <c r="E37" s="355"/>
      <c r="F37" s="355"/>
      <c r="G37" s="355"/>
      <c r="H37" s="355"/>
    </row>
    <row r="38" spans="1:8" x14ac:dyDescent="0.2">
      <c r="A38" s="355" t="s">
        <v>360</v>
      </c>
      <c r="B38" s="355"/>
      <c r="C38" s="355"/>
      <c r="D38" s="355"/>
      <c r="E38" s="355"/>
      <c r="F38" s="355"/>
      <c r="G38" s="355"/>
      <c r="H38" s="355"/>
    </row>
    <row r="39" spans="1:8" x14ac:dyDescent="0.2">
      <c r="A39" s="355" t="s">
        <v>361</v>
      </c>
      <c r="B39" s="355"/>
      <c r="C39" s="355"/>
      <c r="D39" s="355"/>
      <c r="E39" s="355"/>
      <c r="F39" s="355"/>
      <c r="G39" s="355"/>
      <c r="H39" s="355"/>
    </row>
    <row r="40" spans="1:8" x14ac:dyDescent="0.2">
      <c r="A40" s="355"/>
      <c r="B40" s="355"/>
      <c r="C40" s="355"/>
      <c r="D40" s="355"/>
      <c r="E40" s="355"/>
      <c r="F40" s="355"/>
      <c r="G40" s="355"/>
      <c r="H40" s="355"/>
    </row>
    <row r="41" spans="1:8" x14ac:dyDescent="0.2">
      <c r="A41" s="355" t="s">
        <v>362</v>
      </c>
      <c r="B41" s="355"/>
      <c r="C41" s="355"/>
      <c r="D41" s="355"/>
      <c r="E41" s="355"/>
      <c r="F41" s="355"/>
      <c r="G41" s="355"/>
      <c r="H41" s="355"/>
    </row>
    <row r="42" spans="1:8" x14ac:dyDescent="0.2">
      <c r="A42" s="355" t="s">
        <v>363</v>
      </c>
      <c r="B42" s="355"/>
      <c r="C42" s="355"/>
      <c r="D42" s="355"/>
      <c r="E42" s="355"/>
      <c r="F42" s="355"/>
      <c r="G42" s="355"/>
      <c r="H42" s="355"/>
    </row>
    <row r="43" spans="1:8" x14ac:dyDescent="0.2">
      <c r="A43" s="355" t="s">
        <v>1208</v>
      </c>
      <c r="B43" s="355"/>
      <c r="C43" s="355"/>
      <c r="D43" s="355"/>
      <c r="E43" s="355"/>
      <c r="F43" s="355"/>
      <c r="G43" s="355"/>
      <c r="H43" s="355"/>
    </row>
    <row r="44" spans="1:8" x14ac:dyDescent="0.2">
      <c r="A44" s="355" t="s">
        <v>1209</v>
      </c>
      <c r="B44" s="355"/>
      <c r="C44" s="355"/>
      <c r="D44" s="355"/>
      <c r="E44" s="355"/>
      <c r="F44" s="355"/>
      <c r="G44" s="355"/>
      <c r="H44" s="355"/>
    </row>
    <row r="45" spans="1:8" x14ac:dyDescent="0.2">
      <c r="A45" s="355"/>
      <c r="B45" s="355"/>
      <c r="C45" s="355"/>
      <c r="D45" s="355"/>
      <c r="E45" s="355"/>
      <c r="F45" s="355"/>
      <c r="G45" s="355"/>
      <c r="H45" s="355"/>
    </row>
    <row r="46" spans="1:8" x14ac:dyDescent="0.2">
      <c r="A46" s="355" t="s">
        <v>1210</v>
      </c>
      <c r="B46" s="355"/>
      <c r="C46" s="355"/>
      <c r="D46" s="355"/>
      <c r="E46" s="355"/>
      <c r="F46" s="355"/>
      <c r="G46" s="355"/>
      <c r="H46" s="355"/>
    </row>
    <row r="47" spans="1:8" x14ac:dyDescent="0.2">
      <c r="A47" s="355" t="s">
        <v>1211</v>
      </c>
      <c r="B47" s="355"/>
      <c r="C47" s="355"/>
      <c r="D47" s="355"/>
      <c r="E47" s="355"/>
      <c r="F47" s="355"/>
      <c r="G47" s="355"/>
      <c r="H47" s="355"/>
    </row>
    <row r="48" spans="1:8" x14ac:dyDescent="0.2">
      <c r="A48" s="355" t="s">
        <v>1212</v>
      </c>
      <c r="B48" s="355"/>
      <c r="C48" s="355"/>
      <c r="D48" s="355"/>
      <c r="E48" s="355"/>
      <c r="F48" s="355"/>
      <c r="G48" s="355"/>
      <c r="H48" s="355"/>
    </row>
    <row r="49" spans="1:8" x14ac:dyDescent="0.2">
      <c r="A49" s="355" t="s">
        <v>1213</v>
      </c>
      <c r="B49" s="355"/>
      <c r="C49" s="355"/>
      <c r="D49" s="355"/>
      <c r="E49" s="355"/>
      <c r="F49" s="355"/>
      <c r="G49" s="355"/>
      <c r="H49" s="355"/>
    </row>
    <row r="50" spans="1:8" x14ac:dyDescent="0.2">
      <c r="A50" s="355" t="s">
        <v>1214</v>
      </c>
      <c r="B50" s="355"/>
      <c r="C50" s="355"/>
      <c r="D50" s="355"/>
      <c r="E50" s="355"/>
      <c r="F50" s="355"/>
      <c r="G50" s="355"/>
      <c r="H50" s="355"/>
    </row>
    <row r="51" spans="1:8" x14ac:dyDescent="0.2">
      <c r="A51" s="355"/>
      <c r="B51" s="355"/>
      <c r="C51" s="355"/>
      <c r="D51" s="355"/>
      <c r="E51" s="355"/>
      <c r="F51" s="355"/>
      <c r="G51" s="355"/>
      <c r="H51" s="355"/>
    </row>
    <row r="52" spans="1:8" x14ac:dyDescent="0.2">
      <c r="A52" s="356" t="s">
        <v>1215</v>
      </c>
      <c r="B52" s="356"/>
      <c r="C52" s="356"/>
      <c r="D52" s="356"/>
      <c r="E52" s="356"/>
      <c r="F52" s="356"/>
      <c r="G52" s="356"/>
      <c r="H52" s="355"/>
    </row>
    <row r="53" spans="1:8" x14ac:dyDescent="0.2">
      <c r="A53" s="356" t="s">
        <v>1216</v>
      </c>
      <c r="B53" s="356"/>
      <c r="C53" s="356"/>
      <c r="D53" s="356"/>
      <c r="E53" s="356"/>
      <c r="F53" s="356"/>
      <c r="G53" s="356"/>
      <c r="H53" s="355"/>
    </row>
    <row r="54" spans="1:8" x14ac:dyDescent="0.2">
      <c r="A54" s="355"/>
      <c r="B54" s="355"/>
      <c r="C54" s="355"/>
      <c r="D54" s="355"/>
      <c r="E54" s="355"/>
      <c r="F54" s="355"/>
      <c r="G54" s="355"/>
      <c r="H54" s="355"/>
    </row>
    <row r="55" spans="1:8" x14ac:dyDescent="0.2">
      <c r="A55" s="355" t="s">
        <v>1217</v>
      </c>
      <c r="B55" s="355"/>
      <c r="C55" s="355"/>
      <c r="D55" s="355"/>
      <c r="E55" s="355"/>
      <c r="F55" s="355"/>
      <c r="G55" s="355"/>
      <c r="H55" s="355"/>
    </row>
    <row r="56" spans="1:8" x14ac:dyDescent="0.2">
      <c r="A56" s="355" t="s">
        <v>1218</v>
      </c>
      <c r="B56" s="355"/>
      <c r="C56" s="355"/>
      <c r="D56" s="355"/>
      <c r="E56" s="355"/>
      <c r="F56" s="355"/>
      <c r="G56" s="355"/>
      <c r="H56" s="355"/>
    </row>
    <row r="57" spans="1:8" x14ac:dyDescent="0.2">
      <c r="A57" s="355" t="s">
        <v>1219</v>
      </c>
      <c r="B57" s="355"/>
      <c r="C57" s="355"/>
      <c r="D57" s="355"/>
      <c r="E57" s="355"/>
      <c r="F57" s="355"/>
      <c r="G57" s="355"/>
      <c r="H57" s="355"/>
    </row>
    <row r="58" spans="1:8" x14ac:dyDescent="0.2">
      <c r="A58" s="355" t="s">
        <v>1220</v>
      </c>
      <c r="B58" s="355"/>
      <c r="C58" s="355"/>
      <c r="D58" s="355"/>
      <c r="E58" s="355"/>
      <c r="F58" s="355"/>
      <c r="G58" s="355"/>
      <c r="H58" s="355"/>
    </row>
    <row r="59" spans="1:8" x14ac:dyDescent="0.2">
      <c r="A59" s="355"/>
      <c r="B59" s="355"/>
      <c r="C59" s="355"/>
      <c r="D59" s="355"/>
      <c r="E59" s="355"/>
      <c r="F59" s="355"/>
      <c r="G59" s="355"/>
      <c r="H59" s="355"/>
    </row>
    <row r="60" spans="1:8" x14ac:dyDescent="0.2">
      <c r="A60" s="355" t="s">
        <v>1221</v>
      </c>
      <c r="B60" s="355"/>
      <c r="C60" s="355"/>
      <c r="D60" s="355"/>
      <c r="E60" s="355"/>
      <c r="F60" s="355"/>
      <c r="G60" s="355"/>
      <c r="H60" s="355"/>
    </row>
    <row r="61" spans="1:8" x14ac:dyDescent="0.2">
      <c r="A61" s="355" t="s">
        <v>1222</v>
      </c>
      <c r="B61" s="355"/>
      <c r="C61" s="355"/>
      <c r="D61" s="355"/>
      <c r="E61" s="355"/>
      <c r="F61" s="355"/>
      <c r="G61" s="355"/>
      <c r="H61" s="355"/>
    </row>
    <row r="62" spans="1:8" x14ac:dyDescent="0.2">
      <c r="A62" s="355" t="s">
        <v>1223</v>
      </c>
      <c r="B62" s="355"/>
      <c r="C62" s="355"/>
      <c r="D62" s="355"/>
      <c r="E62" s="355"/>
      <c r="F62" s="355"/>
      <c r="G62" s="355"/>
      <c r="H62" s="355"/>
    </row>
    <row r="63" spans="1:8" x14ac:dyDescent="0.2">
      <c r="A63" s="355" t="s">
        <v>1224</v>
      </c>
      <c r="B63" s="355"/>
      <c r="C63" s="355"/>
      <c r="D63" s="355"/>
      <c r="E63" s="355"/>
      <c r="F63" s="355"/>
      <c r="G63" s="355"/>
      <c r="H63" s="355"/>
    </row>
    <row r="64" spans="1:8" x14ac:dyDescent="0.2">
      <c r="A64" s="355" t="s">
        <v>1225</v>
      </c>
      <c r="B64" s="355"/>
      <c r="C64" s="355"/>
      <c r="D64" s="355"/>
      <c r="E64" s="355"/>
      <c r="F64" s="355"/>
      <c r="G64" s="355"/>
      <c r="H64" s="355"/>
    </row>
    <row r="65" spans="1:8" x14ac:dyDescent="0.2">
      <c r="A65" s="355" t="s">
        <v>1226</v>
      </c>
      <c r="B65" s="355"/>
      <c r="C65" s="355"/>
      <c r="D65" s="355"/>
      <c r="E65" s="355"/>
      <c r="F65" s="355"/>
      <c r="G65" s="355"/>
      <c r="H65" s="355"/>
    </row>
    <row r="66" spans="1:8" x14ac:dyDescent="0.2">
      <c r="A66" s="355"/>
      <c r="B66" s="355"/>
      <c r="C66" s="355"/>
      <c r="D66" s="355"/>
      <c r="E66" s="355"/>
      <c r="F66" s="355"/>
      <c r="G66" s="355"/>
      <c r="H66" s="355"/>
    </row>
    <row r="67" spans="1:8" x14ac:dyDescent="0.2">
      <c r="A67" s="355" t="s">
        <v>1227</v>
      </c>
      <c r="B67" s="355"/>
      <c r="C67" s="355"/>
      <c r="D67" s="355"/>
      <c r="E67" s="355"/>
      <c r="F67" s="355"/>
      <c r="G67" s="355"/>
      <c r="H67" s="355"/>
    </row>
    <row r="68" spans="1:8" x14ac:dyDescent="0.2">
      <c r="A68" s="355" t="s">
        <v>1228</v>
      </c>
      <c r="B68" s="355"/>
      <c r="C68" s="355"/>
      <c r="D68" s="355"/>
      <c r="E68" s="355"/>
      <c r="F68" s="355"/>
      <c r="G68" s="355"/>
      <c r="H68" s="355"/>
    </row>
    <row r="69" spans="1:8" x14ac:dyDescent="0.2">
      <c r="A69" s="355" t="s">
        <v>1229</v>
      </c>
      <c r="B69" s="355"/>
      <c r="C69" s="355"/>
      <c r="D69" s="355"/>
      <c r="E69" s="355"/>
      <c r="F69" s="355"/>
      <c r="G69" s="355"/>
      <c r="H69" s="355"/>
    </row>
    <row r="70" spans="1:8" x14ac:dyDescent="0.2">
      <c r="A70" s="355" t="s">
        <v>1230</v>
      </c>
      <c r="B70" s="355"/>
      <c r="C70" s="355"/>
      <c r="D70" s="355"/>
      <c r="E70" s="355"/>
      <c r="F70" s="355"/>
      <c r="G70" s="355"/>
      <c r="H70" s="355"/>
    </row>
    <row r="71" spans="1:8" x14ac:dyDescent="0.2">
      <c r="A71" s="355" t="s">
        <v>1231</v>
      </c>
      <c r="B71" s="355"/>
      <c r="C71" s="355"/>
      <c r="D71" s="355"/>
      <c r="E71" s="355"/>
      <c r="F71" s="355"/>
      <c r="G71" s="355"/>
      <c r="H71" s="355"/>
    </row>
    <row r="72" spans="1:8" x14ac:dyDescent="0.2">
      <c r="A72" s="355" t="s">
        <v>1232</v>
      </c>
      <c r="B72" s="355"/>
      <c r="C72" s="355"/>
      <c r="D72" s="355"/>
      <c r="E72" s="355"/>
      <c r="F72" s="355"/>
      <c r="G72" s="355"/>
      <c r="H72" s="355"/>
    </row>
    <row r="73" spans="1:8" x14ac:dyDescent="0.2">
      <c r="A73" s="355" t="s">
        <v>1233</v>
      </c>
      <c r="B73" s="355"/>
      <c r="C73" s="355"/>
      <c r="D73" s="355"/>
      <c r="E73" s="355"/>
      <c r="F73" s="355"/>
      <c r="G73" s="355"/>
      <c r="H73" s="355"/>
    </row>
    <row r="74" spans="1:8" x14ac:dyDescent="0.2">
      <c r="A74" s="355"/>
      <c r="B74" s="355"/>
      <c r="C74" s="355"/>
      <c r="D74" s="355"/>
      <c r="E74" s="355"/>
      <c r="F74" s="355"/>
      <c r="G74" s="355"/>
      <c r="H74" s="355"/>
    </row>
    <row r="75" spans="1:8" x14ac:dyDescent="0.2">
      <c r="A75" s="355" t="s">
        <v>1234</v>
      </c>
      <c r="B75" s="355"/>
      <c r="C75" s="355"/>
      <c r="D75" s="355"/>
      <c r="E75" s="355"/>
      <c r="F75" s="355"/>
      <c r="G75" s="355"/>
      <c r="H75" s="355"/>
    </row>
    <row r="76" spans="1:8" x14ac:dyDescent="0.2">
      <c r="A76" s="355" t="s">
        <v>1235</v>
      </c>
      <c r="B76" s="355"/>
      <c r="C76" s="355"/>
      <c r="D76" s="355"/>
      <c r="E76" s="355"/>
      <c r="F76" s="355"/>
      <c r="G76" s="355"/>
      <c r="H76" s="355"/>
    </row>
    <row r="77" spans="1:8" x14ac:dyDescent="0.2">
      <c r="A77" s="355" t="s">
        <v>1236</v>
      </c>
      <c r="B77" s="355"/>
      <c r="C77" s="355"/>
      <c r="D77" s="355"/>
      <c r="E77" s="355"/>
      <c r="F77" s="355"/>
      <c r="G77" s="355"/>
      <c r="H77" s="355"/>
    </row>
    <row r="78" spans="1:8" x14ac:dyDescent="0.2">
      <c r="A78" s="355"/>
      <c r="B78" s="355"/>
      <c r="C78" s="355"/>
      <c r="D78" s="355"/>
      <c r="E78" s="355"/>
      <c r="F78" s="355"/>
      <c r="G78" s="355"/>
      <c r="H78" s="355"/>
    </row>
    <row r="79" spans="1:8" x14ac:dyDescent="0.2">
      <c r="A79" s="355" t="s">
        <v>337</v>
      </c>
    </row>
    <row r="80" spans="1:8" x14ac:dyDescent="0.2">
      <c r="A80" s="356"/>
    </row>
    <row r="81" spans="1:1" x14ac:dyDescent="0.2">
      <c r="A81" s="355"/>
    </row>
    <row r="82" spans="1:1" x14ac:dyDescent="0.2">
      <c r="A82" s="355"/>
    </row>
    <row r="83" spans="1:1" x14ac:dyDescent="0.2">
      <c r="A83" s="355"/>
    </row>
    <row r="84" spans="1:1" x14ac:dyDescent="0.2">
      <c r="A84" s="355"/>
    </row>
    <row r="85" spans="1:1" x14ac:dyDescent="0.2">
      <c r="A85" s="355"/>
    </row>
    <row r="86" spans="1:1" x14ac:dyDescent="0.2">
      <c r="A86" s="355"/>
    </row>
    <row r="87" spans="1:1" x14ac:dyDescent="0.2">
      <c r="A87" s="355"/>
    </row>
    <row r="88" spans="1:1" x14ac:dyDescent="0.2">
      <c r="A88" s="355"/>
    </row>
    <row r="89" spans="1:1" x14ac:dyDescent="0.2">
      <c r="A89" s="355"/>
    </row>
    <row r="90" spans="1:1" x14ac:dyDescent="0.2">
      <c r="A90" s="355"/>
    </row>
    <row r="91" spans="1:1" x14ac:dyDescent="0.2">
      <c r="A91" s="355"/>
    </row>
    <row r="92" spans="1:1" x14ac:dyDescent="0.2">
      <c r="A92" s="355"/>
    </row>
    <row r="93" spans="1:1" x14ac:dyDescent="0.2">
      <c r="A93" s="355"/>
    </row>
    <row r="94" spans="1:1" x14ac:dyDescent="0.2">
      <c r="A94" s="355"/>
    </row>
    <row r="95" spans="1:1" x14ac:dyDescent="0.2">
      <c r="A95" s="355"/>
    </row>
    <row r="96" spans="1:1" x14ac:dyDescent="0.2">
      <c r="A96" s="355"/>
    </row>
    <row r="97" spans="1:1" x14ac:dyDescent="0.2">
      <c r="A97" s="355"/>
    </row>
    <row r="98" spans="1:1" x14ac:dyDescent="0.2">
      <c r="A98" s="355"/>
    </row>
    <row r="99" spans="1:1" x14ac:dyDescent="0.2">
      <c r="A99" s="355"/>
    </row>
    <row r="100" spans="1:1" x14ac:dyDescent="0.2">
      <c r="A100" s="355"/>
    </row>
    <row r="101" spans="1:1" x14ac:dyDescent="0.2">
      <c r="A101" s="355"/>
    </row>
    <row r="103" spans="1:1" x14ac:dyDescent="0.2">
      <c r="A103" s="355"/>
    </row>
    <row r="104" spans="1:1" x14ac:dyDescent="0.2">
      <c r="A104" s="355"/>
    </row>
    <row r="105" spans="1:1" x14ac:dyDescent="0.2">
      <c r="A105" s="355"/>
    </row>
    <row r="107" spans="1:1" x14ac:dyDescent="0.2">
      <c r="A107" s="356"/>
    </row>
    <row r="108" spans="1:1" x14ac:dyDescent="0.2">
      <c r="A108" s="356"/>
    </row>
    <row r="109" spans="1:1" x14ac:dyDescent="0.2">
      <c r="A109" s="356"/>
    </row>
  </sheetData>
  <sheetProtection sheet="1"/>
  <phoneticPr fontId="0" type="noConversion"/>
  <pageMargins left="0.7" right="0.7" top="0.75" bottom="0.75" header="0.3" footer="0.3"/>
  <pageSetup orientation="portrait" r:id="rId1"/>
  <headerFooter>
    <oddFooter>&amp;Lrevised 10/2/09</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75"/>
  <sheetViews>
    <sheetView workbookViewId="0"/>
  </sheetViews>
  <sheetFormatPr defaultRowHeight="15" x14ac:dyDescent="0.2"/>
  <cols>
    <col min="1" max="1" width="71.33203125" customWidth="1"/>
  </cols>
  <sheetData>
    <row r="3" spans="1:12" x14ac:dyDescent="0.2">
      <c r="A3" s="354" t="s">
        <v>1237</v>
      </c>
      <c r="B3" s="354"/>
      <c r="C3" s="354"/>
      <c r="D3" s="354"/>
      <c r="E3" s="354"/>
      <c r="F3" s="354"/>
      <c r="G3" s="354"/>
      <c r="H3" s="354"/>
      <c r="I3" s="354"/>
      <c r="J3" s="354"/>
      <c r="K3" s="354"/>
      <c r="L3" s="354"/>
    </row>
    <row r="4" spans="1:12" x14ac:dyDescent="0.2">
      <c r="A4" s="354"/>
      <c r="B4" s="354"/>
      <c r="C4" s="354"/>
      <c r="D4" s="354"/>
      <c r="E4" s="354"/>
      <c r="F4" s="354"/>
      <c r="G4" s="354"/>
      <c r="H4" s="354"/>
      <c r="I4" s="354"/>
      <c r="J4" s="354"/>
      <c r="K4" s="354"/>
      <c r="L4" s="354"/>
    </row>
    <row r="5" spans="1:12" x14ac:dyDescent="0.2">
      <c r="A5" s="355" t="s">
        <v>1175</v>
      </c>
      <c r="I5" s="354"/>
      <c r="J5" s="354"/>
      <c r="K5" s="354"/>
      <c r="L5" s="354"/>
    </row>
    <row r="6" spans="1:12" x14ac:dyDescent="0.2">
      <c r="A6" s="355" t="str">
        <f>CONCATENATE("estimated ",inputPrYr!C5-1," 'total expenditures' exceed your ",inputPrYr!C5-1,"")</f>
        <v>estimated 2013 'total expenditures' exceed your 2013</v>
      </c>
      <c r="I6" s="354"/>
      <c r="J6" s="354"/>
      <c r="K6" s="354"/>
      <c r="L6" s="354"/>
    </row>
    <row r="7" spans="1:12" x14ac:dyDescent="0.2">
      <c r="A7" s="358" t="s">
        <v>1238</v>
      </c>
      <c r="I7" s="354"/>
      <c r="J7" s="354"/>
      <c r="K7" s="354"/>
      <c r="L7" s="354"/>
    </row>
    <row r="8" spans="1:12" x14ac:dyDescent="0.2">
      <c r="A8" s="355"/>
      <c r="I8" s="354"/>
      <c r="J8" s="354"/>
      <c r="K8" s="354"/>
      <c r="L8" s="354"/>
    </row>
    <row r="9" spans="1:12" x14ac:dyDescent="0.2">
      <c r="A9" s="355" t="s">
        <v>1239</v>
      </c>
      <c r="I9" s="354"/>
      <c r="J9" s="354"/>
      <c r="K9" s="354"/>
      <c r="L9" s="354"/>
    </row>
    <row r="10" spans="1:12" x14ac:dyDescent="0.2">
      <c r="A10" s="355" t="s">
        <v>1240</v>
      </c>
      <c r="I10" s="354"/>
      <c r="J10" s="354"/>
      <c r="K10" s="354"/>
      <c r="L10" s="354"/>
    </row>
    <row r="11" spans="1:12" x14ac:dyDescent="0.2">
      <c r="A11" s="355" t="s">
        <v>1241</v>
      </c>
      <c r="I11" s="354"/>
      <c r="J11" s="354"/>
      <c r="K11" s="354"/>
      <c r="L11" s="354"/>
    </row>
    <row r="12" spans="1:12" x14ac:dyDescent="0.2">
      <c r="A12" s="355" t="s">
        <v>1242</v>
      </c>
      <c r="I12" s="354"/>
      <c r="J12" s="354"/>
      <c r="K12" s="354"/>
      <c r="L12" s="354"/>
    </row>
    <row r="13" spans="1:12" x14ac:dyDescent="0.2">
      <c r="A13" s="355" t="s">
        <v>1243</v>
      </c>
      <c r="I13" s="354"/>
      <c r="J13" s="354"/>
      <c r="K13" s="354"/>
      <c r="L13" s="354"/>
    </row>
    <row r="14" spans="1:12" x14ac:dyDescent="0.2">
      <c r="A14" s="354"/>
      <c r="B14" s="354"/>
      <c r="C14" s="354"/>
      <c r="D14" s="354"/>
      <c r="E14" s="354"/>
      <c r="F14" s="354"/>
      <c r="G14" s="354"/>
      <c r="H14" s="354"/>
      <c r="I14" s="354"/>
      <c r="J14" s="354"/>
      <c r="K14" s="354"/>
      <c r="L14" s="354"/>
    </row>
    <row r="15" spans="1:12" x14ac:dyDescent="0.2">
      <c r="A15" s="356" t="s">
        <v>364</v>
      </c>
    </row>
    <row r="16" spans="1:12" x14ac:dyDescent="0.2">
      <c r="A16" s="356" t="s">
        <v>365</v>
      </c>
    </row>
    <row r="17" spans="1:7" x14ac:dyDescent="0.2">
      <c r="A17" s="356"/>
    </row>
    <row r="18" spans="1:7" x14ac:dyDescent="0.2">
      <c r="A18" s="355" t="s">
        <v>366</v>
      </c>
      <c r="B18" s="355"/>
      <c r="C18" s="355"/>
      <c r="D18" s="355"/>
      <c r="E18" s="355"/>
      <c r="F18" s="355"/>
      <c r="G18" s="355"/>
    </row>
    <row r="19" spans="1:7" x14ac:dyDescent="0.2">
      <c r="A19" s="355" t="str">
        <f>CONCATENATE("your ",inputPrYr!C5-1," numbers to see what steps might be necessary to")</f>
        <v>your 2013 numbers to see what steps might be necessary to</v>
      </c>
      <c r="B19" s="355"/>
      <c r="C19" s="355"/>
      <c r="D19" s="355"/>
      <c r="E19" s="355"/>
      <c r="F19" s="355"/>
      <c r="G19" s="355"/>
    </row>
    <row r="20" spans="1:7" x14ac:dyDescent="0.2">
      <c r="A20" s="355" t="s">
        <v>367</v>
      </c>
      <c r="B20" s="355"/>
      <c r="C20" s="355"/>
      <c r="D20" s="355"/>
      <c r="E20" s="355"/>
      <c r="F20" s="355"/>
      <c r="G20" s="355"/>
    </row>
    <row r="21" spans="1:7" x14ac:dyDescent="0.2">
      <c r="A21" s="355" t="s">
        <v>368</v>
      </c>
      <c r="B21" s="355"/>
      <c r="C21" s="355"/>
      <c r="D21" s="355"/>
      <c r="E21" s="355"/>
      <c r="F21" s="355"/>
      <c r="G21" s="355"/>
    </row>
    <row r="22" spans="1:7" x14ac:dyDescent="0.2">
      <c r="A22" s="355"/>
    </row>
    <row r="23" spans="1:7" x14ac:dyDescent="0.2">
      <c r="A23" s="356" t="s">
        <v>369</v>
      </c>
    </row>
    <row r="24" spans="1:7" x14ac:dyDescent="0.2">
      <c r="A24" s="356"/>
    </row>
    <row r="25" spans="1:7" x14ac:dyDescent="0.2">
      <c r="A25" s="355" t="s">
        <v>370</v>
      </c>
    </row>
    <row r="26" spans="1:7" x14ac:dyDescent="0.2">
      <c r="A26" s="355" t="s">
        <v>371</v>
      </c>
      <c r="B26" s="355"/>
      <c r="C26" s="355"/>
      <c r="D26" s="355"/>
      <c r="E26" s="355"/>
      <c r="F26" s="355"/>
    </row>
    <row r="27" spans="1:7" x14ac:dyDescent="0.2">
      <c r="A27" s="355" t="s">
        <v>372</v>
      </c>
      <c r="B27" s="355"/>
      <c r="C27" s="355"/>
      <c r="D27" s="355"/>
      <c r="E27" s="355"/>
      <c r="F27" s="355"/>
    </row>
    <row r="28" spans="1:7" x14ac:dyDescent="0.2">
      <c r="A28" s="355" t="s">
        <v>373</v>
      </c>
      <c r="B28" s="355"/>
      <c r="C28" s="355"/>
      <c r="D28" s="355"/>
      <c r="E28" s="355"/>
      <c r="F28" s="355"/>
    </row>
    <row r="29" spans="1:7" x14ac:dyDescent="0.2">
      <c r="A29" s="355"/>
      <c r="B29" s="355"/>
      <c r="C29" s="355"/>
      <c r="D29" s="355"/>
      <c r="E29" s="355"/>
      <c r="F29" s="355"/>
    </row>
    <row r="30" spans="1:7" x14ac:dyDescent="0.2">
      <c r="A30" s="356" t="s">
        <v>374</v>
      </c>
      <c r="B30" s="356"/>
      <c r="C30" s="356"/>
      <c r="D30" s="356"/>
      <c r="E30" s="356"/>
      <c r="F30" s="356"/>
      <c r="G30" s="356"/>
    </row>
    <row r="31" spans="1:7" x14ac:dyDescent="0.2">
      <c r="A31" s="356" t="s">
        <v>375</v>
      </c>
      <c r="B31" s="356"/>
      <c r="C31" s="356"/>
      <c r="D31" s="356"/>
      <c r="E31" s="356"/>
      <c r="F31" s="356"/>
      <c r="G31" s="356"/>
    </row>
    <row r="32" spans="1:7" x14ac:dyDescent="0.2">
      <c r="A32" s="355"/>
      <c r="B32" s="355"/>
      <c r="C32" s="355"/>
      <c r="D32" s="355"/>
      <c r="E32" s="355"/>
      <c r="F32" s="355"/>
    </row>
    <row r="33" spans="1:6" x14ac:dyDescent="0.2">
      <c r="A33" s="353" t="str">
        <f>CONCATENATE("Well, let's look to see if any of your ",inputPrYr!C5-1," expenditures can")</f>
        <v>Well, let's look to see if any of your 2013 expenditures can</v>
      </c>
      <c r="B33" s="355"/>
      <c r="C33" s="355"/>
      <c r="D33" s="355"/>
      <c r="E33" s="355"/>
      <c r="F33" s="355"/>
    </row>
    <row r="34" spans="1:6" x14ac:dyDescent="0.2">
      <c r="A34" s="353" t="s">
        <v>376</v>
      </c>
      <c r="B34" s="355"/>
      <c r="C34" s="355"/>
      <c r="D34" s="355"/>
      <c r="E34" s="355"/>
      <c r="F34" s="355"/>
    </row>
    <row r="35" spans="1:6" x14ac:dyDescent="0.2">
      <c r="A35" s="353" t="s">
        <v>1189</v>
      </c>
      <c r="B35" s="355"/>
      <c r="C35" s="355"/>
      <c r="D35" s="355"/>
      <c r="E35" s="355"/>
      <c r="F35" s="355"/>
    </row>
    <row r="36" spans="1:6" x14ac:dyDescent="0.2">
      <c r="A36" s="353" t="s">
        <v>1190</v>
      </c>
      <c r="B36" s="355"/>
      <c r="C36" s="355"/>
      <c r="D36" s="355"/>
      <c r="E36" s="355"/>
      <c r="F36" s="355"/>
    </row>
    <row r="37" spans="1:6" x14ac:dyDescent="0.2">
      <c r="A37" s="353"/>
      <c r="B37" s="355"/>
      <c r="C37" s="355"/>
      <c r="D37" s="355"/>
      <c r="E37" s="355"/>
      <c r="F37" s="355"/>
    </row>
    <row r="38" spans="1:6" x14ac:dyDescent="0.2">
      <c r="A38" s="353" t="str">
        <f>CONCATENATE("Additionally, do your ",inputPrYr!C5-1," receipts contain a reimbursement")</f>
        <v>Additionally, do your 2013 receipts contain a reimbursement</v>
      </c>
      <c r="B38" s="355"/>
      <c r="C38" s="355"/>
      <c r="D38" s="355"/>
      <c r="E38" s="355"/>
      <c r="F38" s="355"/>
    </row>
    <row r="39" spans="1:6" x14ac:dyDescent="0.2">
      <c r="A39" s="353" t="s">
        <v>1191</v>
      </c>
      <c r="B39" s="355"/>
      <c r="C39" s="355"/>
      <c r="D39" s="355"/>
      <c r="E39" s="355"/>
      <c r="F39" s="355"/>
    </row>
    <row r="40" spans="1:6" x14ac:dyDescent="0.2">
      <c r="A40" s="353" t="s">
        <v>1192</v>
      </c>
      <c r="B40" s="355"/>
      <c r="C40" s="355"/>
      <c r="D40" s="355"/>
      <c r="E40" s="355"/>
      <c r="F40" s="355"/>
    </row>
    <row r="41" spans="1:6" x14ac:dyDescent="0.2">
      <c r="A41" s="353"/>
      <c r="B41" s="355"/>
      <c r="C41" s="355"/>
      <c r="D41" s="355"/>
      <c r="E41" s="355"/>
      <c r="F41" s="355"/>
    </row>
    <row r="42" spans="1:6" x14ac:dyDescent="0.2">
      <c r="A42" s="353" t="s">
        <v>1193</v>
      </c>
      <c r="B42" s="355"/>
      <c r="C42" s="355"/>
      <c r="D42" s="355"/>
      <c r="E42" s="355"/>
      <c r="F42" s="355"/>
    </row>
    <row r="43" spans="1:6" x14ac:dyDescent="0.2">
      <c r="A43" s="353" t="s">
        <v>1194</v>
      </c>
      <c r="B43" s="355"/>
      <c r="C43" s="355"/>
      <c r="D43" s="355"/>
      <c r="E43" s="355"/>
      <c r="F43" s="355"/>
    </row>
    <row r="44" spans="1:6" x14ac:dyDescent="0.2">
      <c r="A44" s="353" t="s">
        <v>1195</v>
      </c>
      <c r="B44" s="355"/>
      <c r="C44" s="355"/>
      <c r="D44" s="355"/>
      <c r="E44" s="355"/>
      <c r="F44" s="355"/>
    </row>
    <row r="45" spans="1:6" x14ac:dyDescent="0.2">
      <c r="A45" s="353" t="s">
        <v>377</v>
      </c>
      <c r="B45" s="355"/>
      <c r="C45" s="355"/>
      <c r="D45" s="355"/>
      <c r="E45" s="355"/>
      <c r="F45" s="355"/>
    </row>
    <row r="46" spans="1:6" x14ac:dyDescent="0.2">
      <c r="A46" s="353" t="s">
        <v>1197</v>
      </c>
      <c r="B46" s="355"/>
      <c r="C46" s="355"/>
      <c r="D46" s="355"/>
      <c r="E46" s="355"/>
      <c r="F46" s="355"/>
    </row>
    <row r="47" spans="1:6" x14ac:dyDescent="0.2">
      <c r="A47" s="353" t="s">
        <v>378</v>
      </c>
      <c r="B47" s="355"/>
      <c r="C47" s="355"/>
      <c r="D47" s="355"/>
      <c r="E47" s="355"/>
      <c r="F47" s="355"/>
    </row>
    <row r="48" spans="1:6" x14ac:dyDescent="0.2">
      <c r="A48" s="353" t="s">
        <v>379</v>
      </c>
      <c r="B48" s="355"/>
      <c r="C48" s="355"/>
      <c r="D48" s="355"/>
      <c r="E48" s="355"/>
      <c r="F48" s="355"/>
    </row>
    <row r="49" spans="1:6" x14ac:dyDescent="0.2">
      <c r="A49" s="353" t="s">
        <v>1200</v>
      </c>
      <c r="B49" s="355"/>
      <c r="C49" s="355"/>
      <c r="D49" s="355"/>
      <c r="E49" s="355"/>
      <c r="F49" s="355"/>
    </row>
    <row r="50" spans="1:6" x14ac:dyDescent="0.2">
      <c r="A50" s="353"/>
      <c r="B50" s="355"/>
      <c r="C50" s="355"/>
      <c r="D50" s="355"/>
      <c r="E50" s="355"/>
      <c r="F50" s="355"/>
    </row>
    <row r="51" spans="1:6" x14ac:dyDescent="0.2">
      <c r="A51" s="353" t="s">
        <v>1201</v>
      </c>
      <c r="B51" s="355"/>
      <c r="C51" s="355"/>
      <c r="D51" s="355"/>
      <c r="E51" s="355"/>
      <c r="F51" s="355"/>
    </row>
    <row r="52" spans="1:6" x14ac:dyDescent="0.2">
      <c r="A52" s="353" t="s">
        <v>1202</v>
      </c>
      <c r="B52" s="355"/>
      <c r="C52" s="355"/>
      <c r="D52" s="355"/>
      <c r="E52" s="355"/>
      <c r="F52" s="355"/>
    </row>
    <row r="53" spans="1:6" x14ac:dyDescent="0.2">
      <c r="A53" s="353" t="s">
        <v>1203</v>
      </c>
      <c r="B53" s="355"/>
      <c r="C53" s="355"/>
      <c r="D53" s="355"/>
      <c r="E53" s="355"/>
      <c r="F53" s="355"/>
    </row>
    <row r="54" spans="1:6" x14ac:dyDescent="0.2">
      <c r="A54" s="353"/>
      <c r="B54" s="355"/>
      <c r="C54" s="355"/>
      <c r="D54" s="355"/>
      <c r="E54" s="355"/>
      <c r="F54" s="355"/>
    </row>
    <row r="55" spans="1:6" x14ac:dyDescent="0.2">
      <c r="A55" s="353" t="s">
        <v>380</v>
      </c>
      <c r="B55" s="355"/>
      <c r="C55" s="355"/>
      <c r="D55" s="355"/>
      <c r="E55" s="355"/>
      <c r="F55" s="355"/>
    </row>
    <row r="56" spans="1:6" x14ac:dyDescent="0.2">
      <c r="A56" s="353" t="s">
        <v>381</v>
      </c>
      <c r="B56" s="355"/>
      <c r="C56" s="355"/>
      <c r="D56" s="355"/>
      <c r="E56" s="355"/>
      <c r="F56" s="355"/>
    </row>
    <row r="57" spans="1:6" x14ac:dyDescent="0.2">
      <c r="A57" s="353" t="s">
        <v>382</v>
      </c>
      <c r="B57" s="355"/>
      <c r="C57" s="355"/>
      <c r="D57" s="355"/>
      <c r="E57" s="355"/>
      <c r="F57" s="355"/>
    </row>
    <row r="58" spans="1:6" x14ac:dyDescent="0.2">
      <c r="A58" s="353" t="s">
        <v>383</v>
      </c>
      <c r="B58" s="355"/>
      <c r="C58" s="355"/>
      <c r="D58" s="355"/>
      <c r="E58" s="355"/>
      <c r="F58" s="355"/>
    </row>
    <row r="59" spans="1:6" x14ac:dyDescent="0.2">
      <c r="A59" s="353" t="s">
        <v>384</v>
      </c>
      <c r="B59" s="355"/>
      <c r="C59" s="355"/>
      <c r="D59" s="355"/>
      <c r="E59" s="355"/>
      <c r="F59" s="355"/>
    </row>
    <row r="60" spans="1:6" x14ac:dyDescent="0.2">
      <c r="A60" s="353"/>
      <c r="B60" s="355"/>
      <c r="C60" s="355"/>
      <c r="D60" s="355"/>
      <c r="E60" s="355"/>
      <c r="F60" s="355"/>
    </row>
    <row r="61" spans="1:6" x14ac:dyDescent="0.2">
      <c r="A61" s="352" t="s">
        <v>385</v>
      </c>
      <c r="B61" s="355"/>
      <c r="C61" s="355"/>
      <c r="D61" s="355"/>
      <c r="E61" s="355"/>
      <c r="F61" s="355"/>
    </row>
    <row r="62" spans="1:6" x14ac:dyDescent="0.2">
      <c r="A62" s="352" t="s">
        <v>386</v>
      </c>
      <c r="B62" s="355"/>
      <c r="C62" s="355"/>
      <c r="D62" s="355"/>
      <c r="E62" s="355"/>
      <c r="F62" s="355"/>
    </row>
    <row r="63" spans="1:6" x14ac:dyDescent="0.2">
      <c r="A63" s="352" t="s">
        <v>387</v>
      </c>
      <c r="B63" s="355"/>
      <c r="C63" s="355"/>
      <c r="D63" s="355"/>
      <c r="E63" s="355"/>
      <c r="F63" s="355"/>
    </row>
    <row r="64" spans="1:6" x14ac:dyDescent="0.2">
      <c r="A64" s="352" t="s">
        <v>388</v>
      </c>
    </row>
    <row r="65" spans="1:1" x14ac:dyDescent="0.2">
      <c r="A65" s="352" t="s">
        <v>389</v>
      </c>
    </row>
    <row r="66" spans="1:1" x14ac:dyDescent="0.2">
      <c r="A66" s="352" t="s">
        <v>390</v>
      </c>
    </row>
    <row r="68" spans="1:1" x14ac:dyDescent="0.2">
      <c r="A68" s="355" t="s">
        <v>391</v>
      </c>
    </row>
    <row r="69" spans="1:1" x14ac:dyDescent="0.2">
      <c r="A69" s="355" t="s">
        <v>392</v>
      </c>
    </row>
    <row r="70" spans="1:1" x14ac:dyDescent="0.2">
      <c r="A70" s="355" t="s">
        <v>393</v>
      </c>
    </row>
    <row r="71" spans="1:1" x14ac:dyDescent="0.2">
      <c r="A71" s="355" t="s">
        <v>394</v>
      </c>
    </row>
    <row r="72" spans="1:1" x14ac:dyDescent="0.2">
      <c r="A72" s="355" t="s">
        <v>395</v>
      </c>
    </row>
    <row r="73" spans="1:1" x14ac:dyDescent="0.2">
      <c r="A73" s="355" t="s">
        <v>396</v>
      </c>
    </row>
    <row r="75" spans="1:1" x14ac:dyDescent="0.2">
      <c r="A75" s="355" t="s">
        <v>337</v>
      </c>
    </row>
  </sheetData>
  <sheetProtection sheet="1"/>
  <phoneticPr fontId="0" type="noConversion"/>
  <pageMargins left="0.7" right="0.7" top="0.75" bottom="0.75" header="0.3" footer="0.3"/>
  <pageSetup orientation="portrait" r:id="rId1"/>
  <headerFooter>
    <oddFooter>&amp;Lrevised 10/2/09</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G106"/>
  <sheetViews>
    <sheetView workbookViewId="0"/>
  </sheetViews>
  <sheetFormatPr defaultRowHeight="15" x14ac:dyDescent="0.2"/>
  <cols>
    <col min="1" max="1" width="71.33203125" customWidth="1"/>
  </cols>
  <sheetData>
    <row r="3" spans="1:7" x14ac:dyDescent="0.2">
      <c r="A3" s="354" t="s">
        <v>397</v>
      </c>
      <c r="B3" s="354"/>
      <c r="C3" s="354"/>
      <c r="D3" s="354"/>
      <c r="E3" s="354"/>
      <c r="F3" s="354"/>
      <c r="G3" s="354"/>
    </row>
    <row r="4" spans="1:7" x14ac:dyDescent="0.2">
      <c r="A4" s="354"/>
      <c r="B4" s="354"/>
      <c r="C4" s="354"/>
      <c r="D4" s="354"/>
      <c r="E4" s="354"/>
      <c r="F4" s="354"/>
      <c r="G4" s="354"/>
    </row>
    <row r="5" spans="1:7" x14ac:dyDescent="0.2">
      <c r="A5" s="355" t="s">
        <v>339</v>
      </c>
    </row>
    <row r="6" spans="1:7" x14ac:dyDescent="0.2">
      <c r="A6" s="355" t="str">
        <f>CONCATENATE(inputPrYr!C5," estimated expenditures show that at the end of this year")</f>
        <v>2014 estimated expenditures show that at the end of this year</v>
      </c>
    </row>
    <row r="7" spans="1:7" x14ac:dyDescent="0.2">
      <c r="A7" s="355" t="s">
        <v>398</v>
      </c>
    </row>
    <row r="8" spans="1:7" x14ac:dyDescent="0.2">
      <c r="A8" s="355" t="s">
        <v>399</v>
      </c>
    </row>
    <row r="10" spans="1:7" x14ac:dyDescent="0.2">
      <c r="A10" t="s">
        <v>341</v>
      </c>
    </row>
    <row r="11" spans="1:7" x14ac:dyDescent="0.2">
      <c r="A11" t="s">
        <v>342</v>
      </c>
    </row>
    <row r="12" spans="1:7" x14ac:dyDescent="0.2">
      <c r="A12" t="s">
        <v>343</v>
      </c>
    </row>
    <row r="13" spans="1:7" x14ac:dyDescent="0.2">
      <c r="A13" s="354"/>
      <c r="B13" s="354"/>
      <c r="C13" s="354"/>
      <c r="D13" s="354"/>
      <c r="E13" s="354"/>
      <c r="F13" s="354"/>
      <c r="G13" s="354"/>
    </row>
    <row r="14" spans="1:7" x14ac:dyDescent="0.2">
      <c r="A14" s="356" t="s">
        <v>400</v>
      </c>
    </row>
    <row r="15" spans="1:7" x14ac:dyDescent="0.2">
      <c r="A15" s="355"/>
    </row>
    <row r="16" spans="1:7" x14ac:dyDescent="0.2">
      <c r="A16" s="355" t="s">
        <v>401</v>
      </c>
    </row>
    <row r="17" spans="1:7" x14ac:dyDescent="0.2">
      <c r="A17" s="355" t="s">
        <v>402</v>
      </c>
    </row>
    <row r="18" spans="1:7" x14ac:dyDescent="0.2">
      <c r="A18" s="355" t="s">
        <v>403</v>
      </c>
    </row>
    <row r="19" spans="1:7" x14ac:dyDescent="0.2">
      <c r="A19" s="355"/>
    </row>
    <row r="20" spans="1:7" x14ac:dyDescent="0.2">
      <c r="A20" s="355" t="s">
        <v>404</v>
      </c>
    </row>
    <row r="21" spans="1:7" x14ac:dyDescent="0.2">
      <c r="A21" s="355" t="s">
        <v>405</v>
      </c>
    </row>
    <row r="22" spans="1:7" x14ac:dyDescent="0.2">
      <c r="A22" s="355" t="s">
        <v>406</v>
      </c>
    </row>
    <row r="23" spans="1:7" x14ac:dyDescent="0.2">
      <c r="A23" s="355" t="s">
        <v>407</v>
      </c>
    </row>
    <row r="24" spans="1:7" x14ac:dyDescent="0.2">
      <c r="A24" s="355"/>
    </row>
    <row r="25" spans="1:7" x14ac:dyDescent="0.2">
      <c r="A25" s="356" t="s">
        <v>369</v>
      </c>
    </row>
    <row r="26" spans="1:7" x14ac:dyDescent="0.2">
      <c r="A26" s="356"/>
    </row>
    <row r="27" spans="1:7" x14ac:dyDescent="0.2">
      <c r="A27" s="355" t="s">
        <v>370</v>
      </c>
    </row>
    <row r="28" spans="1:7" x14ac:dyDescent="0.2">
      <c r="A28" s="355" t="s">
        <v>371</v>
      </c>
      <c r="B28" s="355"/>
      <c r="C28" s="355"/>
      <c r="D28" s="355"/>
      <c r="E28" s="355"/>
      <c r="F28" s="355"/>
    </row>
    <row r="29" spans="1:7" x14ac:dyDescent="0.2">
      <c r="A29" s="355" t="s">
        <v>372</v>
      </c>
      <c r="B29" s="355"/>
      <c r="C29" s="355"/>
      <c r="D29" s="355"/>
      <c r="E29" s="355"/>
      <c r="F29" s="355"/>
    </row>
    <row r="30" spans="1:7" x14ac:dyDescent="0.2">
      <c r="A30" s="355" t="s">
        <v>373</v>
      </c>
      <c r="B30" s="355"/>
      <c r="C30" s="355"/>
      <c r="D30" s="355"/>
      <c r="E30" s="355"/>
      <c r="F30" s="355"/>
    </row>
    <row r="31" spans="1:7" x14ac:dyDescent="0.2">
      <c r="A31" s="355"/>
    </row>
    <row r="32" spans="1:7" x14ac:dyDescent="0.2">
      <c r="A32" s="356" t="s">
        <v>374</v>
      </c>
      <c r="B32" s="356"/>
      <c r="C32" s="356"/>
      <c r="D32" s="356"/>
      <c r="E32" s="356"/>
      <c r="F32" s="356"/>
      <c r="G32" s="356"/>
    </row>
    <row r="33" spans="1:7" x14ac:dyDescent="0.2">
      <c r="A33" s="356" t="s">
        <v>375</v>
      </c>
      <c r="B33" s="356"/>
      <c r="C33" s="356"/>
      <c r="D33" s="356"/>
      <c r="E33" s="356"/>
      <c r="F33" s="356"/>
      <c r="G33" s="356"/>
    </row>
    <row r="34" spans="1:7" x14ac:dyDescent="0.2">
      <c r="A34" s="356"/>
      <c r="B34" s="356"/>
      <c r="C34" s="356"/>
      <c r="D34" s="356"/>
      <c r="E34" s="356"/>
      <c r="F34" s="356"/>
      <c r="G34" s="356"/>
    </row>
    <row r="35" spans="1:7" x14ac:dyDescent="0.2">
      <c r="A35" s="355" t="s">
        <v>408</v>
      </c>
      <c r="B35" s="355"/>
      <c r="C35" s="355"/>
      <c r="D35" s="355"/>
      <c r="E35" s="355"/>
      <c r="F35" s="355"/>
      <c r="G35" s="355"/>
    </row>
    <row r="36" spans="1:7" x14ac:dyDescent="0.2">
      <c r="A36" s="355" t="s">
        <v>409</v>
      </c>
      <c r="B36" s="355"/>
      <c r="C36" s="355"/>
      <c r="D36" s="355"/>
      <c r="E36" s="355"/>
      <c r="F36" s="355"/>
      <c r="G36" s="355"/>
    </row>
    <row r="37" spans="1:7" x14ac:dyDescent="0.2">
      <c r="A37" s="355" t="s">
        <v>410</v>
      </c>
      <c r="B37" s="355"/>
      <c r="C37" s="355"/>
      <c r="D37" s="355"/>
      <c r="E37" s="355"/>
      <c r="F37" s="355"/>
      <c r="G37" s="355"/>
    </row>
    <row r="38" spans="1:7" x14ac:dyDescent="0.2">
      <c r="A38" s="355" t="s">
        <v>411</v>
      </c>
      <c r="B38" s="355"/>
      <c r="C38" s="355"/>
      <c r="D38" s="355"/>
      <c r="E38" s="355"/>
      <c r="F38" s="355"/>
      <c r="G38" s="355"/>
    </row>
    <row r="39" spans="1:7" x14ac:dyDescent="0.2">
      <c r="A39" s="355" t="s">
        <v>412</v>
      </c>
      <c r="B39" s="355"/>
      <c r="C39" s="355"/>
      <c r="D39" s="355"/>
      <c r="E39" s="355"/>
      <c r="F39" s="355"/>
      <c r="G39" s="355"/>
    </row>
    <row r="40" spans="1:7" x14ac:dyDescent="0.2">
      <c r="A40" s="356"/>
      <c r="B40" s="356"/>
      <c r="C40" s="356"/>
      <c r="D40" s="356"/>
      <c r="E40" s="356"/>
      <c r="F40" s="356"/>
      <c r="G40" s="356"/>
    </row>
    <row r="41" spans="1:7" x14ac:dyDescent="0.2">
      <c r="A41" s="353" t="str">
        <f>CONCATENATE("So, let's look to see if any of your ",inputPrYr!C5-1," expenditures can")</f>
        <v>So, let's look to see if any of your 2013 expenditures can</v>
      </c>
      <c r="B41" s="355"/>
      <c r="C41" s="355"/>
      <c r="D41" s="355"/>
      <c r="E41" s="355"/>
      <c r="F41" s="355"/>
    </row>
    <row r="42" spans="1:7" x14ac:dyDescent="0.2">
      <c r="A42" s="353" t="s">
        <v>376</v>
      </c>
      <c r="B42" s="355"/>
      <c r="C42" s="355"/>
      <c r="D42" s="355"/>
      <c r="E42" s="355"/>
      <c r="F42" s="355"/>
    </row>
    <row r="43" spans="1:7" x14ac:dyDescent="0.2">
      <c r="A43" s="353" t="s">
        <v>1189</v>
      </c>
      <c r="B43" s="355"/>
      <c r="C43" s="355"/>
      <c r="D43" s="355"/>
      <c r="E43" s="355"/>
      <c r="F43" s="355"/>
    </row>
    <row r="44" spans="1:7" x14ac:dyDescent="0.2">
      <c r="A44" s="353" t="s">
        <v>1190</v>
      </c>
      <c r="B44" s="355"/>
      <c r="C44" s="355"/>
      <c r="D44" s="355"/>
      <c r="E44" s="355"/>
      <c r="F44" s="355"/>
    </row>
    <row r="45" spans="1:7" x14ac:dyDescent="0.2">
      <c r="A45" s="355"/>
    </row>
    <row r="46" spans="1:7" x14ac:dyDescent="0.2">
      <c r="A46" s="353" t="str">
        <f>CONCATENATE("Additionally, do your ",inputPrYr!C5-1," receipts contain a reimbursement")</f>
        <v>Additionally, do your 2013 receipts contain a reimbursement</v>
      </c>
      <c r="B46" s="355"/>
      <c r="C46" s="355"/>
      <c r="D46" s="355"/>
      <c r="E46" s="355"/>
      <c r="F46" s="355"/>
    </row>
    <row r="47" spans="1:7" x14ac:dyDescent="0.2">
      <c r="A47" s="353" t="s">
        <v>1191</v>
      </c>
      <c r="B47" s="355"/>
      <c r="C47" s="355"/>
      <c r="D47" s="355"/>
      <c r="E47" s="355"/>
      <c r="F47" s="355"/>
    </row>
    <row r="48" spans="1:7" x14ac:dyDescent="0.2">
      <c r="A48" s="353" t="s">
        <v>1192</v>
      </c>
      <c r="B48" s="355"/>
      <c r="C48" s="355"/>
      <c r="D48" s="355"/>
      <c r="E48" s="355"/>
      <c r="F48" s="355"/>
    </row>
    <row r="49" spans="1:7" x14ac:dyDescent="0.2">
      <c r="A49" s="355"/>
      <c r="B49" s="355"/>
      <c r="C49" s="355"/>
      <c r="D49" s="355"/>
      <c r="E49" s="355"/>
      <c r="F49" s="355"/>
      <c r="G49" s="355"/>
    </row>
    <row r="50" spans="1:7" x14ac:dyDescent="0.2">
      <c r="A50" s="355" t="s">
        <v>1210</v>
      </c>
      <c r="B50" s="355"/>
      <c r="C50" s="355"/>
      <c r="D50" s="355"/>
      <c r="E50" s="355"/>
      <c r="F50" s="355"/>
      <c r="G50" s="355"/>
    </row>
    <row r="51" spans="1:7" x14ac:dyDescent="0.2">
      <c r="A51" s="355" t="s">
        <v>1211</v>
      </c>
      <c r="B51" s="355"/>
      <c r="C51" s="355"/>
      <c r="D51" s="355"/>
      <c r="E51" s="355"/>
      <c r="F51" s="355"/>
      <c r="G51" s="355"/>
    </row>
    <row r="52" spans="1:7" x14ac:dyDescent="0.2">
      <c r="A52" s="355" t="s">
        <v>1212</v>
      </c>
      <c r="B52" s="355"/>
      <c r="C52" s="355"/>
      <c r="D52" s="355"/>
      <c r="E52" s="355"/>
      <c r="F52" s="355"/>
      <c r="G52" s="355"/>
    </row>
    <row r="53" spans="1:7" x14ac:dyDescent="0.2">
      <c r="A53" s="355" t="s">
        <v>1213</v>
      </c>
      <c r="B53" s="355"/>
      <c r="C53" s="355"/>
      <c r="D53" s="355"/>
      <c r="E53" s="355"/>
      <c r="F53" s="355"/>
      <c r="G53" s="355"/>
    </row>
    <row r="54" spans="1:7" x14ac:dyDescent="0.2">
      <c r="A54" s="355" t="s">
        <v>1214</v>
      </c>
      <c r="B54" s="355"/>
      <c r="C54" s="355"/>
      <c r="D54" s="355"/>
      <c r="E54" s="355"/>
      <c r="F54" s="355"/>
      <c r="G54" s="355"/>
    </row>
    <row r="55" spans="1:7" x14ac:dyDescent="0.2">
      <c r="A55" s="355"/>
      <c r="B55" s="355"/>
      <c r="C55" s="355"/>
      <c r="D55" s="355"/>
      <c r="E55" s="355"/>
      <c r="F55" s="355"/>
      <c r="G55" s="355"/>
    </row>
    <row r="56" spans="1:7" x14ac:dyDescent="0.2">
      <c r="A56" s="353" t="s">
        <v>1201</v>
      </c>
      <c r="B56" s="355"/>
      <c r="C56" s="355"/>
      <c r="D56" s="355"/>
      <c r="E56" s="355"/>
      <c r="F56" s="355"/>
    </row>
    <row r="57" spans="1:7" x14ac:dyDescent="0.2">
      <c r="A57" s="353" t="s">
        <v>1202</v>
      </c>
      <c r="B57" s="355"/>
      <c r="C57" s="355"/>
      <c r="D57" s="355"/>
      <c r="E57" s="355"/>
      <c r="F57" s="355"/>
    </row>
    <row r="58" spans="1:7" x14ac:dyDescent="0.2">
      <c r="A58" s="353" t="s">
        <v>1203</v>
      </c>
      <c r="B58" s="355"/>
      <c r="C58" s="355"/>
      <c r="D58" s="355"/>
      <c r="E58" s="355"/>
      <c r="F58" s="355"/>
    </row>
    <row r="59" spans="1:7" x14ac:dyDescent="0.2">
      <c r="A59" s="353"/>
      <c r="B59" s="355"/>
      <c r="C59" s="355"/>
      <c r="D59" s="355"/>
      <c r="E59" s="355"/>
      <c r="F59" s="355"/>
    </row>
    <row r="60" spans="1:7" x14ac:dyDescent="0.2">
      <c r="A60" s="355" t="s">
        <v>413</v>
      </c>
      <c r="B60" s="355"/>
      <c r="C60" s="355"/>
      <c r="D60" s="355"/>
      <c r="E60" s="355"/>
      <c r="F60" s="355"/>
      <c r="G60" s="355"/>
    </row>
    <row r="61" spans="1:7" x14ac:dyDescent="0.2">
      <c r="A61" s="355" t="s">
        <v>414</v>
      </c>
      <c r="B61" s="355"/>
      <c r="C61" s="355"/>
      <c r="D61" s="355"/>
      <c r="E61" s="355"/>
      <c r="F61" s="355"/>
      <c r="G61" s="355"/>
    </row>
    <row r="62" spans="1:7" x14ac:dyDescent="0.2">
      <c r="A62" s="355" t="s">
        <v>415</v>
      </c>
      <c r="B62" s="355"/>
      <c r="C62" s="355"/>
      <c r="D62" s="355"/>
      <c r="E62" s="355"/>
      <c r="F62" s="355"/>
      <c r="G62" s="355"/>
    </row>
    <row r="63" spans="1:7" x14ac:dyDescent="0.2">
      <c r="A63" s="355" t="s">
        <v>416</v>
      </c>
      <c r="B63" s="355"/>
      <c r="C63" s="355"/>
      <c r="D63" s="355"/>
      <c r="E63" s="355"/>
      <c r="F63" s="355"/>
      <c r="G63" s="355"/>
    </row>
    <row r="64" spans="1:7" x14ac:dyDescent="0.2">
      <c r="A64" s="355" t="s">
        <v>417</v>
      </c>
      <c r="B64" s="355"/>
      <c r="C64" s="355"/>
      <c r="D64" s="355"/>
      <c r="E64" s="355"/>
      <c r="F64" s="355"/>
      <c r="G64" s="355"/>
    </row>
    <row r="66" spans="1:6" x14ac:dyDescent="0.2">
      <c r="A66" s="353" t="s">
        <v>380</v>
      </c>
      <c r="B66" s="355"/>
      <c r="C66" s="355"/>
      <c r="D66" s="355"/>
      <c r="E66" s="355"/>
      <c r="F66" s="355"/>
    </row>
    <row r="67" spans="1:6" x14ac:dyDescent="0.2">
      <c r="A67" s="353" t="s">
        <v>381</v>
      </c>
      <c r="B67" s="355"/>
      <c r="C67" s="355"/>
      <c r="D67" s="355"/>
      <c r="E67" s="355"/>
      <c r="F67" s="355"/>
    </row>
    <row r="68" spans="1:6" x14ac:dyDescent="0.2">
      <c r="A68" s="353" t="s">
        <v>382</v>
      </c>
      <c r="B68" s="355"/>
      <c r="C68" s="355"/>
      <c r="D68" s="355"/>
      <c r="E68" s="355"/>
      <c r="F68" s="355"/>
    </row>
    <row r="69" spans="1:6" x14ac:dyDescent="0.2">
      <c r="A69" s="353" t="s">
        <v>383</v>
      </c>
      <c r="B69" s="355"/>
      <c r="C69" s="355"/>
      <c r="D69" s="355"/>
      <c r="E69" s="355"/>
      <c r="F69" s="355"/>
    </row>
    <row r="70" spans="1:6" x14ac:dyDescent="0.2">
      <c r="A70" s="353" t="s">
        <v>384</v>
      </c>
      <c r="B70" s="355"/>
      <c r="C70" s="355"/>
      <c r="D70" s="355"/>
      <c r="E70" s="355"/>
      <c r="F70" s="355"/>
    </row>
    <row r="71" spans="1:6" x14ac:dyDescent="0.2">
      <c r="A71" s="355"/>
    </row>
    <row r="72" spans="1:6" x14ac:dyDescent="0.2">
      <c r="A72" s="355" t="s">
        <v>337</v>
      </c>
    </row>
    <row r="73" spans="1:6" x14ac:dyDescent="0.2">
      <c r="A73" s="355"/>
    </row>
    <row r="74" spans="1:6" x14ac:dyDescent="0.2">
      <c r="A74" s="355"/>
    </row>
    <row r="75" spans="1:6" x14ac:dyDescent="0.2">
      <c r="A75" s="355"/>
    </row>
    <row r="78" spans="1:6" x14ac:dyDescent="0.2">
      <c r="A78" s="356"/>
    </row>
    <row r="80" spans="1:6" x14ac:dyDescent="0.2">
      <c r="A80" s="355"/>
    </row>
    <row r="81" spans="1:1" x14ac:dyDescent="0.2">
      <c r="A81" s="355"/>
    </row>
    <row r="82" spans="1:1" x14ac:dyDescent="0.2">
      <c r="A82" s="355"/>
    </row>
    <row r="83" spans="1:1" x14ac:dyDescent="0.2">
      <c r="A83" s="355"/>
    </row>
    <row r="84" spans="1:1" x14ac:dyDescent="0.2">
      <c r="A84" s="355"/>
    </row>
    <row r="85" spans="1:1" x14ac:dyDescent="0.2">
      <c r="A85" s="355"/>
    </row>
    <row r="86" spans="1:1" x14ac:dyDescent="0.2">
      <c r="A86" s="355"/>
    </row>
    <row r="87" spans="1:1" x14ac:dyDescent="0.2">
      <c r="A87" s="355"/>
    </row>
    <row r="88" spans="1:1" x14ac:dyDescent="0.2">
      <c r="A88" s="355"/>
    </row>
    <row r="89" spans="1:1" x14ac:dyDescent="0.2">
      <c r="A89" s="355"/>
    </row>
    <row r="90" spans="1:1" x14ac:dyDescent="0.2">
      <c r="A90" s="355"/>
    </row>
    <row r="92" spans="1:1" x14ac:dyDescent="0.2">
      <c r="A92" s="355"/>
    </row>
    <row r="93" spans="1:1" x14ac:dyDescent="0.2">
      <c r="A93" s="355"/>
    </row>
    <row r="94" spans="1:1" x14ac:dyDescent="0.2">
      <c r="A94" s="355"/>
    </row>
    <row r="95" spans="1:1" x14ac:dyDescent="0.2">
      <c r="A95" s="355"/>
    </row>
    <row r="96" spans="1:1" x14ac:dyDescent="0.2">
      <c r="A96" s="355"/>
    </row>
    <row r="97" spans="1:1" x14ac:dyDescent="0.2">
      <c r="A97" s="355"/>
    </row>
    <row r="98" spans="1:1" x14ac:dyDescent="0.2">
      <c r="A98" s="355"/>
    </row>
    <row r="99" spans="1:1" x14ac:dyDescent="0.2">
      <c r="A99" s="355"/>
    </row>
    <row r="100" spans="1:1" x14ac:dyDescent="0.2">
      <c r="A100" s="355"/>
    </row>
    <row r="101" spans="1:1" x14ac:dyDescent="0.2">
      <c r="A101" s="355"/>
    </row>
    <row r="102" spans="1:1" x14ac:dyDescent="0.2">
      <c r="A102" s="355"/>
    </row>
    <row r="103" spans="1:1" x14ac:dyDescent="0.2">
      <c r="A103" s="355"/>
    </row>
    <row r="104" spans="1:1" x14ac:dyDescent="0.2">
      <c r="A104" s="355"/>
    </row>
    <row r="105" spans="1:1" x14ac:dyDescent="0.2">
      <c r="A105" s="355"/>
    </row>
    <row r="106" spans="1:1" x14ac:dyDescent="0.2">
      <c r="A106" s="355"/>
    </row>
  </sheetData>
  <sheetProtection sheet="1"/>
  <phoneticPr fontId="0" type="noConversion"/>
  <pageMargins left="0.7" right="0.7" top="0.75" bottom="0.75" header="0.3" footer="0.3"/>
  <pageSetup orientation="portrait" r:id="rId1"/>
  <headerFooter>
    <oddFooter>&amp;Lrevised 10/2/09</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52"/>
  <sheetViews>
    <sheetView workbookViewId="0"/>
  </sheetViews>
  <sheetFormatPr defaultRowHeight="15" x14ac:dyDescent="0.2"/>
  <cols>
    <col min="1" max="1" width="71.33203125" customWidth="1"/>
  </cols>
  <sheetData>
    <row r="3" spans="1:7" x14ac:dyDescent="0.2">
      <c r="A3" s="354" t="s">
        <v>418</v>
      </c>
      <c r="B3" s="354"/>
      <c r="C3" s="354"/>
      <c r="D3" s="354"/>
      <c r="E3" s="354"/>
      <c r="F3" s="354"/>
      <c r="G3" s="354"/>
    </row>
    <row r="4" spans="1:7" x14ac:dyDescent="0.2">
      <c r="A4" s="354" t="s">
        <v>419</v>
      </c>
      <c r="B4" s="354"/>
      <c r="C4" s="354"/>
      <c r="D4" s="354"/>
      <c r="E4" s="354"/>
      <c r="F4" s="354"/>
      <c r="G4" s="354"/>
    </row>
    <row r="5" spans="1:7" x14ac:dyDescent="0.2">
      <c r="A5" s="354"/>
      <c r="B5" s="354"/>
      <c r="C5" s="354"/>
      <c r="D5" s="354"/>
      <c r="E5" s="354"/>
      <c r="F5" s="354"/>
      <c r="G5" s="354"/>
    </row>
    <row r="6" spans="1:7" x14ac:dyDescent="0.2">
      <c r="A6" s="354"/>
      <c r="B6" s="354"/>
      <c r="C6" s="354"/>
      <c r="D6" s="354"/>
      <c r="E6" s="354"/>
      <c r="F6" s="354"/>
      <c r="G6" s="354"/>
    </row>
    <row r="7" spans="1:7" x14ac:dyDescent="0.2">
      <c r="A7" s="355" t="s">
        <v>1175</v>
      </c>
    </row>
    <row r="8" spans="1:7" x14ac:dyDescent="0.2">
      <c r="A8" s="355" t="str">
        <f>CONCATENATE("estimated ",inputPrYr!C5," 'total expenditures' exceed your ",inputPrYr!C5,"")</f>
        <v>estimated 2014 'total expenditures' exceed your 2014</v>
      </c>
    </row>
    <row r="9" spans="1:7" x14ac:dyDescent="0.2">
      <c r="A9" s="358" t="s">
        <v>420</v>
      </c>
    </row>
    <row r="10" spans="1:7" x14ac:dyDescent="0.2">
      <c r="A10" s="355"/>
    </row>
    <row r="11" spans="1:7" x14ac:dyDescent="0.2">
      <c r="A11" s="355" t="s">
        <v>421</v>
      </c>
    </row>
    <row r="12" spans="1:7" x14ac:dyDescent="0.2">
      <c r="A12" s="355" t="s">
        <v>422</v>
      </c>
    </row>
    <row r="13" spans="1:7" x14ac:dyDescent="0.2">
      <c r="A13" s="355" t="s">
        <v>423</v>
      </c>
    </row>
    <row r="14" spans="1:7" x14ac:dyDescent="0.2">
      <c r="A14" s="355"/>
    </row>
    <row r="15" spans="1:7" x14ac:dyDescent="0.2">
      <c r="A15" s="356" t="s">
        <v>424</v>
      </c>
    </row>
    <row r="16" spans="1:7" x14ac:dyDescent="0.2">
      <c r="A16" s="354"/>
      <c r="B16" s="354"/>
      <c r="C16" s="354"/>
      <c r="D16" s="354"/>
      <c r="E16" s="354"/>
      <c r="F16" s="354"/>
      <c r="G16" s="354"/>
    </row>
    <row r="17" spans="1:8" x14ac:dyDescent="0.2">
      <c r="A17" s="359" t="s">
        <v>425</v>
      </c>
      <c r="B17" s="360"/>
      <c r="C17" s="360"/>
      <c r="D17" s="360"/>
      <c r="E17" s="360"/>
      <c r="F17" s="360"/>
      <c r="G17" s="360"/>
      <c r="H17" s="360"/>
    </row>
    <row r="18" spans="1:8" x14ac:dyDescent="0.2">
      <c r="A18" s="355" t="s">
        <v>426</v>
      </c>
      <c r="B18" s="361"/>
      <c r="C18" s="361"/>
      <c r="D18" s="361"/>
      <c r="E18" s="361"/>
      <c r="F18" s="361"/>
      <c r="G18" s="361"/>
    </row>
    <row r="19" spans="1:8" x14ac:dyDescent="0.2">
      <c r="A19" s="355" t="s">
        <v>427</v>
      </c>
    </row>
    <row r="20" spans="1:8" x14ac:dyDescent="0.2">
      <c r="A20" s="355" t="s">
        <v>428</v>
      </c>
    </row>
    <row r="22" spans="1:8" x14ac:dyDescent="0.2">
      <c r="A22" s="356" t="s">
        <v>429</v>
      </c>
    </row>
    <row r="24" spans="1:8" x14ac:dyDescent="0.2">
      <c r="A24" s="355" t="s">
        <v>430</v>
      </c>
    </row>
    <row r="25" spans="1:8" x14ac:dyDescent="0.2">
      <c r="A25" s="355" t="s">
        <v>431</v>
      </c>
    </row>
    <row r="26" spans="1:8" x14ac:dyDescent="0.2">
      <c r="A26" s="355" t="s">
        <v>432</v>
      </c>
    </row>
    <row r="28" spans="1:8" x14ac:dyDescent="0.2">
      <c r="A28" s="356" t="s">
        <v>433</v>
      </c>
    </row>
    <row r="30" spans="1:8" x14ac:dyDescent="0.2">
      <c r="A30" t="s">
        <v>434</v>
      </c>
    </row>
    <row r="31" spans="1:8" x14ac:dyDescent="0.2">
      <c r="A31" t="s">
        <v>435</v>
      </c>
    </row>
    <row r="32" spans="1:8" x14ac:dyDescent="0.2">
      <c r="A32" t="s">
        <v>436</v>
      </c>
    </row>
    <row r="33" spans="1:1" x14ac:dyDescent="0.2">
      <c r="A33" s="355" t="s">
        <v>437</v>
      </c>
    </row>
    <row r="35" spans="1:1" x14ac:dyDescent="0.2">
      <c r="A35" t="s">
        <v>438</v>
      </c>
    </row>
    <row r="36" spans="1:1" x14ac:dyDescent="0.2">
      <c r="A36" t="s">
        <v>439</v>
      </c>
    </row>
    <row r="37" spans="1:1" x14ac:dyDescent="0.2">
      <c r="A37" t="s">
        <v>440</v>
      </c>
    </row>
    <row r="38" spans="1:1" x14ac:dyDescent="0.2">
      <c r="A38" t="s">
        <v>441</v>
      </c>
    </row>
    <row r="40" spans="1:1" x14ac:dyDescent="0.2">
      <c r="A40" t="s">
        <v>442</v>
      </c>
    </row>
    <row r="41" spans="1:1" x14ac:dyDescent="0.2">
      <c r="A41" t="s">
        <v>443</v>
      </c>
    </row>
    <row r="42" spans="1:1" x14ac:dyDescent="0.2">
      <c r="A42" t="s">
        <v>444</v>
      </c>
    </row>
    <row r="43" spans="1:1" x14ac:dyDescent="0.2">
      <c r="A43" t="s">
        <v>445</v>
      </c>
    </row>
    <row r="44" spans="1:1" x14ac:dyDescent="0.2">
      <c r="A44" t="s">
        <v>446</v>
      </c>
    </row>
    <row r="45" spans="1:1" x14ac:dyDescent="0.2">
      <c r="A45" t="s">
        <v>447</v>
      </c>
    </row>
    <row r="47" spans="1:1" x14ac:dyDescent="0.2">
      <c r="A47" t="s">
        <v>448</v>
      </c>
    </row>
    <row r="48" spans="1:1" x14ac:dyDescent="0.2">
      <c r="A48" t="s">
        <v>449</v>
      </c>
    </row>
    <row r="49" spans="1:1" x14ac:dyDescent="0.2">
      <c r="A49" s="355" t="s">
        <v>450</v>
      </c>
    </row>
    <row r="50" spans="1:1" x14ac:dyDescent="0.2">
      <c r="A50" s="355" t="s">
        <v>451</v>
      </c>
    </row>
    <row r="52" spans="1:1" x14ac:dyDescent="0.2">
      <c r="A52" t="s">
        <v>337</v>
      </c>
    </row>
  </sheetData>
  <sheetProtection sheet="1"/>
  <phoneticPr fontId="0" type="noConversion"/>
  <pageMargins left="0.7" right="0.7" top="0.75" bottom="0.75" header="0.3" footer="0.3"/>
  <pageSetup orientation="portrait" r:id="rId1"/>
  <headerFooter>
    <oddFooter>&amp;Lrevised 10/2/09</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zoomScaleNormal="100" zoomScaleSheetLayoutView="100" workbookViewId="0"/>
  </sheetViews>
  <sheetFormatPr defaultRowHeight="14.25" x14ac:dyDescent="0.2"/>
  <cols>
    <col min="1" max="1" width="7.5546875" style="444" customWidth="1"/>
    <col min="2" max="2" width="11.21875" style="446" customWidth="1"/>
    <col min="3" max="3" width="7.44140625" style="446" customWidth="1"/>
    <col min="4" max="4" width="8.88671875" style="446"/>
    <col min="5" max="5" width="1.5546875" style="446" customWidth="1"/>
    <col min="6" max="6" width="14.33203125" style="446" customWidth="1"/>
    <col min="7" max="7" width="2.5546875" style="446" customWidth="1"/>
    <col min="8" max="8" width="9.77734375" style="446" customWidth="1"/>
    <col min="9" max="9" width="2" style="446" customWidth="1"/>
    <col min="10" max="10" width="8.5546875" style="446" customWidth="1"/>
    <col min="11" max="11" width="11.6640625" style="446" customWidth="1"/>
    <col min="12" max="12" width="7.5546875" style="444" customWidth="1"/>
    <col min="13" max="14" width="8.88671875" style="444"/>
    <col min="15" max="15" width="9.88671875" style="444" bestFit="1" customWidth="1"/>
    <col min="16" max="16384" width="8.88671875" style="444"/>
  </cols>
  <sheetData>
    <row r="1" spans="1:12" x14ac:dyDescent="0.2">
      <c r="A1" s="445"/>
      <c r="B1" s="445"/>
      <c r="C1" s="445"/>
      <c r="D1" s="445"/>
      <c r="E1" s="445"/>
      <c r="F1" s="445"/>
      <c r="G1" s="445"/>
      <c r="H1" s="445"/>
      <c r="I1" s="445"/>
      <c r="J1" s="445"/>
      <c r="K1" s="445"/>
      <c r="L1" s="445"/>
    </row>
    <row r="2" spans="1:12" x14ac:dyDescent="0.2">
      <c r="A2" s="445"/>
      <c r="B2" s="445"/>
      <c r="C2" s="445"/>
      <c r="D2" s="445"/>
      <c r="E2" s="445"/>
      <c r="F2" s="445"/>
      <c r="G2" s="445"/>
      <c r="H2" s="445"/>
      <c r="I2" s="445"/>
      <c r="J2" s="445"/>
      <c r="K2" s="445"/>
      <c r="L2" s="445"/>
    </row>
    <row r="3" spans="1:12" x14ac:dyDescent="0.2">
      <c r="A3" s="445"/>
      <c r="B3" s="445"/>
      <c r="C3" s="445"/>
      <c r="D3" s="445"/>
      <c r="E3" s="445"/>
      <c r="F3" s="445"/>
      <c r="G3" s="445"/>
      <c r="H3" s="445"/>
      <c r="I3" s="445"/>
      <c r="J3" s="445"/>
      <c r="K3" s="445"/>
      <c r="L3" s="445"/>
    </row>
    <row r="4" spans="1:12" x14ac:dyDescent="0.2">
      <c r="A4" s="445"/>
      <c r="L4" s="445"/>
    </row>
    <row r="5" spans="1:12" ht="15" customHeight="1" x14ac:dyDescent="0.2">
      <c r="A5" s="445"/>
      <c r="L5" s="445"/>
    </row>
    <row r="6" spans="1:12" ht="33" customHeight="1" x14ac:dyDescent="0.2">
      <c r="A6" s="445"/>
      <c r="B6" s="1039" t="s">
        <v>497</v>
      </c>
      <c r="C6" s="1031"/>
      <c r="D6" s="1031"/>
      <c r="E6" s="1031"/>
      <c r="F6" s="1031"/>
      <c r="G6" s="1031"/>
      <c r="H6" s="1031"/>
      <c r="I6" s="1031"/>
      <c r="J6" s="1031"/>
      <c r="K6" s="1031"/>
      <c r="L6" s="447"/>
    </row>
    <row r="7" spans="1:12" ht="40.5" customHeight="1" x14ac:dyDescent="0.2">
      <c r="A7" s="445"/>
      <c r="B7" s="1040" t="s">
        <v>498</v>
      </c>
      <c r="C7" s="1041"/>
      <c r="D7" s="1041"/>
      <c r="E7" s="1041"/>
      <c r="F7" s="1041"/>
      <c r="G7" s="1041"/>
      <c r="H7" s="1041"/>
      <c r="I7" s="1041"/>
      <c r="J7" s="1041"/>
      <c r="K7" s="1041"/>
      <c r="L7" s="445"/>
    </row>
    <row r="8" spans="1:12" x14ac:dyDescent="0.2">
      <c r="A8" s="445"/>
      <c r="B8" s="1036" t="s">
        <v>499</v>
      </c>
      <c r="C8" s="1036"/>
      <c r="D8" s="1036"/>
      <c r="E8" s="1036"/>
      <c r="F8" s="1036"/>
      <c r="G8" s="1036"/>
      <c r="H8" s="1036"/>
      <c r="I8" s="1036"/>
      <c r="J8" s="1036"/>
      <c r="K8" s="1036"/>
      <c r="L8" s="445"/>
    </row>
    <row r="9" spans="1:12" x14ac:dyDescent="0.2">
      <c r="A9" s="445"/>
      <c r="L9" s="445"/>
    </row>
    <row r="10" spans="1:12" x14ac:dyDescent="0.2">
      <c r="A10" s="445"/>
      <c r="B10" s="1036" t="s">
        <v>500</v>
      </c>
      <c r="C10" s="1036"/>
      <c r="D10" s="1036"/>
      <c r="E10" s="1036"/>
      <c r="F10" s="1036"/>
      <c r="G10" s="1036"/>
      <c r="H10" s="1036"/>
      <c r="I10" s="1036"/>
      <c r="J10" s="1036"/>
      <c r="K10" s="1036"/>
      <c r="L10" s="445"/>
    </row>
    <row r="11" spans="1:12" x14ac:dyDescent="0.2">
      <c r="A11" s="445"/>
      <c r="B11" s="581"/>
      <c r="C11" s="581"/>
      <c r="D11" s="581"/>
      <c r="E11" s="581"/>
      <c r="F11" s="581"/>
      <c r="G11" s="581"/>
      <c r="H11" s="581"/>
      <c r="I11" s="581"/>
      <c r="J11" s="581"/>
      <c r="K11" s="581"/>
      <c r="L11" s="445"/>
    </row>
    <row r="12" spans="1:12" ht="32.25" customHeight="1" x14ac:dyDescent="0.2">
      <c r="A12" s="445"/>
      <c r="B12" s="1027" t="s">
        <v>501</v>
      </c>
      <c r="C12" s="1027"/>
      <c r="D12" s="1027"/>
      <c r="E12" s="1027"/>
      <c r="F12" s="1027"/>
      <c r="G12" s="1027"/>
      <c r="H12" s="1027"/>
      <c r="I12" s="1027"/>
      <c r="J12" s="1027"/>
      <c r="K12" s="1027"/>
      <c r="L12" s="445"/>
    </row>
    <row r="13" spans="1:12" x14ac:dyDescent="0.2">
      <c r="A13" s="445"/>
      <c r="L13" s="445"/>
    </row>
    <row r="14" spans="1:12" x14ac:dyDescent="0.2">
      <c r="A14" s="445"/>
      <c r="B14" s="448" t="s">
        <v>502</v>
      </c>
      <c r="L14" s="445"/>
    </row>
    <row r="15" spans="1:12" x14ac:dyDescent="0.2">
      <c r="A15" s="445"/>
      <c r="L15" s="445"/>
    </row>
    <row r="16" spans="1:12" x14ac:dyDescent="0.2">
      <c r="A16" s="445"/>
      <c r="B16" s="446" t="s">
        <v>503</v>
      </c>
      <c r="L16" s="445"/>
    </row>
    <row r="17" spans="1:12" x14ac:dyDescent="0.2">
      <c r="A17" s="445"/>
      <c r="B17" s="446" t="s">
        <v>504</v>
      </c>
      <c r="L17" s="445"/>
    </row>
    <row r="18" spans="1:12" x14ac:dyDescent="0.2">
      <c r="A18" s="445"/>
      <c r="L18" s="445"/>
    </row>
    <row r="19" spans="1:12" x14ac:dyDescent="0.2">
      <c r="A19" s="445"/>
      <c r="B19" s="448" t="s">
        <v>745</v>
      </c>
      <c r="L19" s="445"/>
    </row>
    <row r="20" spans="1:12" x14ac:dyDescent="0.2">
      <c r="A20" s="445"/>
      <c r="B20" s="448"/>
      <c r="L20" s="445"/>
    </row>
    <row r="21" spans="1:12" x14ac:dyDescent="0.2">
      <c r="A21" s="445"/>
      <c r="B21" s="446" t="s">
        <v>746</v>
      </c>
      <c r="L21" s="445"/>
    </row>
    <row r="22" spans="1:12" x14ac:dyDescent="0.2">
      <c r="A22" s="445"/>
      <c r="L22" s="445"/>
    </row>
    <row r="23" spans="1:12" x14ac:dyDescent="0.2">
      <c r="A23" s="445"/>
      <c r="B23" s="446" t="s">
        <v>505</v>
      </c>
      <c r="E23" s="446" t="s">
        <v>506</v>
      </c>
      <c r="F23" s="1025">
        <v>312000000</v>
      </c>
      <c r="G23" s="1025"/>
      <c r="L23" s="445"/>
    </row>
    <row r="24" spans="1:12" x14ac:dyDescent="0.2">
      <c r="A24" s="445"/>
      <c r="L24" s="445"/>
    </row>
    <row r="25" spans="1:12" x14ac:dyDescent="0.2">
      <c r="A25" s="445"/>
      <c r="C25" s="1042">
        <f>F23</f>
        <v>312000000</v>
      </c>
      <c r="D25" s="1042"/>
      <c r="E25" s="446" t="s">
        <v>507</v>
      </c>
      <c r="F25" s="449">
        <v>1000</v>
      </c>
      <c r="G25" s="449" t="s">
        <v>506</v>
      </c>
      <c r="H25" s="582">
        <f>F23/F25</f>
        <v>312000</v>
      </c>
      <c r="L25" s="445"/>
    </row>
    <row r="26" spans="1:12" ht="15" thickBot="1" x14ac:dyDescent="0.25">
      <c r="A26" s="445"/>
      <c r="L26" s="445"/>
    </row>
    <row r="27" spans="1:12" x14ac:dyDescent="0.2">
      <c r="A27" s="445"/>
      <c r="B27" s="450" t="s">
        <v>502</v>
      </c>
      <c r="C27" s="451"/>
      <c r="D27" s="451"/>
      <c r="E27" s="451"/>
      <c r="F27" s="451"/>
      <c r="G27" s="451"/>
      <c r="H27" s="451"/>
      <c r="I27" s="451"/>
      <c r="J27" s="451"/>
      <c r="K27" s="452"/>
      <c r="L27" s="445"/>
    </row>
    <row r="28" spans="1:12" x14ac:dyDescent="0.2">
      <c r="A28" s="445"/>
      <c r="B28" s="453">
        <f>F23</f>
        <v>312000000</v>
      </c>
      <c r="C28" s="454" t="s">
        <v>508</v>
      </c>
      <c r="D28" s="454"/>
      <c r="E28" s="454" t="s">
        <v>507</v>
      </c>
      <c r="F28" s="585">
        <v>1000</v>
      </c>
      <c r="G28" s="585" t="s">
        <v>506</v>
      </c>
      <c r="H28" s="455">
        <f>B28/F28</f>
        <v>312000</v>
      </c>
      <c r="I28" s="454" t="s">
        <v>509</v>
      </c>
      <c r="J28" s="454"/>
      <c r="K28" s="456"/>
      <c r="L28" s="445"/>
    </row>
    <row r="29" spans="1:12" ht="15" thickBot="1" x14ac:dyDescent="0.25">
      <c r="A29" s="445"/>
      <c r="B29" s="457"/>
      <c r="C29" s="458"/>
      <c r="D29" s="458"/>
      <c r="E29" s="458"/>
      <c r="F29" s="458"/>
      <c r="G29" s="458"/>
      <c r="H29" s="458"/>
      <c r="I29" s="458"/>
      <c r="J29" s="458"/>
      <c r="K29" s="459"/>
      <c r="L29" s="445"/>
    </row>
    <row r="30" spans="1:12" ht="40.5" customHeight="1" x14ac:dyDescent="0.2">
      <c r="A30" s="445"/>
      <c r="B30" s="1029" t="s">
        <v>498</v>
      </c>
      <c r="C30" s="1029"/>
      <c r="D30" s="1029"/>
      <c r="E30" s="1029"/>
      <c r="F30" s="1029"/>
      <c r="G30" s="1029"/>
      <c r="H30" s="1029"/>
      <c r="I30" s="1029"/>
      <c r="J30" s="1029"/>
      <c r="K30" s="1029"/>
      <c r="L30" s="445"/>
    </row>
    <row r="31" spans="1:12" x14ac:dyDescent="0.2">
      <c r="A31" s="445"/>
      <c r="B31" s="1036" t="s">
        <v>510</v>
      </c>
      <c r="C31" s="1036"/>
      <c r="D31" s="1036"/>
      <c r="E31" s="1036"/>
      <c r="F31" s="1036"/>
      <c r="G31" s="1036"/>
      <c r="H31" s="1036"/>
      <c r="I31" s="1036"/>
      <c r="J31" s="1036"/>
      <c r="K31" s="1036"/>
      <c r="L31" s="445"/>
    </row>
    <row r="32" spans="1:12" x14ac:dyDescent="0.2">
      <c r="A32" s="445"/>
      <c r="L32" s="445"/>
    </row>
    <row r="33" spans="1:12" x14ac:dyDescent="0.2">
      <c r="A33" s="445"/>
      <c r="B33" s="1036" t="s">
        <v>511</v>
      </c>
      <c r="C33" s="1036"/>
      <c r="D33" s="1036"/>
      <c r="E33" s="1036"/>
      <c r="F33" s="1036"/>
      <c r="G33" s="1036"/>
      <c r="H33" s="1036"/>
      <c r="I33" s="1036"/>
      <c r="J33" s="1036"/>
      <c r="K33" s="1036"/>
      <c r="L33" s="445"/>
    </row>
    <row r="34" spans="1:12" x14ac:dyDescent="0.2">
      <c r="A34" s="445"/>
      <c r="L34" s="445"/>
    </row>
    <row r="35" spans="1:12" ht="89.25" customHeight="1" x14ac:dyDescent="0.2">
      <c r="A35" s="445"/>
      <c r="B35" s="1027" t="s">
        <v>512</v>
      </c>
      <c r="C35" s="1024"/>
      <c r="D35" s="1024"/>
      <c r="E35" s="1024"/>
      <c r="F35" s="1024"/>
      <c r="G35" s="1024"/>
      <c r="H35" s="1024"/>
      <c r="I35" s="1024"/>
      <c r="J35" s="1024"/>
      <c r="K35" s="1024"/>
      <c r="L35" s="445"/>
    </row>
    <row r="36" spans="1:12" x14ac:dyDescent="0.2">
      <c r="A36" s="445"/>
      <c r="L36" s="445"/>
    </row>
    <row r="37" spans="1:12" x14ac:dyDescent="0.2">
      <c r="A37" s="445"/>
      <c r="B37" s="448" t="s">
        <v>513</v>
      </c>
      <c r="L37" s="445"/>
    </row>
    <row r="38" spans="1:12" x14ac:dyDescent="0.2">
      <c r="A38" s="445"/>
      <c r="L38" s="445"/>
    </row>
    <row r="39" spans="1:12" x14ac:dyDescent="0.2">
      <c r="A39" s="445"/>
      <c r="B39" s="446" t="s">
        <v>514</v>
      </c>
      <c r="L39" s="445"/>
    </row>
    <row r="40" spans="1:12" x14ac:dyDescent="0.2">
      <c r="A40" s="445"/>
      <c r="L40" s="445"/>
    </row>
    <row r="41" spans="1:12" x14ac:dyDescent="0.2">
      <c r="A41" s="445"/>
      <c r="C41" s="1037">
        <v>312000000</v>
      </c>
      <c r="D41" s="1037"/>
      <c r="E41" s="446" t="s">
        <v>507</v>
      </c>
      <c r="F41" s="449">
        <v>1000</v>
      </c>
      <c r="G41" s="449" t="s">
        <v>506</v>
      </c>
      <c r="H41" s="460">
        <f>C41/F41</f>
        <v>312000</v>
      </c>
      <c r="L41" s="445"/>
    </row>
    <row r="42" spans="1:12" x14ac:dyDescent="0.2">
      <c r="A42" s="445"/>
      <c r="L42" s="445"/>
    </row>
    <row r="43" spans="1:12" x14ac:dyDescent="0.2">
      <c r="A43" s="445"/>
      <c r="B43" s="446" t="s">
        <v>515</v>
      </c>
      <c r="L43" s="445"/>
    </row>
    <row r="44" spans="1:12" x14ac:dyDescent="0.2">
      <c r="A44" s="445"/>
      <c r="L44" s="445"/>
    </row>
    <row r="45" spans="1:12" x14ac:dyDescent="0.2">
      <c r="A45" s="445"/>
      <c r="B45" s="446" t="s">
        <v>516</v>
      </c>
      <c r="L45" s="445"/>
    </row>
    <row r="46" spans="1:12" ht="15" thickBot="1" x14ac:dyDescent="0.25">
      <c r="A46" s="445"/>
      <c r="L46" s="445"/>
    </row>
    <row r="47" spans="1:12" x14ac:dyDescent="0.2">
      <c r="A47" s="445"/>
      <c r="B47" s="461" t="s">
        <v>502</v>
      </c>
      <c r="C47" s="451"/>
      <c r="D47" s="451"/>
      <c r="E47" s="451"/>
      <c r="F47" s="451"/>
      <c r="G47" s="451"/>
      <c r="H47" s="451"/>
      <c r="I47" s="451"/>
      <c r="J47" s="451"/>
      <c r="K47" s="452"/>
      <c r="L47" s="445"/>
    </row>
    <row r="48" spans="1:12" x14ac:dyDescent="0.2">
      <c r="A48" s="445"/>
      <c r="B48" s="1038">
        <v>312000000</v>
      </c>
      <c r="C48" s="1025"/>
      <c r="D48" s="454" t="s">
        <v>517</v>
      </c>
      <c r="E48" s="454" t="s">
        <v>507</v>
      </c>
      <c r="F48" s="585">
        <v>1000</v>
      </c>
      <c r="G48" s="585" t="s">
        <v>506</v>
      </c>
      <c r="H48" s="455">
        <f>B48/F48</f>
        <v>312000</v>
      </c>
      <c r="I48" s="454" t="s">
        <v>518</v>
      </c>
      <c r="J48" s="454"/>
      <c r="K48" s="456"/>
      <c r="L48" s="445"/>
    </row>
    <row r="49" spans="1:24" x14ac:dyDescent="0.2">
      <c r="A49" s="445"/>
      <c r="B49" s="462"/>
      <c r="C49" s="454"/>
      <c r="D49" s="454"/>
      <c r="E49" s="454"/>
      <c r="F49" s="454"/>
      <c r="G49" s="454"/>
      <c r="H49" s="454"/>
      <c r="I49" s="454"/>
      <c r="J49" s="454"/>
      <c r="K49" s="456"/>
      <c r="L49" s="445"/>
    </row>
    <row r="50" spans="1:24" x14ac:dyDescent="0.2">
      <c r="A50" s="445"/>
      <c r="B50" s="463">
        <v>50000</v>
      </c>
      <c r="C50" s="454" t="s">
        <v>519</v>
      </c>
      <c r="D50" s="454"/>
      <c r="E50" s="454" t="s">
        <v>507</v>
      </c>
      <c r="F50" s="455">
        <f>H48</f>
        <v>312000</v>
      </c>
      <c r="G50" s="1032" t="s">
        <v>520</v>
      </c>
      <c r="H50" s="1033"/>
      <c r="I50" s="585" t="s">
        <v>506</v>
      </c>
      <c r="J50" s="464">
        <f>B50/F50</f>
        <v>0.16025641025641027</v>
      </c>
      <c r="K50" s="456"/>
      <c r="L50" s="445"/>
    </row>
    <row r="51" spans="1:24" ht="15" thickBot="1" x14ac:dyDescent="0.25">
      <c r="A51" s="445"/>
      <c r="B51" s="457"/>
      <c r="C51" s="458"/>
      <c r="D51" s="458"/>
      <c r="E51" s="458"/>
      <c r="F51" s="458"/>
      <c r="G51" s="458"/>
      <c r="H51" s="458"/>
      <c r="I51" s="1034" t="s">
        <v>521</v>
      </c>
      <c r="J51" s="1034"/>
      <c r="K51" s="1035"/>
      <c r="L51" s="445"/>
      <c r="O51" s="561"/>
    </row>
    <row r="52" spans="1:24" ht="40.5" customHeight="1" x14ac:dyDescent="0.2">
      <c r="A52" s="445"/>
      <c r="B52" s="1029" t="s">
        <v>498</v>
      </c>
      <c r="C52" s="1029"/>
      <c r="D52" s="1029"/>
      <c r="E52" s="1029"/>
      <c r="F52" s="1029"/>
      <c r="G52" s="1029"/>
      <c r="H52" s="1029"/>
      <c r="I52" s="1029"/>
      <c r="J52" s="1029"/>
      <c r="K52" s="1029"/>
      <c r="L52" s="445"/>
    </row>
    <row r="53" spans="1:24" x14ac:dyDescent="0.2">
      <c r="A53" s="445"/>
      <c r="B53" s="1036" t="s">
        <v>522</v>
      </c>
      <c r="C53" s="1036"/>
      <c r="D53" s="1036"/>
      <c r="E53" s="1036"/>
      <c r="F53" s="1036"/>
      <c r="G53" s="1036"/>
      <c r="H53" s="1036"/>
      <c r="I53" s="1036"/>
      <c r="J53" s="1036"/>
      <c r="K53" s="1036"/>
      <c r="L53" s="445"/>
    </row>
    <row r="54" spans="1:24" x14ac:dyDescent="0.2">
      <c r="A54" s="445"/>
      <c r="B54" s="581"/>
      <c r="C54" s="581"/>
      <c r="D54" s="581"/>
      <c r="E54" s="581"/>
      <c r="F54" s="581"/>
      <c r="G54" s="581"/>
      <c r="H54" s="581"/>
      <c r="I54" s="581"/>
      <c r="J54" s="581"/>
      <c r="K54" s="581"/>
      <c r="L54" s="445"/>
    </row>
    <row r="55" spans="1:24" x14ac:dyDescent="0.2">
      <c r="A55" s="445"/>
      <c r="B55" s="1039" t="s">
        <v>523</v>
      </c>
      <c r="C55" s="1039"/>
      <c r="D55" s="1039"/>
      <c r="E55" s="1039"/>
      <c r="F55" s="1039"/>
      <c r="G55" s="1039"/>
      <c r="H55" s="1039"/>
      <c r="I55" s="1039"/>
      <c r="J55" s="1039"/>
      <c r="K55" s="1039"/>
      <c r="L55" s="445"/>
    </row>
    <row r="56" spans="1:24" ht="15" customHeight="1" x14ac:dyDescent="0.2">
      <c r="A56" s="445"/>
      <c r="L56" s="445"/>
    </row>
    <row r="57" spans="1:24" ht="74.25" customHeight="1" x14ac:dyDescent="0.2">
      <c r="A57" s="445"/>
      <c r="B57" s="1027" t="s">
        <v>524</v>
      </c>
      <c r="C57" s="1024"/>
      <c r="D57" s="1024"/>
      <c r="E57" s="1024"/>
      <c r="F57" s="1024"/>
      <c r="G57" s="1024"/>
      <c r="H57" s="1024"/>
      <c r="I57" s="1024"/>
      <c r="J57" s="1024"/>
      <c r="K57" s="1024"/>
      <c r="L57" s="445"/>
      <c r="M57" s="465"/>
      <c r="N57" s="466"/>
      <c r="O57" s="466"/>
      <c r="P57" s="466"/>
      <c r="Q57" s="466"/>
      <c r="R57" s="466"/>
      <c r="S57" s="466"/>
      <c r="T57" s="466"/>
      <c r="U57" s="466"/>
      <c r="V57" s="466"/>
      <c r="W57" s="466"/>
      <c r="X57" s="466"/>
    </row>
    <row r="58" spans="1:24" ht="15" customHeight="1" x14ac:dyDescent="0.2">
      <c r="A58" s="445"/>
      <c r="B58" s="1027"/>
      <c r="C58" s="1024"/>
      <c r="D58" s="1024"/>
      <c r="E58" s="1024"/>
      <c r="F58" s="1024"/>
      <c r="G58" s="1024"/>
      <c r="H58" s="1024"/>
      <c r="I58" s="1024"/>
      <c r="J58" s="1024"/>
      <c r="K58" s="1024"/>
      <c r="L58" s="445"/>
      <c r="M58" s="465"/>
      <c r="N58" s="466"/>
      <c r="O58" s="466"/>
      <c r="P58" s="466"/>
      <c r="Q58" s="466"/>
      <c r="R58" s="466"/>
      <c r="S58" s="466"/>
      <c r="T58" s="466"/>
      <c r="U58" s="466"/>
      <c r="V58" s="466"/>
      <c r="W58" s="466"/>
      <c r="X58" s="466"/>
    </row>
    <row r="59" spans="1:24" x14ac:dyDescent="0.2">
      <c r="A59" s="445"/>
      <c r="B59" s="448" t="s">
        <v>513</v>
      </c>
      <c r="L59" s="445"/>
      <c r="M59" s="466"/>
      <c r="N59" s="466"/>
      <c r="O59" s="466"/>
      <c r="P59" s="466"/>
      <c r="Q59" s="466"/>
      <c r="R59" s="466"/>
      <c r="S59" s="466"/>
      <c r="T59" s="466"/>
      <c r="U59" s="466"/>
      <c r="V59" s="466"/>
      <c r="W59" s="466"/>
      <c r="X59" s="466"/>
    </row>
    <row r="60" spans="1:24" x14ac:dyDescent="0.2">
      <c r="A60" s="445"/>
      <c r="L60" s="445"/>
      <c r="M60" s="466"/>
      <c r="N60" s="466"/>
      <c r="O60" s="466"/>
      <c r="P60" s="466"/>
      <c r="Q60" s="466"/>
      <c r="R60" s="466"/>
      <c r="S60" s="466"/>
      <c r="T60" s="466"/>
      <c r="U60" s="466"/>
      <c r="V60" s="466"/>
      <c r="W60" s="466"/>
      <c r="X60" s="466"/>
    </row>
    <row r="61" spans="1:24" x14ac:dyDescent="0.2">
      <c r="A61" s="445"/>
      <c r="B61" s="446" t="s">
        <v>525</v>
      </c>
      <c r="L61" s="445"/>
      <c r="M61" s="466"/>
      <c r="N61" s="466"/>
      <c r="O61" s="466"/>
      <c r="P61" s="466"/>
      <c r="Q61" s="466"/>
      <c r="R61" s="466"/>
      <c r="S61" s="466"/>
      <c r="T61" s="466"/>
      <c r="U61" s="466"/>
      <c r="V61" s="466"/>
      <c r="W61" s="466"/>
      <c r="X61" s="466"/>
    </row>
    <row r="62" spans="1:24" x14ac:dyDescent="0.2">
      <c r="A62" s="445"/>
      <c r="B62" s="446" t="s">
        <v>747</v>
      </c>
      <c r="L62" s="445"/>
      <c r="M62" s="466"/>
      <c r="N62" s="466"/>
      <c r="O62" s="466"/>
      <c r="P62" s="466"/>
      <c r="Q62" s="466"/>
      <c r="R62" s="466"/>
      <c r="S62" s="466"/>
      <c r="T62" s="466"/>
      <c r="U62" s="466"/>
      <c r="V62" s="466"/>
      <c r="W62" s="466"/>
      <c r="X62" s="466"/>
    </row>
    <row r="63" spans="1:24" x14ac:dyDescent="0.2">
      <c r="A63" s="445"/>
      <c r="B63" s="446" t="s">
        <v>748</v>
      </c>
      <c r="L63" s="445"/>
      <c r="M63" s="466"/>
      <c r="N63" s="466"/>
      <c r="O63" s="466"/>
      <c r="P63" s="466"/>
      <c r="Q63" s="466"/>
      <c r="R63" s="466"/>
      <c r="S63" s="466"/>
      <c r="T63" s="466"/>
      <c r="U63" s="466"/>
      <c r="V63" s="466"/>
      <c r="W63" s="466"/>
      <c r="X63" s="466"/>
    </row>
    <row r="64" spans="1:24" x14ac:dyDescent="0.2">
      <c r="A64" s="445"/>
      <c r="L64" s="445"/>
      <c r="M64" s="466"/>
      <c r="N64" s="466"/>
      <c r="O64" s="466"/>
      <c r="P64" s="466"/>
      <c r="Q64" s="466"/>
      <c r="R64" s="466"/>
      <c r="S64" s="466"/>
      <c r="T64" s="466"/>
      <c r="U64" s="466"/>
      <c r="V64" s="466"/>
      <c r="W64" s="466"/>
      <c r="X64" s="466"/>
    </row>
    <row r="65" spans="1:24" x14ac:dyDescent="0.2">
      <c r="A65" s="445"/>
      <c r="B65" s="446" t="s">
        <v>526</v>
      </c>
      <c r="L65" s="445"/>
      <c r="M65" s="466"/>
      <c r="N65" s="466"/>
      <c r="O65" s="466"/>
      <c r="P65" s="466"/>
      <c r="Q65" s="466"/>
      <c r="R65" s="466"/>
      <c r="S65" s="466"/>
      <c r="T65" s="466"/>
      <c r="U65" s="466"/>
      <c r="V65" s="466"/>
      <c r="W65" s="466"/>
      <c r="X65" s="466"/>
    </row>
    <row r="66" spans="1:24" x14ac:dyDescent="0.2">
      <c r="A66" s="445"/>
      <c r="B66" s="446" t="s">
        <v>527</v>
      </c>
      <c r="L66" s="445"/>
      <c r="M66" s="466"/>
      <c r="N66" s="466"/>
      <c r="O66" s="466"/>
      <c r="P66" s="466"/>
      <c r="Q66" s="466"/>
      <c r="R66" s="466"/>
      <c r="S66" s="466"/>
      <c r="T66" s="466"/>
      <c r="U66" s="466"/>
      <c r="V66" s="466"/>
      <c r="W66" s="466"/>
      <c r="X66" s="466"/>
    </row>
    <row r="67" spans="1:24" x14ac:dyDescent="0.2">
      <c r="A67" s="445"/>
      <c r="L67" s="445"/>
      <c r="M67" s="466"/>
      <c r="N67" s="466"/>
      <c r="O67" s="466"/>
      <c r="P67" s="466"/>
      <c r="Q67" s="466"/>
      <c r="R67" s="466"/>
      <c r="S67" s="466"/>
      <c r="T67" s="466"/>
      <c r="U67" s="466"/>
      <c r="V67" s="466"/>
      <c r="W67" s="466"/>
      <c r="X67" s="466"/>
    </row>
    <row r="68" spans="1:24" x14ac:dyDescent="0.2">
      <c r="A68" s="445"/>
      <c r="B68" s="446" t="s">
        <v>528</v>
      </c>
      <c r="L68" s="445"/>
      <c r="M68" s="467"/>
      <c r="N68" s="468"/>
      <c r="O68" s="468"/>
      <c r="P68" s="468"/>
      <c r="Q68" s="468"/>
      <c r="R68" s="468"/>
      <c r="S68" s="468"/>
      <c r="T68" s="468"/>
      <c r="U68" s="468"/>
      <c r="V68" s="468"/>
      <c r="W68" s="468"/>
      <c r="X68" s="466"/>
    </row>
    <row r="69" spans="1:24" x14ac:dyDescent="0.2">
      <c r="A69" s="445"/>
      <c r="B69" s="446" t="s">
        <v>749</v>
      </c>
      <c r="L69" s="445"/>
      <c r="M69" s="466"/>
      <c r="N69" s="466"/>
      <c r="O69" s="466"/>
      <c r="P69" s="466"/>
      <c r="Q69" s="466"/>
      <c r="R69" s="466"/>
      <c r="S69" s="466"/>
      <c r="T69" s="466"/>
      <c r="U69" s="466"/>
      <c r="V69" s="466"/>
      <c r="W69" s="466"/>
      <c r="X69" s="466"/>
    </row>
    <row r="70" spans="1:24" x14ac:dyDescent="0.2">
      <c r="A70" s="445"/>
      <c r="B70" s="446" t="s">
        <v>750</v>
      </c>
      <c r="L70" s="445"/>
      <c r="M70" s="466"/>
      <c r="N70" s="466"/>
      <c r="O70" s="466"/>
      <c r="P70" s="466"/>
      <c r="Q70" s="466"/>
      <c r="R70" s="466"/>
      <c r="S70" s="466"/>
      <c r="T70" s="466"/>
      <c r="U70" s="466"/>
      <c r="V70" s="466"/>
      <c r="W70" s="466"/>
      <c r="X70" s="466"/>
    </row>
    <row r="71" spans="1:24" ht="15" thickBot="1" x14ac:dyDescent="0.25">
      <c r="A71" s="445"/>
      <c r="B71" s="454"/>
      <c r="C71" s="454"/>
      <c r="D71" s="454"/>
      <c r="E71" s="454"/>
      <c r="F71" s="454"/>
      <c r="G71" s="454"/>
      <c r="H71" s="454"/>
      <c r="I71" s="454"/>
      <c r="J71" s="454"/>
      <c r="K71" s="454"/>
      <c r="L71" s="445"/>
    </row>
    <row r="72" spans="1:24" x14ac:dyDescent="0.2">
      <c r="A72" s="445"/>
      <c r="B72" s="450" t="s">
        <v>502</v>
      </c>
      <c r="C72" s="451"/>
      <c r="D72" s="451"/>
      <c r="E72" s="451"/>
      <c r="F72" s="451"/>
      <c r="G72" s="451"/>
      <c r="H72" s="451"/>
      <c r="I72" s="451"/>
      <c r="J72" s="451"/>
      <c r="K72" s="452"/>
      <c r="L72" s="469"/>
    </row>
    <row r="73" spans="1:24" x14ac:dyDescent="0.2">
      <c r="A73" s="445"/>
      <c r="B73" s="462"/>
      <c r="C73" s="454" t="s">
        <v>508</v>
      </c>
      <c r="D73" s="454"/>
      <c r="E73" s="454"/>
      <c r="F73" s="454"/>
      <c r="G73" s="454"/>
      <c r="H73" s="454"/>
      <c r="I73" s="454"/>
      <c r="J73" s="454"/>
      <c r="K73" s="456"/>
      <c r="L73" s="469"/>
    </row>
    <row r="74" spans="1:24" x14ac:dyDescent="0.2">
      <c r="A74" s="445"/>
      <c r="B74" s="462" t="s">
        <v>529</v>
      </c>
      <c r="C74" s="1025">
        <v>312000000</v>
      </c>
      <c r="D74" s="1025"/>
      <c r="E74" s="585" t="s">
        <v>507</v>
      </c>
      <c r="F74" s="585">
        <v>1000</v>
      </c>
      <c r="G74" s="585" t="s">
        <v>506</v>
      </c>
      <c r="H74" s="578">
        <f>C74/F74</f>
        <v>312000</v>
      </c>
      <c r="I74" s="454" t="s">
        <v>530</v>
      </c>
      <c r="J74" s="454"/>
      <c r="K74" s="456"/>
      <c r="L74" s="469"/>
    </row>
    <row r="75" spans="1:24" x14ac:dyDescent="0.2">
      <c r="A75" s="445"/>
      <c r="B75" s="462"/>
      <c r="C75" s="454"/>
      <c r="D75" s="454"/>
      <c r="E75" s="585"/>
      <c r="F75" s="454"/>
      <c r="G75" s="454"/>
      <c r="H75" s="454"/>
      <c r="I75" s="454"/>
      <c r="J75" s="454"/>
      <c r="K75" s="456"/>
      <c r="L75" s="469"/>
    </row>
    <row r="76" spans="1:24" x14ac:dyDescent="0.2">
      <c r="A76" s="445"/>
      <c r="B76" s="462"/>
      <c r="C76" s="454" t="s">
        <v>531</v>
      </c>
      <c r="D76" s="454"/>
      <c r="E76" s="585"/>
      <c r="F76" s="454" t="s">
        <v>530</v>
      </c>
      <c r="G76" s="454"/>
      <c r="H76" s="454"/>
      <c r="I76" s="454"/>
      <c r="J76" s="454"/>
      <c r="K76" s="456"/>
      <c r="L76" s="469"/>
    </row>
    <row r="77" spans="1:24" x14ac:dyDescent="0.2">
      <c r="A77" s="445"/>
      <c r="B77" s="462" t="s">
        <v>534</v>
      </c>
      <c r="C77" s="1025">
        <v>50000</v>
      </c>
      <c r="D77" s="1025"/>
      <c r="E77" s="585" t="s">
        <v>507</v>
      </c>
      <c r="F77" s="578">
        <f>H74</f>
        <v>312000</v>
      </c>
      <c r="G77" s="585" t="s">
        <v>506</v>
      </c>
      <c r="H77" s="464">
        <f>C77/F77</f>
        <v>0.16025641025641027</v>
      </c>
      <c r="I77" s="454" t="s">
        <v>532</v>
      </c>
      <c r="J77" s="454"/>
      <c r="K77" s="456"/>
      <c r="L77" s="469"/>
    </row>
    <row r="78" spans="1:24" x14ac:dyDescent="0.2">
      <c r="A78" s="445"/>
      <c r="B78" s="462"/>
      <c r="C78" s="454"/>
      <c r="D78" s="454"/>
      <c r="E78" s="585"/>
      <c r="F78" s="454"/>
      <c r="G78" s="454"/>
      <c r="H78" s="454"/>
      <c r="I78" s="454"/>
      <c r="J78" s="454"/>
      <c r="K78" s="456"/>
      <c r="L78" s="469"/>
    </row>
    <row r="79" spans="1:24" x14ac:dyDescent="0.2">
      <c r="A79" s="445"/>
      <c r="B79" s="470"/>
      <c r="C79" s="471" t="s">
        <v>533</v>
      </c>
      <c r="D79" s="471"/>
      <c r="E79" s="579"/>
      <c r="F79" s="471"/>
      <c r="G79" s="471"/>
      <c r="H79" s="471"/>
      <c r="I79" s="471"/>
      <c r="J79" s="471"/>
      <c r="K79" s="472"/>
      <c r="L79" s="469"/>
    </row>
    <row r="80" spans="1:24" x14ac:dyDescent="0.2">
      <c r="A80" s="445"/>
      <c r="B80" s="462" t="s">
        <v>629</v>
      </c>
      <c r="C80" s="1025">
        <v>100000</v>
      </c>
      <c r="D80" s="1025"/>
      <c r="E80" s="585" t="s">
        <v>839</v>
      </c>
      <c r="F80" s="585">
        <v>0.115</v>
      </c>
      <c r="G80" s="585" t="s">
        <v>506</v>
      </c>
      <c r="H80" s="578">
        <f>C80*F80</f>
        <v>11500</v>
      </c>
      <c r="I80" s="454" t="s">
        <v>535</v>
      </c>
      <c r="J80" s="454"/>
      <c r="K80" s="456"/>
      <c r="L80" s="469"/>
    </row>
    <row r="81" spans="1:12" x14ac:dyDescent="0.2">
      <c r="A81" s="445"/>
      <c r="B81" s="462"/>
      <c r="C81" s="454"/>
      <c r="D81" s="454"/>
      <c r="E81" s="585"/>
      <c r="F81" s="454"/>
      <c r="G81" s="454"/>
      <c r="H81" s="454"/>
      <c r="I81" s="454"/>
      <c r="J81" s="454"/>
      <c r="K81" s="456"/>
      <c r="L81" s="469"/>
    </row>
    <row r="82" spans="1:12" x14ac:dyDescent="0.2">
      <c r="A82" s="445"/>
      <c r="B82" s="470"/>
      <c r="C82" s="471" t="s">
        <v>536</v>
      </c>
      <c r="D82" s="471"/>
      <c r="E82" s="579"/>
      <c r="F82" s="471" t="s">
        <v>532</v>
      </c>
      <c r="G82" s="471"/>
      <c r="H82" s="471"/>
      <c r="I82" s="471"/>
      <c r="J82" s="471" t="s">
        <v>537</v>
      </c>
      <c r="K82" s="472"/>
      <c r="L82" s="469"/>
    </row>
    <row r="83" spans="1:12" x14ac:dyDescent="0.2">
      <c r="A83" s="445"/>
      <c r="B83" s="462" t="s">
        <v>630</v>
      </c>
      <c r="C83" s="1028">
        <f>H80</f>
        <v>11500</v>
      </c>
      <c r="D83" s="1028"/>
      <c r="E83" s="585" t="s">
        <v>839</v>
      </c>
      <c r="F83" s="464">
        <f>H77</f>
        <v>0.16025641025641027</v>
      </c>
      <c r="G83" s="585" t="s">
        <v>507</v>
      </c>
      <c r="H83" s="585">
        <v>1000</v>
      </c>
      <c r="I83" s="585" t="s">
        <v>506</v>
      </c>
      <c r="J83" s="586">
        <f>C83*F83/H83</f>
        <v>1.8429487179487181</v>
      </c>
      <c r="K83" s="456"/>
      <c r="L83" s="469"/>
    </row>
    <row r="84" spans="1:12" ht="15" thickBot="1" x14ac:dyDescent="0.25">
      <c r="A84" s="445"/>
      <c r="B84" s="457"/>
      <c r="C84" s="473"/>
      <c r="D84" s="473"/>
      <c r="E84" s="474"/>
      <c r="F84" s="475"/>
      <c r="G84" s="474"/>
      <c r="H84" s="474"/>
      <c r="I84" s="474"/>
      <c r="J84" s="476"/>
      <c r="K84" s="459"/>
      <c r="L84" s="469"/>
    </row>
    <row r="85" spans="1:12" ht="40.5" customHeight="1" x14ac:dyDescent="0.2">
      <c r="A85" s="445"/>
      <c r="B85" s="1029" t="s">
        <v>498</v>
      </c>
      <c r="C85" s="1029"/>
      <c r="D85" s="1029"/>
      <c r="E85" s="1029"/>
      <c r="F85" s="1029"/>
      <c r="G85" s="1029"/>
      <c r="H85" s="1029"/>
      <c r="I85" s="1029"/>
      <c r="J85" s="1029"/>
      <c r="K85" s="1029"/>
      <c r="L85" s="445"/>
    </row>
    <row r="86" spans="1:12" x14ac:dyDescent="0.2">
      <c r="A86" s="445"/>
      <c r="B86" s="1039" t="s">
        <v>538</v>
      </c>
      <c r="C86" s="1039"/>
      <c r="D86" s="1039"/>
      <c r="E86" s="1039"/>
      <c r="F86" s="1039"/>
      <c r="G86" s="1039"/>
      <c r="H86" s="1039"/>
      <c r="I86" s="1039"/>
      <c r="J86" s="1039"/>
      <c r="K86" s="1039"/>
      <c r="L86" s="445"/>
    </row>
    <row r="87" spans="1:12" x14ac:dyDescent="0.2">
      <c r="A87" s="445"/>
      <c r="B87" s="477"/>
      <c r="C87" s="477"/>
      <c r="D87" s="477"/>
      <c r="E87" s="477"/>
      <c r="F87" s="477"/>
      <c r="G87" s="477"/>
      <c r="H87" s="477"/>
      <c r="I87" s="477"/>
      <c r="J87" s="477"/>
      <c r="K87" s="477"/>
      <c r="L87" s="445"/>
    </row>
    <row r="88" spans="1:12" x14ac:dyDescent="0.2">
      <c r="A88" s="445"/>
      <c r="B88" s="1039" t="s">
        <v>539</v>
      </c>
      <c r="C88" s="1039"/>
      <c r="D88" s="1039"/>
      <c r="E88" s="1039"/>
      <c r="F88" s="1039"/>
      <c r="G88" s="1039"/>
      <c r="H88" s="1039"/>
      <c r="I88" s="1039"/>
      <c r="J88" s="1039"/>
      <c r="K88" s="1039"/>
      <c r="L88" s="445"/>
    </row>
    <row r="89" spans="1:12" x14ac:dyDescent="0.2">
      <c r="A89" s="445"/>
      <c r="B89" s="580"/>
      <c r="C89" s="580"/>
      <c r="D89" s="580"/>
      <c r="E89" s="580"/>
      <c r="F89" s="580"/>
      <c r="G89" s="580"/>
      <c r="H89" s="580"/>
      <c r="I89" s="580"/>
      <c r="J89" s="580"/>
      <c r="K89" s="580"/>
      <c r="L89" s="445"/>
    </row>
    <row r="90" spans="1:12" ht="45" customHeight="1" x14ac:dyDescent="0.2">
      <c r="A90" s="445"/>
      <c r="B90" s="1027" t="s">
        <v>540</v>
      </c>
      <c r="C90" s="1027"/>
      <c r="D90" s="1027"/>
      <c r="E90" s="1027"/>
      <c r="F90" s="1027"/>
      <c r="G90" s="1027"/>
      <c r="H90" s="1027"/>
      <c r="I90" s="1027"/>
      <c r="J90" s="1027"/>
      <c r="K90" s="1027"/>
      <c r="L90" s="445"/>
    </row>
    <row r="91" spans="1:12" ht="15" customHeight="1" thickBot="1" x14ac:dyDescent="0.25">
      <c r="A91" s="445"/>
      <c r="L91" s="445"/>
    </row>
    <row r="92" spans="1:12" ht="15" customHeight="1" x14ac:dyDescent="0.2">
      <c r="A92" s="445"/>
      <c r="B92" s="478" t="s">
        <v>502</v>
      </c>
      <c r="C92" s="479"/>
      <c r="D92" s="479"/>
      <c r="E92" s="479"/>
      <c r="F92" s="479"/>
      <c r="G92" s="479"/>
      <c r="H92" s="479"/>
      <c r="I92" s="479"/>
      <c r="J92" s="479"/>
      <c r="K92" s="480"/>
      <c r="L92" s="445"/>
    </row>
    <row r="93" spans="1:12" ht="15" customHeight="1" x14ac:dyDescent="0.2">
      <c r="A93" s="445"/>
      <c r="B93" s="481"/>
      <c r="C93" s="583" t="s">
        <v>508</v>
      </c>
      <c r="D93" s="583"/>
      <c r="E93" s="583"/>
      <c r="F93" s="583"/>
      <c r="G93" s="583"/>
      <c r="H93" s="583"/>
      <c r="I93" s="583"/>
      <c r="J93" s="583"/>
      <c r="K93" s="482"/>
      <c r="L93" s="445"/>
    </row>
    <row r="94" spans="1:12" ht="15" customHeight="1" x14ac:dyDescent="0.2">
      <c r="A94" s="445"/>
      <c r="B94" s="481" t="s">
        <v>529</v>
      </c>
      <c r="C94" s="1025">
        <v>312000000</v>
      </c>
      <c r="D94" s="1025"/>
      <c r="E94" s="585" t="s">
        <v>507</v>
      </c>
      <c r="F94" s="585">
        <v>1000</v>
      </c>
      <c r="G94" s="585" t="s">
        <v>506</v>
      </c>
      <c r="H94" s="578">
        <f>C94/F94</f>
        <v>312000</v>
      </c>
      <c r="I94" s="583" t="s">
        <v>530</v>
      </c>
      <c r="J94" s="583"/>
      <c r="K94" s="482"/>
      <c r="L94" s="445"/>
    </row>
    <row r="95" spans="1:12" ht="15" customHeight="1" x14ac:dyDescent="0.2">
      <c r="A95" s="445"/>
      <c r="B95" s="481"/>
      <c r="C95" s="583"/>
      <c r="D95" s="583"/>
      <c r="E95" s="585"/>
      <c r="F95" s="583"/>
      <c r="G95" s="583"/>
      <c r="H95" s="583"/>
      <c r="I95" s="583"/>
      <c r="J95" s="583"/>
      <c r="K95" s="482"/>
      <c r="L95" s="445"/>
    </row>
    <row r="96" spans="1:12" ht="15" customHeight="1" x14ac:dyDescent="0.2">
      <c r="A96" s="445"/>
      <c r="B96" s="481"/>
      <c r="C96" s="583" t="s">
        <v>531</v>
      </c>
      <c r="D96" s="583"/>
      <c r="E96" s="585"/>
      <c r="F96" s="583" t="s">
        <v>530</v>
      </c>
      <c r="G96" s="583"/>
      <c r="H96" s="583"/>
      <c r="I96" s="583"/>
      <c r="J96" s="583"/>
      <c r="K96" s="482"/>
      <c r="L96" s="445"/>
    </row>
    <row r="97" spans="1:12" ht="15" customHeight="1" x14ac:dyDescent="0.2">
      <c r="A97" s="445"/>
      <c r="B97" s="481" t="s">
        <v>534</v>
      </c>
      <c r="C97" s="1025">
        <v>50000</v>
      </c>
      <c r="D97" s="1025"/>
      <c r="E97" s="585" t="s">
        <v>507</v>
      </c>
      <c r="F97" s="578">
        <f>H94</f>
        <v>312000</v>
      </c>
      <c r="G97" s="585" t="s">
        <v>506</v>
      </c>
      <c r="H97" s="464">
        <f>C97/F97</f>
        <v>0.16025641025641027</v>
      </c>
      <c r="I97" s="583" t="s">
        <v>532</v>
      </c>
      <c r="J97" s="583"/>
      <c r="K97" s="482"/>
      <c r="L97" s="445"/>
    </row>
    <row r="98" spans="1:12" ht="15" customHeight="1" x14ac:dyDescent="0.2">
      <c r="A98" s="445"/>
      <c r="B98" s="481"/>
      <c r="C98" s="583"/>
      <c r="D98" s="583"/>
      <c r="E98" s="585"/>
      <c r="F98" s="583"/>
      <c r="G98" s="583"/>
      <c r="H98" s="583"/>
      <c r="I98" s="583"/>
      <c r="J98" s="583"/>
      <c r="K98" s="482"/>
      <c r="L98" s="445"/>
    </row>
    <row r="99" spans="1:12" ht="15" customHeight="1" x14ac:dyDescent="0.2">
      <c r="A99" s="445"/>
      <c r="B99" s="483"/>
      <c r="C99" s="484" t="s">
        <v>541</v>
      </c>
      <c r="D99" s="484"/>
      <c r="E99" s="579"/>
      <c r="F99" s="484"/>
      <c r="G99" s="484"/>
      <c r="H99" s="484"/>
      <c r="I99" s="484"/>
      <c r="J99" s="484"/>
      <c r="K99" s="485"/>
      <c r="L99" s="445"/>
    </row>
    <row r="100" spans="1:12" ht="15" customHeight="1" x14ac:dyDescent="0.2">
      <c r="A100" s="445"/>
      <c r="B100" s="481" t="s">
        <v>629</v>
      </c>
      <c r="C100" s="1025">
        <v>2500000</v>
      </c>
      <c r="D100" s="1025"/>
      <c r="E100" s="585" t="s">
        <v>839</v>
      </c>
      <c r="F100" s="486">
        <v>0.3</v>
      </c>
      <c r="G100" s="585" t="s">
        <v>506</v>
      </c>
      <c r="H100" s="578">
        <f>C100*F100</f>
        <v>750000</v>
      </c>
      <c r="I100" s="583" t="s">
        <v>535</v>
      </c>
      <c r="J100" s="583"/>
      <c r="K100" s="482"/>
      <c r="L100" s="445"/>
    </row>
    <row r="101" spans="1:12" ht="15" customHeight="1" x14ac:dyDescent="0.2">
      <c r="A101" s="445"/>
      <c r="B101" s="481"/>
      <c r="C101" s="583"/>
      <c r="D101" s="583"/>
      <c r="E101" s="585"/>
      <c r="F101" s="583"/>
      <c r="G101" s="583"/>
      <c r="H101" s="583"/>
      <c r="I101" s="583"/>
      <c r="J101" s="583"/>
      <c r="K101" s="482"/>
      <c r="L101" s="445"/>
    </row>
    <row r="102" spans="1:12" ht="15" customHeight="1" x14ac:dyDescent="0.2">
      <c r="A102" s="445"/>
      <c r="B102" s="483"/>
      <c r="C102" s="484" t="s">
        <v>536</v>
      </c>
      <c r="D102" s="484"/>
      <c r="E102" s="579"/>
      <c r="F102" s="484" t="s">
        <v>532</v>
      </c>
      <c r="G102" s="484"/>
      <c r="H102" s="484"/>
      <c r="I102" s="484"/>
      <c r="J102" s="484" t="s">
        <v>537</v>
      </c>
      <c r="K102" s="485"/>
      <c r="L102" s="445"/>
    </row>
    <row r="103" spans="1:12" ht="15" customHeight="1" x14ac:dyDescent="0.2">
      <c r="A103" s="445"/>
      <c r="B103" s="481" t="s">
        <v>630</v>
      </c>
      <c r="C103" s="1028">
        <f>H100</f>
        <v>750000</v>
      </c>
      <c r="D103" s="1028"/>
      <c r="E103" s="585" t="s">
        <v>839</v>
      </c>
      <c r="F103" s="464">
        <f>H97</f>
        <v>0.16025641025641027</v>
      </c>
      <c r="G103" s="585" t="s">
        <v>507</v>
      </c>
      <c r="H103" s="585">
        <v>1000</v>
      </c>
      <c r="I103" s="585" t="s">
        <v>506</v>
      </c>
      <c r="J103" s="586">
        <f>C103*F103/H103</f>
        <v>120.19230769230771</v>
      </c>
      <c r="K103" s="482"/>
      <c r="L103" s="445"/>
    </row>
    <row r="104" spans="1:12" ht="15" customHeight="1" thickBot="1" x14ac:dyDescent="0.25">
      <c r="A104" s="445"/>
      <c r="B104" s="487"/>
      <c r="C104" s="473"/>
      <c r="D104" s="473"/>
      <c r="E104" s="474"/>
      <c r="F104" s="475"/>
      <c r="G104" s="474"/>
      <c r="H104" s="474"/>
      <c r="I104" s="474"/>
      <c r="J104" s="476"/>
      <c r="K104" s="584"/>
      <c r="L104" s="445"/>
    </row>
    <row r="105" spans="1:12" ht="40.5" customHeight="1" x14ac:dyDescent="0.2">
      <c r="A105" s="445"/>
      <c r="B105" s="1029" t="s">
        <v>498</v>
      </c>
      <c r="C105" s="1030"/>
      <c r="D105" s="1030"/>
      <c r="E105" s="1030"/>
      <c r="F105" s="1030"/>
      <c r="G105" s="1030"/>
      <c r="H105" s="1030"/>
      <c r="I105" s="1030"/>
      <c r="J105" s="1030"/>
      <c r="K105" s="1030"/>
      <c r="L105" s="445"/>
    </row>
    <row r="106" spans="1:12" ht="15" customHeight="1" x14ac:dyDescent="0.2">
      <c r="A106" s="445"/>
      <c r="B106" s="1021" t="s">
        <v>542</v>
      </c>
      <c r="C106" s="1031"/>
      <c r="D106" s="1031"/>
      <c r="E106" s="1031"/>
      <c r="F106" s="1031"/>
      <c r="G106" s="1031"/>
      <c r="H106" s="1031"/>
      <c r="I106" s="1031"/>
      <c r="J106" s="1031"/>
      <c r="K106" s="1031"/>
      <c r="L106" s="445"/>
    </row>
    <row r="107" spans="1:12" ht="15" customHeight="1" x14ac:dyDescent="0.2">
      <c r="A107" s="445"/>
      <c r="B107" s="583"/>
      <c r="C107" s="488"/>
      <c r="D107" s="488"/>
      <c r="E107" s="585"/>
      <c r="F107" s="464"/>
      <c r="G107" s="585"/>
      <c r="H107" s="585"/>
      <c r="I107" s="585"/>
      <c r="J107" s="586"/>
      <c r="K107" s="583"/>
      <c r="L107" s="445"/>
    </row>
    <row r="108" spans="1:12" ht="15" customHeight="1" x14ac:dyDescent="0.2">
      <c r="A108" s="445"/>
      <c r="B108" s="1021" t="s">
        <v>543</v>
      </c>
      <c r="C108" s="1022"/>
      <c r="D108" s="1022"/>
      <c r="E108" s="1022"/>
      <c r="F108" s="1022"/>
      <c r="G108" s="1022"/>
      <c r="H108" s="1022"/>
      <c r="I108" s="1022"/>
      <c r="J108" s="1022"/>
      <c r="K108" s="1022"/>
      <c r="L108" s="445"/>
    </row>
    <row r="109" spans="1:12" ht="15" customHeight="1" x14ac:dyDescent="0.2">
      <c r="A109" s="445"/>
      <c r="B109" s="583"/>
      <c r="C109" s="488"/>
      <c r="D109" s="488"/>
      <c r="E109" s="585"/>
      <c r="F109" s="464"/>
      <c r="G109" s="585"/>
      <c r="H109" s="585"/>
      <c r="I109" s="585"/>
      <c r="J109" s="586"/>
      <c r="K109" s="583"/>
      <c r="L109" s="445"/>
    </row>
    <row r="110" spans="1:12" ht="59.25" customHeight="1" x14ac:dyDescent="0.2">
      <c r="A110" s="445"/>
      <c r="B110" s="1023" t="s">
        <v>544</v>
      </c>
      <c r="C110" s="1024"/>
      <c r="D110" s="1024"/>
      <c r="E110" s="1024"/>
      <c r="F110" s="1024"/>
      <c r="G110" s="1024"/>
      <c r="H110" s="1024"/>
      <c r="I110" s="1024"/>
      <c r="J110" s="1024"/>
      <c r="K110" s="1024"/>
      <c r="L110" s="445"/>
    </row>
    <row r="111" spans="1:12" ht="15" thickBot="1" x14ac:dyDescent="0.25">
      <c r="A111" s="445"/>
      <c r="B111" s="581"/>
      <c r="C111" s="581"/>
      <c r="D111" s="581"/>
      <c r="E111" s="581"/>
      <c r="F111" s="581"/>
      <c r="G111" s="581"/>
      <c r="H111" s="581"/>
      <c r="I111" s="581"/>
      <c r="J111" s="581"/>
      <c r="K111" s="581"/>
      <c r="L111" s="489"/>
    </row>
    <row r="112" spans="1:12" x14ac:dyDescent="0.2">
      <c r="A112" s="445"/>
      <c r="B112" s="450" t="s">
        <v>502</v>
      </c>
      <c r="C112" s="451"/>
      <c r="D112" s="451"/>
      <c r="E112" s="451"/>
      <c r="F112" s="451"/>
      <c r="G112" s="451"/>
      <c r="H112" s="451"/>
      <c r="I112" s="451"/>
      <c r="J112" s="451"/>
      <c r="K112" s="452"/>
      <c r="L112" s="445"/>
    </row>
    <row r="113" spans="1:12" x14ac:dyDescent="0.2">
      <c r="A113" s="445"/>
      <c r="B113" s="462"/>
      <c r="C113" s="454" t="s">
        <v>508</v>
      </c>
      <c r="D113" s="454"/>
      <c r="E113" s="454"/>
      <c r="F113" s="454"/>
      <c r="G113" s="454"/>
      <c r="H113" s="454"/>
      <c r="I113" s="454"/>
      <c r="J113" s="454"/>
      <c r="K113" s="456"/>
      <c r="L113" s="445"/>
    </row>
    <row r="114" spans="1:12" x14ac:dyDescent="0.2">
      <c r="A114" s="445"/>
      <c r="B114" s="462" t="s">
        <v>529</v>
      </c>
      <c r="C114" s="1025">
        <v>312000000</v>
      </c>
      <c r="D114" s="1025"/>
      <c r="E114" s="585" t="s">
        <v>507</v>
      </c>
      <c r="F114" s="585">
        <v>1000</v>
      </c>
      <c r="G114" s="585" t="s">
        <v>506</v>
      </c>
      <c r="H114" s="578">
        <f>C114/F114</f>
        <v>312000</v>
      </c>
      <c r="I114" s="454" t="s">
        <v>530</v>
      </c>
      <c r="J114" s="454"/>
      <c r="K114" s="456"/>
      <c r="L114" s="445"/>
    </row>
    <row r="115" spans="1:12" x14ac:dyDescent="0.2">
      <c r="A115" s="445"/>
      <c r="B115" s="462"/>
      <c r="C115" s="454"/>
      <c r="D115" s="454"/>
      <c r="E115" s="585"/>
      <c r="F115" s="454"/>
      <c r="G115" s="454"/>
      <c r="H115" s="454"/>
      <c r="I115" s="454"/>
      <c r="J115" s="454"/>
      <c r="K115" s="456"/>
      <c r="L115" s="445"/>
    </row>
    <row r="116" spans="1:12" x14ac:dyDescent="0.2">
      <c r="A116" s="445"/>
      <c r="B116" s="462"/>
      <c r="C116" s="454" t="s">
        <v>531</v>
      </c>
      <c r="D116" s="454"/>
      <c r="E116" s="585"/>
      <c r="F116" s="454" t="s">
        <v>530</v>
      </c>
      <c r="G116" s="454"/>
      <c r="H116" s="454"/>
      <c r="I116" s="454"/>
      <c r="J116" s="454"/>
      <c r="K116" s="456"/>
      <c r="L116" s="445"/>
    </row>
    <row r="117" spans="1:12" x14ac:dyDescent="0.2">
      <c r="A117" s="445"/>
      <c r="B117" s="462" t="s">
        <v>534</v>
      </c>
      <c r="C117" s="1025">
        <v>50000</v>
      </c>
      <c r="D117" s="1025"/>
      <c r="E117" s="585" t="s">
        <v>507</v>
      </c>
      <c r="F117" s="578">
        <f>H114</f>
        <v>312000</v>
      </c>
      <c r="G117" s="585" t="s">
        <v>506</v>
      </c>
      <c r="H117" s="464">
        <f>C117/F117</f>
        <v>0.16025641025641027</v>
      </c>
      <c r="I117" s="454" t="s">
        <v>532</v>
      </c>
      <c r="J117" s="454"/>
      <c r="K117" s="456"/>
      <c r="L117" s="445"/>
    </row>
    <row r="118" spans="1:12" x14ac:dyDescent="0.2">
      <c r="A118" s="445"/>
      <c r="B118" s="462"/>
      <c r="C118" s="454"/>
      <c r="D118" s="454"/>
      <c r="E118" s="585"/>
      <c r="F118" s="454"/>
      <c r="G118" s="454"/>
      <c r="H118" s="454"/>
      <c r="I118" s="454"/>
      <c r="J118" s="454"/>
      <c r="K118" s="456"/>
      <c r="L118" s="445"/>
    </row>
    <row r="119" spans="1:12" x14ac:dyDescent="0.2">
      <c r="A119" s="445"/>
      <c r="B119" s="470"/>
      <c r="C119" s="471" t="s">
        <v>541</v>
      </c>
      <c r="D119" s="471"/>
      <c r="E119" s="579"/>
      <c r="F119" s="471"/>
      <c r="G119" s="471"/>
      <c r="H119" s="471"/>
      <c r="I119" s="471"/>
      <c r="J119" s="471"/>
      <c r="K119" s="472"/>
      <c r="L119" s="445"/>
    </row>
    <row r="120" spans="1:12" x14ac:dyDescent="0.2">
      <c r="A120" s="445"/>
      <c r="B120" s="462" t="s">
        <v>629</v>
      </c>
      <c r="C120" s="1025">
        <v>2500000</v>
      </c>
      <c r="D120" s="1025"/>
      <c r="E120" s="585" t="s">
        <v>839</v>
      </c>
      <c r="F120" s="486">
        <v>0.25</v>
      </c>
      <c r="G120" s="585" t="s">
        <v>506</v>
      </c>
      <c r="H120" s="578">
        <f>C120*F120</f>
        <v>625000</v>
      </c>
      <c r="I120" s="454" t="s">
        <v>535</v>
      </c>
      <c r="J120" s="454"/>
      <c r="K120" s="456"/>
      <c r="L120" s="445"/>
    </row>
    <row r="121" spans="1:12" x14ac:dyDescent="0.2">
      <c r="A121" s="445"/>
      <c r="B121" s="462"/>
      <c r="C121" s="454"/>
      <c r="D121" s="454"/>
      <c r="E121" s="585"/>
      <c r="F121" s="454"/>
      <c r="G121" s="454"/>
      <c r="H121" s="454"/>
      <c r="I121" s="454"/>
      <c r="J121" s="454"/>
      <c r="K121" s="456"/>
      <c r="L121" s="445"/>
    </row>
    <row r="122" spans="1:12" x14ac:dyDescent="0.2">
      <c r="A122" s="445"/>
      <c r="B122" s="470"/>
      <c r="C122" s="471" t="s">
        <v>536</v>
      </c>
      <c r="D122" s="471"/>
      <c r="E122" s="579"/>
      <c r="F122" s="471" t="s">
        <v>532</v>
      </c>
      <c r="G122" s="471"/>
      <c r="H122" s="471"/>
      <c r="I122" s="471"/>
      <c r="J122" s="471" t="s">
        <v>537</v>
      </c>
      <c r="K122" s="472"/>
      <c r="L122" s="445"/>
    </row>
    <row r="123" spans="1:12" x14ac:dyDescent="0.2">
      <c r="A123" s="445"/>
      <c r="B123" s="462" t="s">
        <v>630</v>
      </c>
      <c r="C123" s="1028">
        <f>H120</f>
        <v>625000</v>
      </c>
      <c r="D123" s="1028"/>
      <c r="E123" s="585" t="s">
        <v>839</v>
      </c>
      <c r="F123" s="464">
        <f>H117</f>
        <v>0.16025641025641027</v>
      </c>
      <c r="G123" s="585" t="s">
        <v>507</v>
      </c>
      <c r="H123" s="585">
        <v>1000</v>
      </c>
      <c r="I123" s="585" t="s">
        <v>506</v>
      </c>
      <c r="J123" s="586">
        <f>C123*F123/H123</f>
        <v>100.16025641025642</v>
      </c>
      <c r="K123" s="456"/>
      <c r="L123" s="445"/>
    </row>
    <row r="124" spans="1:12" ht="15" thickBot="1" x14ac:dyDescent="0.25">
      <c r="A124" s="445"/>
      <c r="B124" s="457"/>
      <c r="C124" s="473"/>
      <c r="D124" s="473"/>
      <c r="E124" s="474"/>
      <c r="F124" s="475"/>
      <c r="G124" s="474"/>
      <c r="H124" s="474"/>
      <c r="I124" s="474"/>
      <c r="J124" s="476"/>
      <c r="K124" s="459"/>
      <c r="L124" s="445"/>
    </row>
    <row r="125" spans="1:12" ht="40.5" customHeight="1" x14ac:dyDescent="0.2">
      <c r="A125" s="445"/>
      <c r="B125" s="1029" t="s">
        <v>498</v>
      </c>
      <c r="C125" s="1029"/>
      <c r="D125" s="1029"/>
      <c r="E125" s="1029"/>
      <c r="F125" s="1029"/>
      <c r="G125" s="1029"/>
      <c r="H125" s="1029"/>
      <c r="I125" s="1029"/>
      <c r="J125" s="1029"/>
      <c r="K125" s="1029"/>
      <c r="L125" s="489"/>
    </row>
    <row r="126" spans="1:12" x14ac:dyDescent="0.2">
      <c r="A126" s="445"/>
      <c r="B126" s="1039" t="s">
        <v>545</v>
      </c>
      <c r="C126" s="1039"/>
      <c r="D126" s="1039"/>
      <c r="E126" s="1039"/>
      <c r="F126" s="1039"/>
      <c r="G126" s="1039"/>
      <c r="H126" s="1039"/>
      <c r="I126" s="1039"/>
      <c r="J126" s="1039"/>
      <c r="K126" s="1039"/>
      <c r="L126" s="489"/>
    </row>
    <row r="127" spans="1:12" x14ac:dyDescent="0.2">
      <c r="A127" s="445"/>
      <c r="B127" s="581"/>
      <c r="C127" s="581"/>
      <c r="D127" s="581"/>
      <c r="E127" s="581"/>
      <c r="F127" s="581"/>
      <c r="G127" s="581"/>
      <c r="H127" s="581"/>
      <c r="I127" s="581"/>
      <c r="J127" s="581"/>
      <c r="K127" s="581"/>
      <c r="L127" s="489"/>
    </row>
    <row r="128" spans="1:12" x14ac:dyDescent="0.2">
      <c r="A128" s="445"/>
      <c r="B128" s="1039" t="s">
        <v>546</v>
      </c>
      <c r="C128" s="1039"/>
      <c r="D128" s="1039"/>
      <c r="E128" s="1039"/>
      <c r="F128" s="1039"/>
      <c r="G128" s="1039"/>
      <c r="H128" s="1039"/>
      <c r="I128" s="1039"/>
      <c r="J128" s="1039"/>
      <c r="K128" s="1039"/>
      <c r="L128" s="489"/>
    </row>
    <row r="129" spans="1:12" x14ac:dyDescent="0.2">
      <c r="A129" s="445"/>
      <c r="B129" s="580"/>
      <c r="C129" s="580"/>
      <c r="D129" s="580"/>
      <c r="E129" s="580"/>
      <c r="F129" s="580"/>
      <c r="G129" s="580"/>
      <c r="H129" s="580"/>
      <c r="I129" s="580"/>
      <c r="J129" s="580"/>
      <c r="K129" s="580"/>
      <c r="L129" s="489"/>
    </row>
    <row r="130" spans="1:12" ht="74.25" customHeight="1" x14ac:dyDescent="0.2">
      <c r="A130" s="445"/>
      <c r="B130" s="1027" t="s">
        <v>631</v>
      </c>
      <c r="C130" s="1027"/>
      <c r="D130" s="1027"/>
      <c r="E130" s="1027"/>
      <c r="F130" s="1027"/>
      <c r="G130" s="1027"/>
      <c r="H130" s="1027"/>
      <c r="I130" s="1027"/>
      <c r="J130" s="1027"/>
      <c r="K130" s="1027"/>
      <c r="L130" s="489"/>
    </row>
    <row r="131" spans="1:12" ht="15" thickBot="1" x14ac:dyDescent="0.25">
      <c r="A131" s="445"/>
      <c r="L131" s="445"/>
    </row>
    <row r="132" spans="1:12" x14ac:dyDescent="0.2">
      <c r="A132" s="445"/>
      <c r="B132" s="450" t="s">
        <v>502</v>
      </c>
      <c r="C132" s="451"/>
      <c r="D132" s="451"/>
      <c r="E132" s="451"/>
      <c r="F132" s="451"/>
      <c r="G132" s="451"/>
      <c r="H132" s="451"/>
      <c r="I132" s="451"/>
      <c r="J132" s="451"/>
      <c r="K132" s="452"/>
      <c r="L132" s="445"/>
    </row>
    <row r="133" spans="1:12" x14ac:dyDescent="0.2">
      <c r="A133" s="445"/>
      <c r="B133" s="462"/>
      <c r="C133" s="1046" t="s">
        <v>547</v>
      </c>
      <c r="D133" s="1046"/>
      <c r="E133" s="454"/>
      <c r="F133" s="585" t="s">
        <v>548</v>
      </c>
      <c r="G133" s="454"/>
      <c r="H133" s="1046" t="s">
        <v>535</v>
      </c>
      <c r="I133" s="1046"/>
      <c r="J133" s="454"/>
      <c r="K133" s="456"/>
      <c r="L133" s="445"/>
    </row>
    <row r="134" spans="1:12" x14ac:dyDescent="0.2">
      <c r="A134" s="445"/>
      <c r="B134" s="462" t="s">
        <v>529</v>
      </c>
      <c r="C134" s="1025">
        <v>100000</v>
      </c>
      <c r="D134" s="1025"/>
      <c r="E134" s="585" t="s">
        <v>839</v>
      </c>
      <c r="F134" s="585">
        <v>0.115</v>
      </c>
      <c r="G134" s="585" t="s">
        <v>506</v>
      </c>
      <c r="H134" s="1047">
        <f>C134*F134</f>
        <v>11500</v>
      </c>
      <c r="I134" s="1047"/>
      <c r="J134" s="454"/>
      <c r="K134" s="456"/>
      <c r="L134" s="445"/>
    </row>
    <row r="135" spans="1:12" x14ac:dyDescent="0.2">
      <c r="A135" s="445"/>
      <c r="B135" s="462"/>
      <c r="C135" s="454"/>
      <c r="D135" s="454"/>
      <c r="E135" s="454"/>
      <c r="F135" s="454"/>
      <c r="G135" s="454"/>
      <c r="H135" s="454"/>
      <c r="I135" s="454"/>
      <c r="J135" s="454"/>
      <c r="K135" s="456"/>
      <c r="L135" s="445"/>
    </row>
    <row r="136" spans="1:12" x14ac:dyDescent="0.2">
      <c r="A136" s="445"/>
      <c r="B136" s="470"/>
      <c r="C136" s="1026" t="s">
        <v>535</v>
      </c>
      <c r="D136" s="1026"/>
      <c r="E136" s="471"/>
      <c r="F136" s="579" t="s">
        <v>549</v>
      </c>
      <c r="G136" s="579"/>
      <c r="H136" s="471"/>
      <c r="I136" s="471"/>
      <c r="J136" s="471" t="s">
        <v>550</v>
      </c>
      <c r="K136" s="472"/>
      <c r="L136" s="445"/>
    </row>
    <row r="137" spans="1:12" x14ac:dyDescent="0.2">
      <c r="A137" s="445"/>
      <c r="B137" s="462" t="s">
        <v>534</v>
      </c>
      <c r="C137" s="1047">
        <f>H134</f>
        <v>11500</v>
      </c>
      <c r="D137" s="1047"/>
      <c r="E137" s="585" t="s">
        <v>839</v>
      </c>
      <c r="F137" s="490">
        <v>52.869</v>
      </c>
      <c r="G137" s="585" t="s">
        <v>507</v>
      </c>
      <c r="H137" s="585">
        <v>1000</v>
      </c>
      <c r="I137" s="585" t="s">
        <v>506</v>
      </c>
      <c r="J137" s="491">
        <f>C137*F137/H137</f>
        <v>607.99350000000004</v>
      </c>
      <c r="K137" s="456"/>
      <c r="L137" s="445"/>
    </row>
    <row r="138" spans="1:12" ht="15" thickBot="1" x14ac:dyDescent="0.25">
      <c r="A138" s="445"/>
      <c r="B138" s="457"/>
      <c r="C138" s="562"/>
      <c r="D138" s="562"/>
      <c r="E138" s="474"/>
      <c r="F138" s="563"/>
      <c r="G138" s="474"/>
      <c r="H138" s="474"/>
      <c r="I138" s="474"/>
      <c r="J138" s="564"/>
      <c r="K138" s="459"/>
      <c r="L138" s="445"/>
    </row>
    <row r="139" spans="1:12" ht="40.5" customHeight="1" x14ac:dyDescent="0.2">
      <c r="A139" s="445"/>
      <c r="B139" s="549" t="s">
        <v>498</v>
      </c>
      <c r="C139" s="550"/>
      <c r="D139" s="550"/>
      <c r="E139" s="551"/>
      <c r="F139" s="552"/>
      <c r="G139" s="551"/>
      <c r="H139" s="551"/>
      <c r="I139" s="551"/>
      <c r="J139" s="553"/>
      <c r="K139" s="554"/>
      <c r="L139" s="445"/>
    </row>
    <row r="140" spans="1:12" x14ac:dyDescent="0.2">
      <c r="A140" s="445"/>
      <c r="B140" s="555" t="s">
        <v>632</v>
      </c>
      <c r="C140" s="556"/>
      <c r="D140" s="556"/>
      <c r="E140" s="557"/>
      <c r="F140" s="558"/>
      <c r="G140" s="557"/>
      <c r="H140" s="557"/>
      <c r="I140" s="557"/>
      <c r="J140" s="559"/>
      <c r="K140" s="560"/>
      <c r="L140" s="445"/>
    </row>
    <row r="141" spans="1:12" x14ac:dyDescent="0.2">
      <c r="A141" s="445"/>
      <c r="B141" s="462"/>
      <c r="C141" s="578"/>
      <c r="D141" s="578"/>
      <c r="E141" s="585"/>
      <c r="F141" s="565"/>
      <c r="G141" s="585"/>
      <c r="H141" s="585"/>
      <c r="I141" s="585"/>
      <c r="J141" s="491"/>
      <c r="K141" s="456"/>
      <c r="L141" s="445"/>
    </row>
    <row r="142" spans="1:12" x14ac:dyDescent="0.2">
      <c r="A142" s="445"/>
      <c r="B142" s="555" t="s">
        <v>633</v>
      </c>
      <c r="C142" s="556"/>
      <c r="D142" s="556"/>
      <c r="E142" s="557"/>
      <c r="F142" s="558"/>
      <c r="G142" s="557"/>
      <c r="H142" s="557"/>
      <c r="I142" s="557"/>
      <c r="J142" s="559"/>
      <c r="K142" s="560"/>
      <c r="L142" s="445"/>
    </row>
    <row r="143" spans="1:12" x14ac:dyDescent="0.2">
      <c r="A143" s="445"/>
      <c r="B143" s="462"/>
      <c r="C143" s="578"/>
      <c r="D143" s="578"/>
      <c r="E143" s="585"/>
      <c r="F143" s="565"/>
      <c r="G143" s="585"/>
      <c r="H143" s="585"/>
      <c r="I143" s="585"/>
      <c r="J143" s="491"/>
      <c r="K143" s="456"/>
      <c r="L143" s="445"/>
    </row>
    <row r="144" spans="1:12" ht="76.5" customHeight="1" x14ac:dyDescent="0.2">
      <c r="A144" s="445"/>
      <c r="B144" s="1048" t="s">
        <v>634</v>
      </c>
      <c r="C144" s="1049"/>
      <c r="D144" s="1049"/>
      <c r="E144" s="1049"/>
      <c r="F144" s="1049"/>
      <c r="G144" s="1049"/>
      <c r="H144" s="1049"/>
      <c r="I144" s="1049"/>
      <c r="J144" s="1049"/>
      <c r="K144" s="1050"/>
      <c r="L144" s="445"/>
    </row>
    <row r="145" spans="1:12" ht="15" thickBot="1" x14ac:dyDescent="0.25">
      <c r="A145" s="445"/>
      <c r="B145" s="462"/>
      <c r="C145" s="578"/>
      <c r="D145" s="578"/>
      <c r="E145" s="585"/>
      <c r="F145" s="565"/>
      <c r="G145" s="585"/>
      <c r="H145" s="585"/>
      <c r="I145" s="585"/>
      <c r="J145" s="491"/>
      <c r="K145" s="456"/>
      <c r="L145" s="445"/>
    </row>
    <row r="146" spans="1:12" x14ac:dyDescent="0.2">
      <c r="A146" s="445"/>
      <c r="B146" s="450" t="s">
        <v>502</v>
      </c>
      <c r="C146" s="566"/>
      <c r="D146" s="566"/>
      <c r="E146" s="567"/>
      <c r="F146" s="568"/>
      <c r="G146" s="567"/>
      <c r="H146" s="567"/>
      <c r="I146" s="567"/>
      <c r="J146" s="569"/>
      <c r="K146" s="452"/>
      <c r="L146" s="445"/>
    </row>
    <row r="147" spans="1:12" x14ac:dyDescent="0.2">
      <c r="A147" s="445"/>
      <c r="B147" s="462"/>
      <c r="C147" s="1047" t="s">
        <v>635</v>
      </c>
      <c r="D147" s="1047"/>
      <c r="E147" s="585"/>
      <c r="F147" s="565" t="s">
        <v>636</v>
      </c>
      <c r="G147" s="585"/>
      <c r="H147" s="585"/>
      <c r="I147" s="585"/>
      <c r="J147" s="1044" t="s">
        <v>637</v>
      </c>
      <c r="K147" s="1051"/>
      <c r="L147" s="445"/>
    </row>
    <row r="148" spans="1:12" x14ac:dyDescent="0.2">
      <c r="A148" s="445"/>
      <c r="B148" s="462"/>
      <c r="C148" s="1043">
        <v>52.869</v>
      </c>
      <c r="D148" s="1043"/>
      <c r="E148" s="585" t="s">
        <v>839</v>
      </c>
      <c r="F148" s="577">
        <v>312000000</v>
      </c>
      <c r="G148" s="570" t="s">
        <v>507</v>
      </c>
      <c r="H148" s="585">
        <v>1000</v>
      </c>
      <c r="I148" s="585" t="s">
        <v>506</v>
      </c>
      <c r="J148" s="1044">
        <f>C148*(F148/1000)</f>
        <v>16495128</v>
      </c>
      <c r="K148" s="1045"/>
      <c r="L148" s="445"/>
    </row>
    <row r="149" spans="1:12" ht="15" thickBot="1" x14ac:dyDescent="0.25">
      <c r="A149" s="445"/>
      <c r="B149" s="457"/>
      <c r="C149" s="562"/>
      <c r="D149" s="562"/>
      <c r="E149" s="474"/>
      <c r="F149" s="563"/>
      <c r="G149" s="474"/>
      <c r="H149" s="474"/>
      <c r="I149" s="474"/>
      <c r="J149" s="564"/>
      <c r="K149" s="459"/>
      <c r="L149" s="445"/>
    </row>
    <row r="150" spans="1:12" ht="15" thickBot="1" x14ac:dyDescent="0.25">
      <c r="A150" s="445"/>
      <c r="B150" s="457"/>
      <c r="C150" s="458"/>
      <c r="D150" s="458"/>
      <c r="E150" s="458"/>
      <c r="F150" s="458"/>
      <c r="G150" s="458"/>
      <c r="H150" s="458"/>
      <c r="I150" s="458"/>
      <c r="J150" s="458"/>
      <c r="K150" s="459"/>
      <c r="L150" s="445"/>
    </row>
    <row r="151" spans="1:12" x14ac:dyDescent="0.2">
      <c r="A151" s="445"/>
      <c r="B151" s="445"/>
      <c r="C151" s="445"/>
      <c r="D151" s="445"/>
      <c r="E151" s="445"/>
      <c r="F151" s="445"/>
      <c r="G151" s="445"/>
      <c r="H151" s="445"/>
      <c r="I151" s="445"/>
      <c r="J151" s="445"/>
      <c r="K151" s="445"/>
      <c r="L151" s="445"/>
    </row>
    <row r="152" spans="1:12" x14ac:dyDescent="0.2">
      <c r="A152" s="445"/>
      <c r="B152" s="445"/>
      <c r="C152" s="445"/>
      <c r="D152" s="445"/>
      <c r="E152" s="445"/>
      <c r="F152" s="445"/>
      <c r="G152" s="445"/>
      <c r="H152" s="445"/>
      <c r="I152" s="445"/>
      <c r="J152" s="445"/>
      <c r="K152" s="445"/>
      <c r="L152" s="445"/>
    </row>
    <row r="153" spans="1:12" x14ac:dyDescent="0.2">
      <c r="A153" s="445"/>
      <c r="B153" s="445"/>
      <c r="C153" s="445"/>
      <c r="D153" s="445"/>
      <c r="E153" s="445"/>
      <c r="F153" s="445"/>
      <c r="G153" s="445"/>
      <c r="H153" s="445"/>
      <c r="I153" s="445"/>
      <c r="J153" s="445"/>
      <c r="K153" s="445"/>
      <c r="L153" s="445"/>
    </row>
    <row r="154" spans="1:12" x14ac:dyDescent="0.2">
      <c r="A154" s="492"/>
      <c r="B154" s="492"/>
      <c r="C154" s="492"/>
      <c r="D154" s="492"/>
      <c r="E154" s="492"/>
      <c r="F154" s="492"/>
      <c r="G154" s="492"/>
      <c r="H154" s="492"/>
      <c r="I154" s="492"/>
      <c r="J154" s="492"/>
      <c r="K154" s="492"/>
      <c r="L154" s="492"/>
    </row>
    <row r="155" spans="1:12" x14ac:dyDescent="0.2">
      <c r="A155" s="492"/>
      <c r="B155" s="492"/>
      <c r="C155" s="492"/>
      <c r="D155" s="492"/>
      <c r="E155" s="492"/>
      <c r="F155" s="492"/>
      <c r="G155" s="492"/>
      <c r="H155" s="492"/>
      <c r="I155" s="492"/>
      <c r="J155" s="492"/>
      <c r="K155" s="492"/>
      <c r="L155" s="492"/>
    </row>
    <row r="156" spans="1:12" x14ac:dyDescent="0.2">
      <c r="A156" s="492"/>
      <c r="B156" s="492"/>
      <c r="C156" s="492"/>
      <c r="D156" s="492"/>
      <c r="E156" s="492"/>
      <c r="F156" s="492"/>
      <c r="G156" s="492"/>
      <c r="H156" s="492"/>
      <c r="I156" s="492"/>
      <c r="J156" s="492"/>
      <c r="K156" s="492"/>
      <c r="L156" s="492"/>
    </row>
    <row r="157" spans="1:12" x14ac:dyDescent="0.2">
      <c r="A157" s="492"/>
      <c r="B157" s="492"/>
      <c r="C157" s="492"/>
      <c r="D157" s="492"/>
      <c r="E157" s="492"/>
      <c r="F157" s="492"/>
      <c r="G157" s="492"/>
      <c r="H157" s="492"/>
      <c r="I157" s="492"/>
      <c r="J157" s="492"/>
      <c r="K157" s="492"/>
      <c r="L157" s="492"/>
    </row>
    <row r="158" spans="1:12" x14ac:dyDescent="0.2">
      <c r="A158" s="492"/>
      <c r="B158" s="492"/>
      <c r="C158" s="492"/>
      <c r="D158" s="492"/>
      <c r="E158" s="492"/>
      <c r="F158" s="492"/>
      <c r="G158" s="492"/>
      <c r="H158" s="492"/>
      <c r="I158" s="492"/>
      <c r="J158" s="492"/>
      <c r="K158" s="492"/>
      <c r="L158" s="492"/>
    </row>
    <row r="159" spans="1:12" x14ac:dyDescent="0.2">
      <c r="A159" s="492"/>
      <c r="B159" s="492"/>
      <c r="C159" s="492"/>
      <c r="D159" s="492"/>
      <c r="E159" s="492"/>
      <c r="F159" s="492"/>
      <c r="G159" s="492"/>
      <c r="H159" s="492"/>
      <c r="I159" s="492"/>
      <c r="J159" s="492"/>
      <c r="K159" s="492"/>
      <c r="L159" s="492"/>
    </row>
    <row r="160" spans="1:12" x14ac:dyDescent="0.2">
      <c r="A160" s="492"/>
      <c r="B160" s="492"/>
      <c r="C160" s="492"/>
      <c r="D160" s="492"/>
      <c r="E160" s="492"/>
      <c r="F160" s="492"/>
      <c r="G160" s="492"/>
      <c r="H160" s="492"/>
      <c r="I160" s="492"/>
      <c r="J160" s="492"/>
      <c r="K160" s="492"/>
      <c r="L160" s="492"/>
    </row>
    <row r="161" spans="1:12" x14ac:dyDescent="0.2">
      <c r="A161" s="492"/>
      <c r="B161" s="492"/>
      <c r="C161" s="492"/>
      <c r="D161" s="492"/>
      <c r="E161" s="492"/>
      <c r="F161" s="492"/>
      <c r="G161" s="492"/>
      <c r="H161" s="492"/>
      <c r="I161" s="492"/>
      <c r="J161" s="492"/>
      <c r="K161" s="492"/>
      <c r="L161" s="492"/>
    </row>
    <row r="162" spans="1:12" x14ac:dyDescent="0.2">
      <c r="A162" s="492"/>
      <c r="B162" s="492"/>
      <c r="C162" s="492"/>
      <c r="D162" s="492"/>
      <c r="E162" s="492"/>
      <c r="F162" s="492"/>
      <c r="G162" s="492"/>
      <c r="H162" s="492"/>
      <c r="I162" s="492"/>
      <c r="J162" s="492"/>
      <c r="K162" s="492"/>
      <c r="L162" s="492"/>
    </row>
    <row r="163" spans="1:12" x14ac:dyDescent="0.2">
      <c r="A163" s="492"/>
      <c r="B163" s="492"/>
      <c r="C163" s="492"/>
      <c r="D163" s="492"/>
      <c r="E163" s="492"/>
      <c r="F163" s="492"/>
      <c r="G163" s="492"/>
      <c r="H163" s="492"/>
      <c r="I163" s="492"/>
      <c r="J163" s="492"/>
      <c r="K163" s="492"/>
      <c r="L163" s="492"/>
    </row>
    <row r="164" spans="1:12" x14ac:dyDescent="0.2">
      <c r="A164" s="492"/>
      <c r="B164" s="492"/>
      <c r="C164" s="492"/>
      <c r="D164" s="492"/>
      <c r="E164" s="492"/>
      <c r="F164" s="492"/>
      <c r="G164" s="492"/>
      <c r="H164" s="492"/>
      <c r="I164" s="492"/>
      <c r="J164" s="492"/>
      <c r="K164" s="492"/>
      <c r="L164" s="492"/>
    </row>
    <row r="165" spans="1:12" x14ac:dyDescent="0.2">
      <c r="A165" s="492"/>
      <c r="B165" s="492"/>
      <c r="C165" s="492"/>
      <c r="D165" s="492"/>
      <c r="E165" s="492"/>
      <c r="F165" s="492"/>
      <c r="G165" s="492"/>
      <c r="H165" s="492"/>
      <c r="I165" s="492"/>
      <c r="J165" s="492"/>
      <c r="K165" s="492"/>
      <c r="L165" s="492"/>
    </row>
    <row r="166" spans="1:12" x14ac:dyDescent="0.2">
      <c r="A166" s="492"/>
      <c r="B166" s="492"/>
      <c r="C166" s="492"/>
      <c r="D166" s="492"/>
      <c r="E166" s="492"/>
      <c r="F166" s="492"/>
      <c r="G166" s="492"/>
      <c r="H166" s="492"/>
      <c r="I166" s="492"/>
      <c r="J166" s="492"/>
      <c r="K166" s="492"/>
      <c r="L166" s="492"/>
    </row>
    <row r="167" spans="1:12" x14ac:dyDescent="0.2">
      <c r="A167" s="492"/>
      <c r="B167" s="492"/>
      <c r="C167" s="492"/>
      <c r="D167" s="492"/>
      <c r="E167" s="492"/>
      <c r="F167" s="492"/>
      <c r="G167" s="492"/>
      <c r="H167" s="492"/>
      <c r="I167" s="492"/>
      <c r="J167" s="492"/>
      <c r="K167" s="492"/>
      <c r="L167" s="492"/>
    </row>
    <row r="168" spans="1:12" x14ac:dyDescent="0.2">
      <c r="A168" s="492"/>
      <c r="B168" s="492"/>
      <c r="C168" s="492"/>
      <c r="D168" s="492"/>
      <c r="E168" s="492"/>
      <c r="F168" s="492"/>
      <c r="G168" s="492"/>
      <c r="H168" s="492"/>
      <c r="I168" s="492"/>
      <c r="J168" s="492"/>
      <c r="K168" s="492"/>
      <c r="L168" s="492"/>
    </row>
    <row r="169" spans="1:12" x14ac:dyDescent="0.2">
      <c r="A169" s="492"/>
      <c r="B169" s="492"/>
      <c r="C169" s="492"/>
      <c r="D169" s="492"/>
      <c r="E169" s="492"/>
      <c r="F169" s="492"/>
      <c r="G169" s="492"/>
      <c r="H169" s="492"/>
      <c r="I169" s="492"/>
      <c r="J169" s="492"/>
      <c r="K169" s="492"/>
      <c r="L169" s="492"/>
    </row>
    <row r="170" spans="1:12" x14ac:dyDescent="0.2">
      <c r="A170" s="492"/>
      <c r="B170" s="492"/>
      <c r="C170" s="492"/>
      <c r="D170" s="492"/>
      <c r="E170" s="492"/>
      <c r="F170" s="492"/>
      <c r="G170" s="492"/>
      <c r="H170" s="492"/>
      <c r="I170" s="492"/>
      <c r="J170" s="492"/>
      <c r="K170" s="492"/>
      <c r="L170" s="492"/>
    </row>
    <row r="171" spans="1:12" x14ac:dyDescent="0.2">
      <c r="A171" s="492"/>
      <c r="B171" s="492"/>
      <c r="C171" s="492"/>
      <c r="D171" s="492"/>
      <c r="E171" s="492"/>
      <c r="F171" s="492"/>
      <c r="G171" s="492"/>
      <c r="H171" s="492"/>
      <c r="I171" s="492"/>
      <c r="J171" s="492"/>
      <c r="K171" s="492"/>
      <c r="L171" s="492"/>
    </row>
    <row r="172" spans="1:12" x14ac:dyDescent="0.2">
      <c r="A172" s="492"/>
      <c r="B172" s="492"/>
      <c r="C172" s="492"/>
      <c r="D172" s="492"/>
      <c r="E172" s="492"/>
      <c r="F172" s="492"/>
      <c r="G172" s="492"/>
      <c r="H172" s="492"/>
      <c r="I172" s="492"/>
      <c r="J172" s="492"/>
      <c r="K172" s="492"/>
      <c r="L172" s="492"/>
    </row>
    <row r="173" spans="1:12" x14ac:dyDescent="0.2">
      <c r="A173" s="492"/>
      <c r="B173" s="492"/>
      <c r="C173" s="492"/>
      <c r="D173" s="492"/>
      <c r="E173" s="492"/>
      <c r="F173" s="492"/>
      <c r="G173" s="492"/>
      <c r="H173" s="492"/>
      <c r="I173" s="492"/>
      <c r="J173" s="492"/>
      <c r="K173" s="492"/>
      <c r="L173" s="492"/>
    </row>
    <row r="174" spans="1:12" x14ac:dyDescent="0.2">
      <c r="A174" s="492"/>
      <c r="B174" s="492"/>
      <c r="C174" s="492"/>
      <c r="D174" s="492"/>
      <c r="E174" s="492"/>
      <c r="F174" s="492"/>
      <c r="G174" s="492"/>
      <c r="H174" s="492"/>
      <c r="I174" s="492"/>
      <c r="J174" s="492"/>
      <c r="K174" s="492"/>
      <c r="L174" s="492"/>
    </row>
    <row r="175" spans="1:12" x14ac:dyDescent="0.2">
      <c r="A175" s="492"/>
      <c r="B175" s="492"/>
      <c r="C175" s="492"/>
      <c r="D175" s="492"/>
      <c r="E175" s="492"/>
      <c r="F175" s="492"/>
      <c r="G175" s="492"/>
      <c r="H175" s="492"/>
      <c r="I175" s="492"/>
      <c r="J175" s="492"/>
      <c r="K175" s="492"/>
      <c r="L175" s="492"/>
    </row>
    <row r="176" spans="1:12" x14ac:dyDescent="0.2">
      <c r="A176" s="492"/>
      <c r="B176" s="492"/>
      <c r="C176" s="492"/>
      <c r="D176" s="492"/>
      <c r="E176" s="492"/>
      <c r="F176" s="492"/>
      <c r="G176" s="492"/>
      <c r="H176" s="492"/>
      <c r="I176" s="492"/>
      <c r="J176" s="492"/>
      <c r="K176" s="492"/>
      <c r="L176" s="492"/>
    </row>
    <row r="177" spans="1:12" x14ac:dyDescent="0.2">
      <c r="A177" s="492"/>
      <c r="B177" s="492"/>
      <c r="C177" s="492"/>
      <c r="D177" s="492"/>
      <c r="E177" s="492"/>
      <c r="F177" s="492"/>
      <c r="G177" s="492"/>
      <c r="H177" s="492"/>
      <c r="I177" s="492"/>
      <c r="J177" s="492"/>
      <c r="K177" s="492"/>
      <c r="L177" s="492"/>
    </row>
    <row r="178" spans="1:12" x14ac:dyDescent="0.2">
      <c r="A178" s="492"/>
      <c r="B178" s="492"/>
      <c r="C178" s="492"/>
      <c r="D178" s="492"/>
      <c r="E178" s="492"/>
      <c r="F178" s="492"/>
      <c r="G178" s="492"/>
      <c r="H178" s="492"/>
      <c r="I178" s="492"/>
      <c r="J178" s="492"/>
      <c r="K178" s="492"/>
      <c r="L178" s="492"/>
    </row>
    <row r="179" spans="1:12" x14ac:dyDescent="0.2">
      <c r="A179" s="492"/>
      <c r="B179" s="492"/>
      <c r="C179" s="492"/>
      <c r="D179" s="492"/>
      <c r="E179" s="492"/>
      <c r="F179" s="492"/>
      <c r="G179" s="492"/>
      <c r="H179" s="492"/>
      <c r="I179" s="492"/>
      <c r="J179" s="492"/>
      <c r="K179" s="492"/>
      <c r="L179" s="492"/>
    </row>
    <row r="180" spans="1:12" x14ac:dyDescent="0.2">
      <c r="A180" s="492"/>
      <c r="B180" s="492"/>
      <c r="C180" s="492"/>
      <c r="D180" s="492"/>
      <c r="E180" s="492"/>
      <c r="F180" s="492"/>
      <c r="G180" s="492"/>
      <c r="H180" s="492"/>
      <c r="I180" s="492"/>
      <c r="J180" s="492"/>
      <c r="K180" s="492"/>
      <c r="L180" s="492"/>
    </row>
    <row r="181" spans="1:12" x14ac:dyDescent="0.2">
      <c r="A181" s="492"/>
      <c r="B181" s="492"/>
      <c r="C181" s="492"/>
      <c r="D181" s="492"/>
      <c r="E181" s="492"/>
      <c r="F181" s="492"/>
      <c r="G181" s="492"/>
      <c r="H181" s="492"/>
      <c r="I181" s="492"/>
      <c r="J181" s="492"/>
      <c r="K181" s="492"/>
      <c r="L181" s="492"/>
    </row>
    <row r="182" spans="1:12" x14ac:dyDescent="0.2">
      <c r="A182" s="492"/>
      <c r="B182" s="492"/>
      <c r="C182" s="492"/>
      <c r="D182" s="492"/>
      <c r="E182" s="492"/>
      <c r="F182" s="492"/>
      <c r="G182" s="492"/>
      <c r="H182" s="492"/>
      <c r="I182" s="492"/>
      <c r="J182" s="492"/>
      <c r="K182" s="492"/>
      <c r="L182" s="492"/>
    </row>
    <row r="183" spans="1:12" x14ac:dyDescent="0.2">
      <c r="A183" s="492"/>
      <c r="B183" s="492"/>
      <c r="C183" s="492"/>
      <c r="D183" s="492"/>
      <c r="E183" s="492"/>
      <c r="F183" s="492"/>
      <c r="G183" s="492"/>
      <c r="H183" s="492"/>
      <c r="I183" s="492"/>
      <c r="J183" s="492"/>
      <c r="K183" s="492"/>
      <c r="L183" s="492"/>
    </row>
    <row r="184" spans="1:12" x14ac:dyDescent="0.2">
      <c r="A184" s="492"/>
      <c r="B184" s="492"/>
      <c r="C184" s="492"/>
      <c r="D184" s="492"/>
      <c r="E184" s="492"/>
      <c r="F184" s="492"/>
      <c r="G184" s="492"/>
      <c r="H184" s="492"/>
      <c r="I184" s="492"/>
      <c r="J184" s="492"/>
      <c r="K184" s="492"/>
      <c r="L184" s="492"/>
    </row>
    <row r="185" spans="1:12" x14ac:dyDescent="0.2">
      <c r="A185" s="492"/>
      <c r="B185" s="492"/>
      <c r="C185" s="492"/>
      <c r="D185" s="492"/>
      <c r="E185" s="492"/>
      <c r="F185" s="492"/>
      <c r="G185" s="492"/>
      <c r="H185" s="492"/>
      <c r="I185" s="492"/>
      <c r="J185" s="492"/>
      <c r="K185" s="492"/>
      <c r="L185" s="492"/>
    </row>
    <row r="186" spans="1:12" x14ac:dyDescent="0.2">
      <c r="A186" s="492"/>
      <c r="B186" s="492"/>
      <c r="C186" s="492"/>
      <c r="D186" s="492"/>
      <c r="E186" s="492"/>
      <c r="F186" s="492"/>
      <c r="G186" s="492"/>
      <c r="H186" s="492"/>
      <c r="I186" s="492"/>
      <c r="J186" s="492"/>
      <c r="K186" s="492"/>
      <c r="L186" s="492"/>
    </row>
    <row r="187" spans="1:12" x14ac:dyDescent="0.2">
      <c r="A187" s="492"/>
      <c r="B187" s="492"/>
      <c r="C187" s="492"/>
      <c r="D187" s="492"/>
      <c r="E187" s="492"/>
      <c r="F187" s="492"/>
      <c r="G187" s="492"/>
      <c r="H187" s="492"/>
      <c r="I187" s="492"/>
      <c r="J187" s="492"/>
      <c r="K187" s="492"/>
      <c r="L187" s="492"/>
    </row>
    <row r="188" spans="1:12" x14ac:dyDescent="0.2">
      <c r="A188" s="492"/>
      <c r="B188" s="492"/>
      <c r="C188" s="492"/>
      <c r="D188" s="492"/>
      <c r="E188" s="492"/>
      <c r="F188" s="492"/>
      <c r="G188" s="492"/>
      <c r="H188" s="492"/>
      <c r="I188" s="492"/>
      <c r="J188" s="492"/>
      <c r="K188" s="492"/>
      <c r="L188" s="492"/>
    </row>
    <row r="189" spans="1:12" x14ac:dyDescent="0.2">
      <c r="A189" s="492"/>
      <c r="B189" s="492"/>
      <c r="C189" s="492"/>
      <c r="D189" s="492"/>
      <c r="E189" s="492"/>
      <c r="F189" s="492"/>
      <c r="G189" s="492"/>
      <c r="H189" s="492"/>
      <c r="I189" s="492"/>
      <c r="J189" s="492"/>
      <c r="K189" s="492"/>
      <c r="L189" s="492"/>
    </row>
    <row r="190" spans="1:12" x14ac:dyDescent="0.2">
      <c r="A190" s="492"/>
      <c r="B190" s="492"/>
      <c r="C190" s="492"/>
      <c r="D190" s="492"/>
      <c r="E190" s="492"/>
      <c r="F190" s="492"/>
      <c r="G190" s="492"/>
      <c r="H190" s="492"/>
      <c r="I190" s="492"/>
      <c r="J190" s="492"/>
      <c r="K190" s="492"/>
      <c r="L190" s="492"/>
    </row>
    <row r="191" spans="1:12" x14ac:dyDescent="0.2">
      <c r="A191" s="492"/>
      <c r="B191" s="492"/>
      <c r="C191" s="492"/>
      <c r="D191" s="492"/>
      <c r="E191" s="492"/>
      <c r="F191" s="492"/>
      <c r="G191" s="492"/>
      <c r="H191" s="492"/>
      <c r="I191" s="492"/>
      <c r="J191" s="492"/>
      <c r="K191" s="492"/>
      <c r="L191" s="492"/>
    </row>
    <row r="192" spans="1:12" x14ac:dyDescent="0.2">
      <c r="A192" s="492"/>
      <c r="B192" s="492"/>
      <c r="C192" s="492"/>
      <c r="D192" s="492"/>
      <c r="E192" s="492"/>
      <c r="F192" s="492"/>
      <c r="G192" s="492"/>
      <c r="H192" s="492"/>
      <c r="I192" s="492"/>
      <c r="J192" s="492"/>
      <c r="K192" s="492"/>
      <c r="L192" s="492"/>
    </row>
    <row r="193" spans="1:12" x14ac:dyDescent="0.2">
      <c r="A193" s="492"/>
      <c r="B193" s="492"/>
      <c r="C193" s="492"/>
      <c r="D193" s="492"/>
      <c r="E193" s="492"/>
      <c r="F193" s="492"/>
      <c r="G193" s="492"/>
      <c r="H193" s="492"/>
      <c r="I193" s="492"/>
      <c r="J193" s="492"/>
      <c r="K193" s="492"/>
      <c r="L193" s="492"/>
    </row>
    <row r="194" spans="1:12" x14ac:dyDescent="0.2">
      <c r="A194" s="492"/>
      <c r="B194" s="492"/>
      <c r="C194" s="492"/>
      <c r="D194" s="492"/>
      <c r="E194" s="492"/>
      <c r="F194" s="492"/>
      <c r="G194" s="492"/>
      <c r="H194" s="492"/>
      <c r="I194" s="492"/>
      <c r="J194" s="492"/>
      <c r="K194" s="492"/>
      <c r="L194" s="492"/>
    </row>
    <row r="195" spans="1:12" x14ac:dyDescent="0.2">
      <c r="A195" s="492"/>
      <c r="B195" s="492"/>
      <c r="C195" s="492"/>
      <c r="D195" s="492"/>
      <c r="E195" s="492"/>
      <c r="F195" s="492"/>
      <c r="G195" s="492"/>
      <c r="H195" s="492"/>
      <c r="I195" s="492"/>
      <c r="J195" s="492"/>
      <c r="K195" s="492"/>
      <c r="L195" s="492"/>
    </row>
    <row r="196" spans="1:12" x14ac:dyDescent="0.2">
      <c r="A196" s="492"/>
      <c r="B196" s="492"/>
      <c r="C196" s="492"/>
      <c r="D196" s="492"/>
      <c r="E196" s="492"/>
      <c r="F196" s="492"/>
      <c r="G196" s="492"/>
      <c r="H196" s="492"/>
      <c r="I196" s="492"/>
      <c r="J196" s="492"/>
      <c r="K196" s="492"/>
      <c r="L196" s="492"/>
    </row>
    <row r="197" spans="1:12" x14ac:dyDescent="0.2">
      <c r="A197" s="492"/>
      <c r="B197" s="492"/>
      <c r="C197" s="492"/>
      <c r="D197" s="492"/>
      <c r="E197" s="492"/>
      <c r="F197" s="492"/>
      <c r="G197" s="492"/>
      <c r="H197" s="492"/>
      <c r="I197" s="492"/>
      <c r="J197" s="492"/>
      <c r="K197" s="492"/>
      <c r="L197" s="492"/>
    </row>
    <row r="198" spans="1:12" x14ac:dyDescent="0.2">
      <c r="A198" s="492"/>
      <c r="B198" s="492"/>
      <c r="C198" s="492"/>
      <c r="D198" s="492"/>
      <c r="E198" s="492"/>
      <c r="F198" s="492"/>
      <c r="G198" s="492"/>
      <c r="H198" s="492"/>
      <c r="I198" s="492"/>
      <c r="J198" s="492"/>
      <c r="K198" s="492"/>
      <c r="L198" s="492"/>
    </row>
    <row r="199" spans="1:12" x14ac:dyDescent="0.2">
      <c r="A199" s="492"/>
      <c r="B199" s="492"/>
      <c r="C199" s="492"/>
      <c r="D199" s="492"/>
      <c r="E199" s="492"/>
      <c r="F199" s="492"/>
      <c r="G199" s="492"/>
      <c r="H199" s="492"/>
      <c r="I199" s="492"/>
      <c r="J199" s="492"/>
      <c r="K199" s="492"/>
      <c r="L199" s="492"/>
    </row>
    <row r="200" spans="1:12" x14ac:dyDescent="0.2">
      <c r="A200" s="492"/>
      <c r="B200" s="492"/>
      <c r="C200" s="492"/>
      <c r="D200" s="492"/>
      <c r="E200" s="492"/>
      <c r="F200" s="492"/>
      <c r="G200" s="492"/>
      <c r="H200" s="492"/>
      <c r="I200" s="492"/>
      <c r="J200" s="492"/>
      <c r="K200" s="492"/>
      <c r="L200" s="492"/>
    </row>
    <row r="201" spans="1:12" x14ac:dyDescent="0.2">
      <c r="A201" s="492"/>
      <c r="B201" s="492"/>
      <c r="C201" s="492"/>
      <c r="D201" s="492"/>
      <c r="E201" s="492"/>
      <c r="F201" s="492"/>
      <c r="G201" s="492"/>
      <c r="H201" s="492"/>
      <c r="I201" s="492"/>
      <c r="J201" s="492"/>
      <c r="K201" s="492"/>
      <c r="L201" s="492"/>
    </row>
    <row r="202" spans="1:12" x14ac:dyDescent="0.2">
      <c r="A202" s="492"/>
      <c r="B202" s="492"/>
      <c r="C202" s="492"/>
      <c r="D202" s="492"/>
      <c r="E202" s="492"/>
      <c r="F202" s="492"/>
      <c r="G202" s="492"/>
      <c r="H202" s="492"/>
      <c r="I202" s="492"/>
      <c r="J202" s="492"/>
      <c r="K202" s="492"/>
      <c r="L202" s="492"/>
    </row>
    <row r="203" spans="1:12" x14ac:dyDescent="0.2">
      <c r="A203" s="492"/>
      <c r="B203" s="492"/>
      <c r="C203" s="492"/>
      <c r="D203" s="492"/>
      <c r="E203" s="492"/>
      <c r="F203" s="492"/>
      <c r="G203" s="492"/>
      <c r="H203" s="492"/>
      <c r="I203" s="492"/>
      <c r="J203" s="492"/>
      <c r="K203" s="492"/>
      <c r="L203" s="492"/>
    </row>
    <row r="204" spans="1:12" x14ac:dyDescent="0.2">
      <c r="A204" s="492"/>
      <c r="B204" s="492"/>
      <c r="C204" s="492"/>
      <c r="D204" s="492"/>
      <c r="E204" s="492"/>
      <c r="F204" s="492"/>
      <c r="G204" s="492"/>
      <c r="H204" s="492"/>
      <c r="I204" s="492"/>
      <c r="J204" s="492"/>
      <c r="K204" s="492"/>
      <c r="L204" s="492"/>
    </row>
    <row r="205" spans="1:12" x14ac:dyDescent="0.2">
      <c r="A205" s="492"/>
      <c r="B205" s="492"/>
      <c r="C205" s="492"/>
      <c r="D205" s="492"/>
      <c r="E205" s="492"/>
      <c r="F205" s="492"/>
      <c r="G205" s="492"/>
      <c r="H205" s="492"/>
      <c r="I205" s="492"/>
      <c r="J205" s="492"/>
      <c r="K205" s="492"/>
      <c r="L205" s="492"/>
    </row>
    <row r="206" spans="1:12" x14ac:dyDescent="0.2">
      <c r="A206" s="492"/>
      <c r="B206" s="492"/>
      <c r="C206" s="492"/>
      <c r="D206" s="492"/>
      <c r="E206" s="492"/>
      <c r="F206" s="492"/>
      <c r="G206" s="492"/>
      <c r="H206" s="492"/>
      <c r="I206" s="492"/>
      <c r="J206" s="492"/>
      <c r="K206" s="492"/>
      <c r="L206" s="492"/>
    </row>
    <row r="207" spans="1:12" x14ac:dyDescent="0.2">
      <c r="A207" s="492"/>
      <c r="B207" s="492"/>
      <c r="C207" s="492"/>
      <c r="D207" s="492"/>
      <c r="E207" s="492"/>
      <c r="F207" s="492"/>
      <c r="G207" s="492"/>
      <c r="H207" s="492"/>
      <c r="I207" s="492"/>
      <c r="J207" s="492"/>
      <c r="K207" s="492"/>
      <c r="L207" s="492"/>
    </row>
    <row r="208" spans="1:12" x14ac:dyDescent="0.2">
      <c r="A208" s="492"/>
      <c r="B208" s="492"/>
      <c r="C208" s="492"/>
      <c r="D208" s="492"/>
      <c r="E208" s="492"/>
      <c r="F208" s="492"/>
      <c r="G208" s="492"/>
      <c r="H208" s="492"/>
      <c r="I208" s="492"/>
      <c r="J208" s="492"/>
      <c r="K208" s="492"/>
      <c r="L208" s="492"/>
    </row>
    <row r="209" spans="1:12" x14ac:dyDescent="0.2">
      <c r="A209" s="492"/>
      <c r="B209" s="492"/>
      <c r="C209" s="492"/>
      <c r="D209" s="492"/>
      <c r="E209" s="492"/>
      <c r="F209" s="492"/>
      <c r="G209" s="492"/>
      <c r="H209" s="492"/>
      <c r="I209" s="492"/>
      <c r="J209" s="492"/>
      <c r="K209" s="492"/>
      <c r="L209" s="492"/>
    </row>
    <row r="210" spans="1:12" x14ac:dyDescent="0.2">
      <c r="A210" s="492"/>
      <c r="B210" s="492"/>
      <c r="C210" s="492"/>
      <c r="D210" s="492"/>
      <c r="E210" s="492"/>
      <c r="F210" s="492"/>
      <c r="G210" s="492"/>
      <c r="H210" s="492"/>
      <c r="I210" s="492"/>
      <c r="J210" s="492"/>
      <c r="K210" s="492"/>
      <c r="L210" s="492"/>
    </row>
    <row r="211" spans="1:12" x14ac:dyDescent="0.2">
      <c r="A211" s="492"/>
      <c r="B211" s="492"/>
      <c r="C211" s="492"/>
      <c r="D211" s="492"/>
      <c r="E211" s="492"/>
      <c r="F211" s="492"/>
      <c r="G211" s="492"/>
      <c r="H211" s="492"/>
      <c r="I211" s="492"/>
      <c r="J211" s="492"/>
      <c r="K211" s="492"/>
      <c r="L211" s="492"/>
    </row>
    <row r="212" spans="1:12" x14ac:dyDescent="0.2">
      <c r="A212" s="492"/>
      <c r="B212" s="492"/>
      <c r="C212" s="492"/>
      <c r="D212" s="492"/>
      <c r="E212" s="492"/>
      <c r="F212" s="492"/>
      <c r="G212" s="492"/>
      <c r="H212" s="492"/>
      <c r="I212" s="492"/>
      <c r="J212" s="492"/>
      <c r="K212" s="492"/>
      <c r="L212" s="492"/>
    </row>
    <row r="213" spans="1:12" x14ac:dyDescent="0.2">
      <c r="A213" s="492"/>
      <c r="B213" s="492"/>
      <c r="C213" s="492"/>
      <c r="D213" s="492"/>
      <c r="E213" s="492"/>
      <c r="F213" s="492"/>
      <c r="G213" s="492"/>
      <c r="H213" s="492"/>
      <c r="I213" s="492"/>
      <c r="J213" s="492"/>
      <c r="K213" s="492"/>
      <c r="L213" s="492"/>
    </row>
    <row r="214" spans="1:12" x14ac:dyDescent="0.2">
      <c r="A214" s="492"/>
      <c r="B214" s="492"/>
      <c r="C214" s="492"/>
      <c r="D214" s="492"/>
      <c r="E214" s="492"/>
      <c r="F214" s="492"/>
      <c r="G214" s="492"/>
      <c r="H214" s="492"/>
      <c r="I214" s="492"/>
      <c r="J214" s="492"/>
      <c r="K214" s="492"/>
      <c r="L214" s="492"/>
    </row>
    <row r="215" spans="1:12" x14ac:dyDescent="0.2">
      <c r="A215" s="492"/>
      <c r="B215" s="492"/>
      <c r="C215" s="492"/>
      <c r="D215" s="492"/>
      <c r="E215" s="492"/>
      <c r="F215" s="492"/>
      <c r="G215" s="492"/>
      <c r="H215" s="492"/>
      <c r="I215" s="492"/>
      <c r="J215" s="492"/>
      <c r="K215" s="492"/>
      <c r="L215" s="492"/>
    </row>
    <row r="216" spans="1:12" x14ac:dyDescent="0.2">
      <c r="A216" s="492"/>
      <c r="B216" s="492"/>
      <c r="C216" s="492"/>
      <c r="D216" s="492"/>
      <c r="E216" s="492"/>
      <c r="F216" s="492"/>
      <c r="G216" s="492"/>
      <c r="H216" s="492"/>
      <c r="I216" s="492"/>
      <c r="J216" s="492"/>
      <c r="K216" s="492"/>
      <c r="L216" s="492"/>
    </row>
    <row r="217" spans="1:12" x14ac:dyDescent="0.2">
      <c r="A217" s="492"/>
      <c r="B217" s="492"/>
      <c r="C217" s="492"/>
      <c r="D217" s="492"/>
      <c r="E217" s="492"/>
      <c r="F217" s="492"/>
      <c r="G217" s="492"/>
      <c r="H217" s="492"/>
      <c r="I217" s="492"/>
      <c r="J217" s="492"/>
      <c r="K217" s="492"/>
      <c r="L217" s="492"/>
    </row>
    <row r="218" spans="1:12" x14ac:dyDescent="0.2">
      <c r="A218" s="492"/>
      <c r="B218" s="492"/>
      <c r="C218" s="492"/>
      <c r="D218" s="492"/>
      <c r="E218" s="492"/>
      <c r="F218" s="492"/>
      <c r="G218" s="492"/>
      <c r="H218" s="492"/>
      <c r="I218" s="492"/>
      <c r="J218" s="492"/>
      <c r="K218" s="492"/>
      <c r="L218" s="492"/>
    </row>
    <row r="219" spans="1:12" x14ac:dyDescent="0.2">
      <c r="A219" s="492"/>
      <c r="B219" s="492"/>
      <c r="C219" s="492"/>
      <c r="D219" s="492"/>
      <c r="E219" s="492"/>
      <c r="F219" s="492"/>
      <c r="G219" s="492"/>
      <c r="H219" s="492"/>
      <c r="I219" s="492"/>
      <c r="J219" s="492"/>
      <c r="K219" s="492"/>
      <c r="L219" s="492"/>
    </row>
    <row r="220" spans="1:12" x14ac:dyDescent="0.2">
      <c r="A220" s="492"/>
      <c r="B220" s="492"/>
      <c r="C220" s="492"/>
      <c r="D220" s="492"/>
      <c r="E220" s="492"/>
      <c r="F220" s="492"/>
      <c r="G220" s="492"/>
      <c r="H220" s="492"/>
      <c r="I220" s="492"/>
      <c r="J220" s="492"/>
      <c r="K220" s="492"/>
      <c r="L220" s="492"/>
    </row>
    <row r="221" spans="1:12" x14ac:dyDescent="0.2">
      <c r="A221" s="492"/>
      <c r="B221" s="492"/>
      <c r="C221" s="492"/>
      <c r="D221" s="492"/>
      <c r="E221" s="492"/>
      <c r="F221" s="492"/>
      <c r="G221" s="492"/>
      <c r="H221" s="492"/>
      <c r="I221" s="492"/>
      <c r="J221" s="492"/>
      <c r="K221" s="492"/>
      <c r="L221" s="492"/>
    </row>
    <row r="222" spans="1:12" x14ac:dyDescent="0.2">
      <c r="A222" s="492"/>
      <c r="B222" s="492"/>
      <c r="C222" s="492"/>
      <c r="D222" s="492"/>
      <c r="E222" s="492"/>
      <c r="F222" s="492"/>
      <c r="G222" s="492"/>
      <c r="H222" s="492"/>
      <c r="I222" s="492"/>
      <c r="J222" s="492"/>
      <c r="K222" s="492"/>
      <c r="L222" s="492"/>
    </row>
    <row r="223" spans="1:12" x14ac:dyDescent="0.2">
      <c r="A223" s="492"/>
      <c r="B223" s="492"/>
      <c r="C223" s="492"/>
      <c r="D223" s="492"/>
      <c r="E223" s="492"/>
      <c r="F223" s="492"/>
      <c r="G223" s="492"/>
      <c r="H223" s="492"/>
      <c r="I223" s="492"/>
      <c r="J223" s="492"/>
      <c r="K223" s="492"/>
      <c r="L223" s="492"/>
    </row>
    <row r="224" spans="1:12" x14ac:dyDescent="0.2">
      <c r="A224" s="492"/>
      <c r="B224" s="492"/>
      <c r="C224" s="492"/>
      <c r="D224" s="492"/>
      <c r="E224" s="492"/>
      <c r="F224" s="492"/>
      <c r="G224" s="492"/>
      <c r="H224" s="492"/>
      <c r="I224" s="492"/>
      <c r="J224" s="492"/>
      <c r="K224" s="492"/>
      <c r="L224" s="492"/>
    </row>
    <row r="225" spans="1:12" x14ac:dyDescent="0.2">
      <c r="A225" s="492"/>
      <c r="B225" s="492"/>
      <c r="C225" s="492"/>
      <c r="D225" s="492"/>
      <c r="E225" s="492"/>
      <c r="F225" s="492"/>
      <c r="G225" s="492"/>
      <c r="H225" s="492"/>
      <c r="I225" s="492"/>
      <c r="J225" s="492"/>
      <c r="K225" s="492"/>
      <c r="L225" s="492"/>
    </row>
    <row r="226" spans="1:12" x14ac:dyDescent="0.2">
      <c r="A226" s="492"/>
      <c r="B226" s="492"/>
      <c r="C226" s="492"/>
      <c r="D226" s="492"/>
      <c r="E226" s="492"/>
      <c r="F226" s="492"/>
      <c r="G226" s="492"/>
      <c r="H226" s="492"/>
      <c r="I226" s="492"/>
      <c r="J226" s="492"/>
      <c r="K226" s="492"/>
      <c r="L226" s="492"/>
    </row>
    <row r="227" spans="1:12" x14ac:dyDescent="0.2">
      <c r="A227" s="492"/>
      <c r="B227" s="492"/>
      <c r="C227" s="492"/>
      <c r="D227" s="492"/>
      <c r="E227" s="492"/>
      <c r="F227" s="492"/>
      <c r="G227" s="492"/>
      <c r="H227" s="492"/>
      <c r="I227" s="492"/>
      <c r="J227" s="492"/>
      <c r="K227" s="492"/>
      <c r="L227" s="492"/>
    </row>
    <row r="228" spans="1:12" x14ac:dyDescent="0.2">
      <c r="A228" s="492"/>
      <c r="B228" s="492"/>
      <c r="C228" s="492"/>
      <c r="D228" s="492"/>
      <c r="E228" s="492"/>
      <c r="F228" s="492"/>
      <c r="G228" s="492"/>
      <c r="H228" s="492"/>
      <c r="I228" s="492"/>
      <c r="J228" s="492"/>
      <c r="K228" s="492"/>
      <c r="L228" s="492"/>
    </row>
    <row r="229" spans="1:12" x14ac:dyDescent="0.2">
      <c r="A229" s="492"/>
      <c r="B229" s="492"/>
      <c r="C229" s="492"/>
      <c r="D229" s="492"/>
      <c r="E229" s="492"/>
      <c r="F229" s="492"/>
      <c r="G229" s="492"/>
      <c r="H229" s="492"/>
      <c r="I229" s="492"/>
      <c r="J229" s="492"/>
      <c r="K229" s="492"/>
      <c r="L229" s="492"/>
    </row>
    <row r="230" spans="1:12" x14ac:dyDescent="0.2">
      <c r="A230" s="492"/>
      <c r="B230" s="492"/>
      <c r="C230" s="492"/>
      <c r="D230" s="492"/>
      <c r="E230" s="492"/>
      <c r="F230" s="492"/>
      <c r="G230" s="492"/>
      <c r="H230" s="492"/>
      <c r="I230" s="492"/>
      <c r="J230" s="492"/>
      <c r="K230" s="492"/>
      <c r="L230" s="492"/>
    </row>
    <row r="231" spans="1:12" x14ac:dyDescent="0.2">
      <c r="A231" s="492"/>
      <c r="B231" s="492"/>
      <c r="C231" s="492"/>
      <c r="D231" s="492"/>
      <c r="E231" s="492"/>
      <c r="F231" s="492"/>
      <c r="G231" s="492"/>
      <c r="H231" s="492"/>
      <c r="I231" s="492"/>
      <c r="J231" s="492"/>
      <c r="K231" s="492"/>
      <c r="L231" s="492"/>
    </row>
    <row r="232" spans="1:12" x14ac:dyDescent="0.2">
      <c r="A232" s="492"/>
      <c r="B232" s="492"/>
      <c r="C232" s="492"/>
      <c r="D232" s="492"/>
      <c r="E232" s="492"/>
      <c r="F232" s="492"/>
      <c r="G232" s="492"/>
      <c r="H232" s="492"/>
      <c r="I232" s="492"/>
      <c r="J232" s="492"/>
      <c r="K232" s="492"/>
      <c r="L232" s="492"/>
    </row>
    <row r="233" spans="1:12" x14ac:dyDescent="0.2">
      <c r="A233" s="492"/>
      <c r="B233" s="492"/>
      <c r="C233" s="492"/>
      <c r="D233" s="492"/>
      <c r="E233" s="492"/>
      <c r="F233" s="492"/>
      <c r="G233" s="492"/>
      <c r="H233" s="492"/>
      <c r="I233" s="492"/>
      <c r="J233" s="492"/>
      <c r="K233" s="492"/>
      <c r="L233" s="492"/>
    </row>
    <row r="234" spans="1:12" x14ac:dyDescent="0.2">
      <c r="A234" s="492"/>
      <c r="B234" s="492"/>
      <c r="C234" s="492"/>
      <c r="D234" s="492"/>
      <c r="E234" s="492"/>
      <c r="F234" s="492"/>
      <c r="G234" s="492"/>
      <c r="H234" s="492"/>
      <c r="I234" s="492"/>
      <c r="J234" s="492"/>
      <c r="K234" s="492"/>
      <c r="L234" s="492"/>
    </row>
    <row r="235" spans="1:12" x14ac:dyDescent="0.2">
      <c r="A235" s="492"/>
      <c r="B235" s="492"/>
      <c r="C235" s="492"/>
      <c r="D235" s="492"/>
      <c r="E235" s="492"/>
      <c r="F235" s="492"/>
      <c r="G235" s="492"/>
      <c r="H235" s="492"/>
      <c r="I235" s="492"/>
      <c r="J235" s="492"/>
      <c r="K235" s="492"/>
      <c r="L235" s="492"/>
    </row>
    <row r="236" spans="1:12" x14ac:dyDescent="0.2">
      <c r="A236" s="492"/>
      <c r="B236" s="492"/>
      <c r="C236" s="492"/>
      <c r="D236" s="492"/>
      <c r="E236" s="492"/>
      <c r="F236" s="492"/>
      <c r="G236" s="492"/>
      <c r="H236" s="492"/>
      <c r="I236" s="492"/>
      <c r="J236" s="492"/>
      <c r="K236" s="492"/>
      <c r="L236" s="492"/>
    </row>
    <row r="237" spans="1:12" x14ac:dyDescent="0.2">
      <c r="A237" s="492"/>
      <c r="B237" s="492"/>
      <c r="C237" s="492"/>
      <c r="D237" s="492"/>
      <c r="E237" s="492"/>
      <c r="F237" s="492"/>
      <c r="G237" s="492"/>
      <c r="H237" s="492"/>
      <c r="I237" s="492"/>
      <c r="J237" s="492"/>
      <c r="K237" s="492"/>
      <c r="L237" s="492"/>
    </row>
    <row r="238" spans="1:12" x14ac:dyDescent="0.2">
      <c r="A238" s="492"/>
      <c r="B238" s="492"/>
      <c r="C238" s="492"/>
      <c r="D238" s="492"/>
      <c r="E238" s="492"/>
      <c r="F238" s="492"/>
      <c r="G238" s="492"/>
      <c r="H238" s="492"/>
      <c r="I238" s="492"/>
      <c r="J238" s="492"/>
      <c r="K238" s="492"/>
      <c r="L238" s="492"/>
    </row>
    <row r="239" spans="1:12" x14ac:dyDescent="0.2">
      <c r="A239" s="492"/>
      <c r="B239" s="492"/>
      <c r="C239" s="492"/>
      <c r="D239" s="492"/>
      <c r="E239" s="492"/>
      <c r="F239" s="492"/>
      <c r="G239" s="492"/>
      <c r="H239" s="492"/>
      <c r="I239" s="492"/>
      <c r="J239" s="492"/>
      <c r="K239" s="492"/>
      <c r="L239" s="492"/>
    </row>
    <row r="240" spans="1:12" x14ac:dyDescent="0.2">
      <c r="A240" s="492"/>
      <c r="B240" s="492"/>
      <c r="C240" s="492"/>
      <c r="D240" s="492"/>
      <c r="E240" s="492"/>
      <c r="F240" s="492"/>
      <c r="G240" s="492"/>
      <c r="H240" s="492"/>
      <c r="I240" s="492"/>
      <c r="J240" s="492"/>
      <c r="K240" s="492"/>
      <c r="L240" s="492"/>
    </row>
    <row r="241" spans="1:12" x14ac:dyDescent="0.2">
      <c r="A241" s="492"/>
      <c r="B241" s="492"/>
      <c r="C241" s="492"/>
      <c r="D241" s="492"/>
      <c r="E241" s="492"/>
      <c r="F241" s="492"/>
      <c r="G241" s="492"/>
      <c r="H241" s="492"/>
      <c r="I241" s="492"/>
      <c r="J241" s="492"/>
      <c r="K241" s="492"/>
      <c r="L241" s="492"/>
    </row>
    <row r="242" spans="1:12" x14ac:dyDescent="0.2">
      <c r="A242" s="492"/>
      <c r="B242" s="492"/>
      <c r="C242" s="492"/>
      <c r="D242" s="492"/>
      <c r="E242" s="492"/>
      <c r="F242" s="492"/>
      <c r="G242" s="492"/>
      <c r="H242" s="492"/>
      <c r="I242" s="492"/>
      <c r="J242" s="492"/>
      <c r="K242" s="492"/>
      <c r="L242" s="492"/>
    </row>
    <row r="243" spans="1:12" x14ac:dyDescent="0.2">
      <c r="A243" s="492"/>
      <c r="B243" s="492"/>
      <c r="C243" s="492"/>
      <c r="D243" s="492"/>
      <c r="E243" s="492"/>
      <c r="F243" s="492"/>
      <c r="G243" s="492"/>
      <c r="H243" s="492"/>
      <c r="I243" s="492"/>
      <c r="J243" s="492"/>
      <c r="K243" s="492"/>
      <c r="L243" s="492"/>
    </row>
    <row r="244" spans="1:12" x14ac:dyDescent="0.2">
      <c r="A244" s="492"/>
      <c r="B244" s="492"/>
      <c r="C244" s="492"/>
      <c r="D244" s="492"/>
      <c r="E244" s="492"/>
      <c r="F244" s="492"/>
      <c r="G244" s="492"/>
      <c r="H244" s="492"/>
      <c r="I244" s="492"/>
      <c r="J244" s="492"/>
      <c r="K244" s="492"/>
      <c r="L244" s="492"/>
    </row>
    <row r="245" spans="1:12" x14ac:dyDescent="0.2">
      <c r="A245" s="492"/>
      <c r="B245" s="492"/>
      <c r="C245" s="492"/>
      <c r="D245" s="492"/>
      <c r="E245" s="492"/>
      <c r="F245" s="492"/>
      <c r="G245" s="492"/>
      <c r="H245" s="492"/>
      <c r="I245" s="492"/>
      <c r="J245" s="492"/>
      <c r="K245" s="492"/>
      <c r="L245" s="492"/>
    </row>
    <row r="246" spans="1:12" x14ac:dyDescent="0.2">
      <c r="A246" s="492"/>
      <c r="B246" s="492"/>
      <c r="C246" s="492"/>
      <c r="D246" s="492"/>
      <c r="E246" s="492"/>
      <c r="F246" s="492"/>
      <c r="G246" s="492"/>
      <c r="H246" s="492"/>
      <c r="I246" s="492"/>
      <c r="J246" s="492"/>
      <c r="K246" s="492"/>
      <c r="L246" s="492"/>
    </row>
    <row r="247" spans="1:12" x14ac:dyDescent="0.2">
      <c r="A247" s="492"/>
      <c r="B247" s="492"/>
      <c r="C247" s="492"/>
      <c r="D247" s="492"/>
      <c r="E247" s="492"/>
      <c r="F247" s="492"/>
      <c r="G247" s="492"/>
      <c r="H247" s="492"/>
      <c r="I247" s="492"/>
      <c r="J247" s="492"/>
      <c r="K247" s="492"/>
      <c r="L247" s="492"/>
    </row>
    <row r="248" spans="1:12" x14ac:dyDescent="0.2">
      <c r="A248" s="492"/>
      <c r="B248" s="492"/>
      <c r="C248" s="492"/>
      <c r="D248" s="492"/>
      <c r="E248" s="492"/>
      <c r="F248" s="492"/>
      <c r="G248" s="492"/>
      <c r="H248" s="492"/>
      <c r="I248" s="492"/>
      <c r="J248" s="492"/>
      <c r="K248" s="492"/>
      <c r="L248" s="492"/>
    </row>
    <row r="249" spans="1:12" x14ac:dyDescent="0.2">
      <c r="A249" s="492"/>
      <c r="B249" s="492"/>
      <c r="C249" s="492"/>
      <c r="D249" s="492"/>
      <c r="E249" s="492"/>
      <c r="F249" s="492"/>
      <c r="G249" s="492"/>
      <c r="H249" s="492"/>
      <c r="I249" s="492"/>
      <c r="J249" s="492"/>
      <c r="K249" s="492"/>
      <c r="L249" s="492"/>
    </row>
    <row r="250" spans="1:12" x14ac:dyDescent="0.2">
      <c r="A250" s="492"/>
      <c r="B250" s="492"/>
      <c r="C250" s="492"/>
      <c r="D250" s="492"/>
      <c r="E250" s="492"/>
      <c r="F250" s="492"/>
      <c r="G250" s="492"/>
      <c r="H250" s="492"/>
      <c r="I250" s="492"/>
      <c r="J250" s="492"/>
      <c r="K250" s="492"/>
      <c r="L250" s="492"/>
    </row>
    <row r="251" spans="1:12" x14ac:dyDescent="0.2">
      <c r="A251" s="492"/>
      <c r="B251" s="492"/>
      <c r="C251" s="492"/>
      <c r="D251" s="492"/>
      <c r="E251" s="492"/>
      <c r="F251" s="492"/>
      <c r="G251" s="492"/>
      <c r="H251" s="492"/>
      <c r="I251" s="492"/>
      <c r="J251" s="492"/>
      <c r="K251" s="492"/>
      <c r="L251" s="492"/>
    </row>
    <row r="252" spans="1:12" x14ac:dyDescent="0.2">
      <c r="A252" s="492"/>
      <c r="B252" s="492"/>
      <c r="C252" s="492"/>
      <c r="D252" s="492"/>
      <c r="E252" s="492"/>
      <c r="F252" s="492"/>
      <c r="G252" s="492"/>
      <c r="H252" s="492"/>
      <c r="I252" s="492"/>
      <c r="J252" s="492"/>
      <c r="K252" s="492"/>
      <c r="L252" s="492"/>
    </row>
    <row r="253" spans="1:12" x14ac:dyDescent="0.2">
      <c r="A253" s="492"/>
      <c r="B253" s="492"/>
      <c r="C253" s="492"/>
      <c r="D253" s="492"/>
      <c r="E253" s="492"/>
      <c r="F253" s="492"/>
      <c r="G253" s="492"/>
      <c r="H253" s="492"/>
      <c r="I253" s="492"/>
      <c r="J253" s="492"/>
      <c r="K253" s="492"/>
      <c r="L253" s="492"/>
    </row>
    <row r="254" spans="1:12" x14ac:dyDescent="0.2">
      <c r="A254" s="492"/>
      <c r="B254" s="492"/>
      <c r="C254" s="492"/>
      <c r="D254" s="492"/>
      <c r="E254" s="492"/>
      <c r="F254" s="492"/>
      <c r="G254" s="492"/>
      <c r="H254" s="492"/>
      <c r="I254" s="492"/>
      <c r="J254" s="492"/>
      <c r="K254" s="492"/>
      <c r="L254" s="492"/>
    </row>
    <row r="255" spans="1:12" x14ac:dyDescent="0.2">
      <c r="A255" s="492"/>
      <c r="B255" s="492"/>
      <c r="C255" s="492"/>
      <c r="D255" s="492"/>
      <c r="E255" s="492"/>
      <c r="F255" s="492"/>
      <c r="G255" s="492"/>
      <c r="H255" s="492"/>
      <c r="I255" s="492"/>
      <c r="J255" s="492"/>
      <c r="K255" s="492"/>
      <c r="L255" s="492"/>
    </row>
    <row r="256" spans="1:12" x14ac:dyDescent="0.2">
      <c r="A256" s="492"/>
      <c r="B256" s="492"/>
      <c r="C256" s="492"/>
      <c r="D256" s="492"/>
      <c r="E256" s="492"/>
      <c r="F256" s="492"/>
      <c r="G256" s="492"/>
      <c r="H256" s="492"/>
      <c r="I256" s="492"/>
      <c r="J256" s="492"/>
      <c r="K256" s="492"/>
      <c r="L256" s="492"/>
    </row>
    <row r="257" spans="1:12" x14ac:dyDescent="0.2">
      <c r="A257" s="492"/>
      <c r="B257" s="492"/>
      <c r="C257" s="492"/>
      <c r="D257" s="492"/>
      <c r="E257" s="492"/>
      <c r="F257" s="492"/>
      <c r="G257" s="492"/>
      <c r="H257" s="492"/>
      <c r="I257" s="492"/>
      <c r="J257" s="492"/>
      <c r="K257" s="492"/>
      <c r="L257" s="492"/>
    </row>
    <row r="258" spans="1:12" x14ac:dyDescent="0.2">
      <c r="A258" s="492"/>
      <c r="B258" s="492"/>
      <c r="C258" s="492"/>
      <c r="D258" s="492"/>
      <c r="E258" s="492"/>
      <c r="F258" s="492"/>
      <c r="G258" s="492"/>
      <c r="H258" s="492"/>
      <c r="I258" s="492"/>
      <c r="J258" s="492"/>
      <c r="K258" s="492"/>
      <c r="L258" s="492"/>
    </row>
    <row r="259" spans="1:12" x14ac:dyDescent="0.2">
      <c r="A259" s="492"/>
      <c r="B259" s="492"/>
      <c r="C259" s="492"/>
      <c r="D259" s="492"/>
      <c r="E259" s="492"/>
      <c r="F259" s="492"/>
      <c r="G259" s="492"/>
      <c r="H259" s="492"/>
      <c r="I259" s="492"/>
      <c r="J259" s="492"/>
      <c r="K259" s="492"/>
      <c r="L259" s="492"/>
    </row>
    <row r="260" spans="1:12" x14ac:dyDescent="0.2">
      <c r="A260" s="492"/>
      <c r="B260" s="492"/>
      <c r="C260" s="492"/>
      <c r="D260" s="492"/>
      <c r="E260" s="492"/>
      <c r="F260" s="492"/>
      <c r="G260" s="492"/>
      <c r="H260" s="492"/>
      <c r="I260" s="492"/>
      <c r="J260" s="492"/>
      <c r="K260" s="492"/>
      <c r="L260" s="492"/>
    </row>
    <row r="261" spans="1:12" x14ac:dyDescent="0.2">
      <c r="A261" s="492"/>
      <c r="B261" s="492"/>
      <c r="C261" s="492"/>
      <c r="D261" s="492"/>
      <c r="E261" s="492"/>
      <c r="F261" s="492"/>
      <c r="G261" s="492"/>
      <c r="H261" s="492"/>
      <c r="I261" s="492"/>
      <c r="J261" s="492"/>
      <c r="K261" s="492"/>
      <c r="L261" s="492"/>
    </row>
    <row r="262" spans="1:12" x14ac:dyDescent="0.2">
      <c r="A262" s="492"/>
      <c r="B262" s="492"/>
      <c r="C262" s="492"/>
      <c r="D262" s="492"/>
      <c r="E262" s="492"/>
      <c r="F262" s="492"/>
      <c r="G262" s="492"/>
      <c r="H262" s="492"/>
      <c r="I262" s="492"/>
      <c r="J262" s="492"/>
      <c r="K262" s="492"/>
      <c r="L262" s="492"/>
    </row>
    <row r="263" spans="1:12" x14ac:dyDescent="0.2">
      <c r="A263" s="492"/>
      <c r="B263" s="492"/>
      <c r="C263" s="492"/>
      <c r="D263" s="492"/>
      <c r="E263" s="492"/>
      <c r="F263" s="492"/>
      <c r="G263" s="492"/>
      <c r="H263" s="492"/>
      <c r="I263" s="492"/>
      <c r="J263" s="492"/>
      <c r="K263" s="492"/>
      <c r="L263" s="492"/>
    </row>
    <row r="264" spans="1:12" x14ac:dyDescent="0.2">
      <c r="A264" s="492"/>
      <c r="B264" s="492"/>
      <c r="C264" s="492"/>
      <c r="D264" s="492"/>
      <c r="E264" s="492"/>
      <c r="F264" s="492"/>
      <c r="G264" s="492"/>
      <c r="H264" s="492"/>
      <c r="I264" s="492"/>
      <c r="J264" s="492"/>
      <c r="K264" s="492"/>
      <c r="L264" s="492"/>
    </row>
    <row r="265" spans="1:12" x14ac:dyDescent="0.2">
      <c r="A265" s="492"/>
      <c r="B265" s="492"/>
      <c r="C265" s="492"/>
      <c r="D265" s="492"/>
      <c r="E265" s="492"/>
      <c r="F265" s="492"/>
      <c r="G265" s="492"/>
      <c r="H265" s="492"/>
      <c r="I265" s="492"/>
      <c r="J265" s="492"/>
      <c r="K265" s="492"/>
      <c r="L265" s="492"/>
    </row>
    <row r="266" spans="1:12" x14ac:dyDescent="0.2">
      <c r="A266" s="492"/>
      <c r="B266" s="492"/>
      <c r="C266" s="492"/>
      <c r="D266" s="492"/>
      <c r="E266" s="492"/>
      <c r="F266" s="492"/>
      <c r="G266" s="492"/>
      <c r="H266" s="492"/>
      <c r="I266" s="492"/>
      <c r="J266" s="492"/>
      <c r="K266" s="492"/>
      <c r="L266" s="492"/>
    </row>
    <row r="267" spans="1:12" x14ac:dyDescent="0.2">
      <c r="A267" s="492"/>
      <c r="B267" s="492"/>
      <c r="C267" s="492"/>
      <c r="D267" s="492"/>
      <c r="E267" s="492"/>
      <c r="F267" s="492"/>
      <c r="G267" s="492"/>
      <c r="H267" s="492"/>
      <c r="I267" s="492"/>
      <c r="J267" s="492"/>
      <c r="K267" s="492"/>
      <c r="L267" s="492"/>
    </row>
    <row r="268" spans="1:12" x14ac:dyDescent="0.2">
      <c r="A268" s="492"/>
      <c r="B268" s="492"/>
      <c r="C268" s="492"/>
      <c r="D268" s="492"/>
      <c r="E268" s="492"/>
      <c r="F268" s="492"/>
      <c r="G268" s="492"/>
      <c r="H268" s="492"/>
      <c r="I268" s="492"/>
      <c r="J268" s="492"/>
      <c r="K268" s="492"/>
      <c r="L268" s="492"/>
    </row>
    <row r="269" spans="1:12" x14ac:dyDescent="0.2">
      <c r="A269" s="492"/>
      <c r="B269" s="492"/>
      <c r="C269" s="492"/>
      <c r="D269" s="492"/>
      <c r="E269" s="492"/>
      <c r="F269" s="492"/>
      <c r="G269" s="492"/>
      <c r="H269" s="492"/>
      <c r="I269" s="492"/>
      <c r="J269" s="492"/>
      <c r="K269" s="492"/>
      <c r="L269" s="492"/>
    </row>
    <row r="270" spans="1:12" x14ac:dyDescent="0.2">
      <c r="A270" s="492"/>
      <c r="B270" s="492"/>
      <c r="C270" s="492"/>
      <c r="D270" s="492"/>
      <c r="E270" s="492"/>
      <c r="F270" s="492"/>
      <c r="G270" s="492"/>
      <c r="H270" s="492"/>
      <c r="I270" s="492"/>
      <c r="J270" s="492"/>
      <c r="K270" s="492"/>
      <c r="L270" s="492"/>
    </row>
    <row r="271" spans="1:12" x14ac:dyDescent="0.2">
      <c r="A271" s="492"/>
      <c r="B271" s="492"/>
      <c r="C271" s="492"/>
      <c r="D271" s="492"/>
      <c r="E271" s="492"/>
      <c r="F271" s="492"/>
      <c r="G271" s="492"/>
      <c r="H271" s="492"/>
      <c r="I271" s="492"/>
      <c r="J271" s="492"/>
      <c r="K271" s="492"/>
      <c r="L271" s="492"/>
    </row>
    <row r="272" spans="1:12" x14ac:dyDescent="0.2">
      <c r="A272" s="492"/>
      <c r="B272" s="492"/>
      <c r="C272" s="492"/>
      <c r="D272" s="492"/>
      <c r="E272" s="492"/>
      <c r="F272" s="492"/>
      <c r="G272" s="492"/>
      <c r="H272" s="492"/>
      <c r="I272" s="492"/>
      <c r="J272" s="492"/>
      <c r="K272" s="492"/>
      <c r="L272" s="492"/>
    </row>
    <row r="273" spans="1:12" x14ac:dyDescent="0.2">
      <c r="A273" s="492"/>
      <c r="B273" s="492"/>
      <c r="C273" s="492"/>
      <c r="D273" s="492"/>
      <c r="E273" s="492"/>
      <c r="F273" s="492"/>
      <c r="G273" s="492"/>
      <c r="H273" s="492"/>
      <c r="I273" s="492"/>
      <c r="J273" s="492"/>
      <c r="K273" s="492"/>
      <c r="L273" s="492"/>
    </row>
    <row r="274" spans="1:12" x14ac:dyDescent="0.2">
      <c r="A274" s="492"/>
      <c r="B274" s="492"/>
      <c r="C274" s="492"/>
      <c r="D274" s="492"/>
      <c r="E274" s="492"/>
      <c r="F274" s="492"/>
      <c r="G274" s="492"/>
      <c r="H274" s="492"/>
      <c r="I274" s="492"/>
      <c r="J274" s="492"/>
      <c r="K274" s="492"/>
      <c r="L274" s="492"/>
    </row>
    <row r="275" spans="1:12" x14ac:dyDescent="0.2">
      <c r="A275" s="492"/>
      <c r="B275" s="492"/>
      <c r="C275" s="492"/>
      <c r="D275" s="492"/>
      <c r="E275" s="492"/>
      <c r="F275" s="492"/>
      <c r="G275" s="492"/>
      <c r="H275" s="492"/>
      <c r="I275" s="492"/>
      <c r="J275" s="492"/>
      <c r="K275" s="492"/>
      <c r="L275" s="492"/>
    </row>
    <row r="276" spans="1:12" x14ac:dyDescent="0.2">
      <c r="A276" s="492"/>
      <c r="B276" s="492"/>
      <c r="C276" s="492"/>
      <c r="D276" s="492"/>
      <c r="E276" s="492"/>
      <c r="F276" s="492"/>
      <c r="G276" s="492"/>
      <c r="H276" s="492"/>
      <c r="I276" s="492"/>
      <c r="J276" s="492"/>
      <c r="K276" s="492"/>
      <c r="L276" s="492"/>
    </row>
    <row r="277" spans="1:12" x14ac:dyDescent="0.2">
      <c r="A277" s="492"/>
      <c r="B277" s="492"/>
      <c r="C277" s="492"/>
      <c r="D277" s="492"/>
      <c r="E277" s="492"/>
      <c r="F277" s="492"/>
      <c r="G277" s="492"/>
      <c r="H277" s="492"/>
      <c r="I277" s="492"/>
      <c r="J277" s="492"/>
      <c r="K277" s="492"/>
      <c r="L277" s="492"/>
    </row>
    <row r="278" spans="1:12" x14ac:dyDescent="0.2">
      <c r="A278" s="492"/>
      <c r="B278" s="492"/>
      <c r="C278" s="492"/>
      <c r="D278" s="492"/>
      <c r="E278" s="492"/>
      <c r="F278" s="492"/>
      <c r="G278" s="492"/>
      <c r="H278" s="492"/>
      <c r="I278" s="492"/>
      <c r="J278" s="492"/>
      <c r="K278" s="492"/>
      <c r="L278" s="492"/>
    </row>
    <row r="279" spans="1:12" x14ac:dyDescent="0.2">
      <c r="A279" s="492"/>
      <c r="B279" s="492"/>
      <c r="C279" s="492"/>
      <c r="D279" s="492"/>
      <c r="E279" s="492"/>
      <c r="F279" s="492"/>
      <c r="G279" s="492"/>
      <c r="H279" s="492"/>
      <c r="I279" s="492"/>
      <c r="J279" s="492"/>
      <c r="K279" s="492"/>
      <c r="L279" s="492"/>
    </row>
    <row r="280" spans="1:12" x14ac:dyDescent="0.2">
      <c r="A280" s="492"/>
      <c r="B280" s="492"/>
      <c r="C280" s="492"/>
      <c r="D280" s="492"/>
      <c r="E280" s="492"/>
      <c r="F280" s="492"/>
      <c r="G280" s="492"/>
      <c r="H280" s="492"/>
      <c r="I280" s="492"/>
      <c r="J280" s="492"/>
      <c r="K280" s="492"/>
      <c r="L280" s="492"/>
    </row>
    <row r="281" spans="1:12" x14ac:dyDescent="0.2">
      <c r="A281" s="492"/>
      <c r="B281" s="492"/>
      <c r="C281" s="492"/>
      <c r="D281" s="492"/>
      <c r="E281" s="492"/>
      <c r="F281" s="492"/>
      <c r="G281" s="492"/>
      <c r="H281" s="492"/>
      <c r="I281" s="492"/>
      <c r="J281" s="492"/>
      <c r="K281" s="492"/>
      <c r="L281" s="492"/>
    </row>
    <row r="282" spans="1:12" x14ac:dyDescent="0.2">
      <c r="A282" s="492"/>
      <c r="B282" s="492"/>
      <c r="C282" s="492"/>
      <c r="D282" s="492"/>
      <c r="E282" s="492"/>
      <c r="F282" s="492"/>
      <c r="G282" s="492"/>
      <c r="H282" s="492"/>
      <c r="I282" s="492"/>
      <c r="J282" s="492"/>
      <c r="K282" s="492"/>
      <c r="L282" s="492"/>
    </row>
    <row r="283" spans="1:12" x14ac:dyDescent="0.2">
      <c r="A283" s="492"/>
      <c r="B283" s="492"/>
      <c r="C283" s="492"/>
      <c r="D283" s="492"/>
      <c r="E283" s="492"/>
      <c r="F283" s="492"/>
      <c r="G283" s="492"/>
      <c r="H283" s="492"/>
      <c r="I283" s="492"/>
      <c r="J283" s="492"/>
      <c r="K283" s="492"/>
      <c r="L283" s="492"/>
    </row>
    <row r="284" spans="1:12" x14ac:dyDescent="0.2">
      <c r="A284" s="492"/>
      <c r="B284" s="492"/>
      <c r="C284" s="492"/>
      <c r="D284" s="492"/>
      <c r="E284" s="492"/>
      <c r="F284" s="492"/>
      <c r="G284" s="492"/>
      <c r="H284" s="492"/>
      <c r="I284" s="492"/>
      <c r="J284" s="492"/>
      <c r="K284" s="492"/>
      <c r="L284" s="492"/>
    </row>
    <row r="285" spans="1:12" x14ac:dyDescent="0.2">
      <c r="A285" s="492"/>
      <c r="B285" s="492"/>
      <c r="C285" s="492"/>
      <c r="D285" s="492"/>
      <c r="E285" s="492"/>
      <c r="F285" s="492"/>
      <c r="G285" s="492"/>
      <c r="H285" s="492"/>
      <c r="I285" s="492"/>
      <c r="J285" s="492"/>
      <c r="K285" s="492"/>
      <c r="L285" s="492"/>
    </row>
    <row r="286" spans="1:12" x14ac:dyDescent="0.2">
      <c r="A286" s="492"/>
      <c r="B286" s="492"/>
      <c r="C286" s="492"/>
      <c r="D286" s="492"/>
      <c r="E286" s="492"/>
      <c r="F286" s="492"/>
      <c r="G286" s="492"/>
      <c r="H286" s="492"/>
      <c r="I286" s="492"/>
      <c r="J286" s="492"/>
      <c r="K286" s="492"/>
      <c r="L286" s="492"/>
    </row>
    <row r="287" spans="1:12" x14ac:dyDescent="0.2">
      <c r="A287" s="492"/>
      <c r="B287" s="492"/>
      <c r="C287" s="492"/>
      <c r="D287" s="492"/>
      <c r="E287" s="492"/>
      <c r="F287" s="492"/>
      <c r="G287" s="492"/>
      <c r="H287" s="492"/>
      <c r="I287" s="492"/>
      <c r="J287" s="492"/>
      <c r="K287" s="492"/>
      <c r="L287" s="492"/>
    </row>
    <row r="288" spans="1:12" x14ac:dyDescent="0.2">
      <c r="A288" s="492"/>
      <c r="B288" s="492"/>
      <c r="C288" s="492"/>
      <c r="D288" s="492"/>
      <c r="E288" s="492"/>
      <c r="F288" s="492"/>
      <c r="G288" s="492"/>
      <c r="H288" s="492"/>
      <c r="I288" s="492"/>
      <c r="J288" s="492"/>
      <c r="K288" s="492"/>
      <c r="L288" s="492"/>
    </row>
    <row r="289" spans="1:12" x14ac:dyDescent="0.2">
      <c r="A289" s="492"/>
      <c r="B289" s="492"/>
      <c r="C289" s="492"/>
      <c r="D289" s="492"/>
      <c r="E289" s="492"/>
      <c r="F289" s="492"/>
      <c r="G289" s="492"/>
      <c r="H289" s="492"/>
      <c r="I289" s="492"/>
      <c r="J289" s="492"/>
      <c r="K289" s="492"/>
      <c r="L289" s="492"/>
    </row>
    <row r="290" spans="1:12" x14ac:dyDescent="0.2">
      <c r="A290" s="492"/>
      <c r="B290" s="492"/>
      <c r="C290" s="492"/>
      <c r="D290" s="492"/>
      <c r="E290" s="492"/>
      <c r="F290" s="492"/>
      <c r="G290" s="492"/>
      <c r="H290" s="492"/>
      <c r="I290" s="492"/>
      <c r="J290" s="492"/>
      <c r="K290" s="492"/>
      <c r="L290" s="492"/>
    </row>
    <row r="291" spans="1:12" x14ac:dyDescent="0.2">
      <c r="A291" s="492"/>
      <c r="B291" s="492"/>
      <c r="C291" s="492"/>
      <c r="D291" s="492"/>
      <c r="E291" s="492"/>
      <c r="F291" s="492"/>
      <c r="G291" s="492"/>
      <c r="H291" s="492"/>
      <c r="I291" s="492"/>
      <c r="J291" s="492"/>
      <c r="K291" s="492"/>
      <c r="L291" s="492"/>
    </row>
    <row r="292" spans="1:12" x14ac:dyDescent="0.2">
      <c r="A292" s="492"/>
      <c r="B292" s="492"/>
      <c r="C292" s="492"/>
      <c r="D292" s="492"/>
      <c r="E292" s="492"/>
      <c r="F292" s="492"/>
      <c r="G292" s="492"/>
      <c r="H292" s="492"/>
      <c r="I292" s="492"/>
      <c r="J292" s="492"/>
      <c r="K292" s="492"/>
      <c r="L292" s="492"/>
    </row>
    <row r="293" spans="1:12" x14ac:dyDescent="0.2">
      <c r="A293" s="492"/>
      <c r="B293" s="492"/>
      <c r="C293" s="492"/>
      <c r="D293" s="492"/>
      <c r="E293" s="492"/>
      <c r="F293" s="492"/>
      <c r="G293" s="492"/>
      <c r="H293" s="492"/>
      <c r="I293" s="492"/>
      <c r="J293" s="492"/>
      <c r="K293" s="492"/>
      <c r="L293" s="492"/>
    </row>
    <row r="294" spans="1:12" x14ac:dyDescent="0.2">
      <c r="A294" s="492"/>
      <c r="B294" s="492"/>
      <c r="C294" s="492"/>
      <c r="D294" s="492"/>
      <c r="E294" s="492"/>
      <c r="F294" s="492"/>
      <c r="G294" s="492"/>
      <c r="H294" s="492"/>
      <c r="I294" s="492"/>
      <c r="J294" s="492"/>
      <c r="K294" s="492"/>
      <c r="L294" s="492"/>
    </row>
    <row r="295" spans="1:12" x14ac:dyDescent="0.2">
      <c r="A295" s="492"/>
      <c r="B295" s="492"/>
      <c r="C295" s="492"/>
      <c r="D295" s="492"/>
      <c r="E295" s="492"/>
      <c r="F295" s="492"/>
      <c r="G295" s="492"/>
      <c r="H295" s="492"/>
      <c r="I295" s="492"/>
      <c r="J295" s="492"/>
      <c r="K295" s="492"/>
      <c r="L295" s="492"/>
    </row>
    <row r="296" spans="1:12" x14ac:dyDescent="0.2">
      <c r="A296" s="492"/>
      <c r="B296" s="492"/>
      <c r="C296" s="492"/>
      <c r="D296" s="492"/>
      <c r="E296" s="492"/>
      <c r="F296" s="492"/>
      <c r="G296" s="492"/>
      <c r="H296" s="492"/>
      <c r="I296" s="492"/>
      <c r="J296" s="492"/>
      <c r="K296" s="492"/>
      <c r="L296" s="492"/>
    </row>
    <row r="297" spans="1:12" x14ac:dyDescent="0.2">
      <c r="A297" s="492"/>
      <c r="B297" s="492"/>
      <c r="C297" s="492"/>
      <c r="D297" s="492"/>
      <c r="E297" s="492"/>
      <c r="F297" s="492"/>
      <c r="G297" s="492"/>
      <c r="H297" s="492"/>
      <c r="I297" s="492"/>
      <c r="J297" s="492"/>
      <c r="K297" s="492"/>
      <c r="L297" s="492"/>
    </row>
    <row r="298" spans="1:12" x14ac:dyDescent="0.2">
      <c r="A298" s="492"/>
      <c r="B298" s="492"/>
      <c r="C298" s="492"/>
      <c r="D298" s="492"/>
      <c r="E298" s="492"/>
      <c r="F298" s="492"/>
      <c r="G298" s="492"/>
      <c r="H298" s="492"/>
      <c r="I298" s="492"/>
      <c r="J298" s="492"/>
      <c r="K298" s="492"/>
      <c r="L298" s="492"/>
    </row>
    <row r="299" spans="1:12" x14ac:dyDescent="0.2">
      <c r="A299" s="492"/>
      <c r="B299" s="492"/>
      <c r="C299" s="492"/>
      <c r="D299" s="492"/>
      <c r="E299" s="492"/>
      <c r="F299" s="492"/>
      <c r="G299" s="492"/>
      <c r="H299" s="492"/>
      <c r="I299" s="492"/>
      <c r="J299" s="492"/>
      <c r="K299" s="492"/>
      <c r="L299" s="492"/>
    </row>
    <row r="300" spans="1:12" x14ac:dyDescent="0.2">
      <c r="A300" s="492"/>
      <c r="B300" s="492"/>
      <c r="C300" s="492"/>
      <c r="D300" s="492"/>
      <c r="E300" s="492"/>
      <c r="F300" s="492"/>
      <c r="G300" s="492"/>
      <c r="H300" s="492"/>
      <c r="I300" s="492"/>
      <c r="J300" s="492"/>
      <c r="K300" s="492"/>
      <c r="L300" s="492"/>
    </row>
    <row r="301" spans="1:12" x14ac:dyDescent="0.2">
      <c r="A301" s="492"/>
      <c r="B301" s="492"/>
      <c r="C301" s="492"/>
      <c r="D301" s="492"/>
      <c r="E301" s="492"/>
      <c r="F301" s="492"/>
      <c r="G301" s="492"/>
      <c r="H301" s="492"/>
      <c r="I301" s="492"/>
      <c r="J301" s="492"/>
      <c r="K301" s="492"/>
      <c r="L301" s="492"/>
    </row>
    <row r="302" spans="1:12" x14ac:dyDescent="0.2">
      <c r="A302" s="492"/>
      <c r="B302" s="492"/>
      <c r="C302" s="492"/>
      <c r="D302" s="492"/>
      <c r="E302" s="492"/>
      <c r="F302" s="492"/>
      <c r="G302" s="492"/>
      <c r="H302" s="492"/>
      <c r="I302" s="492"/>
      <c r="J302" s="492"/>
      <c r="K302" s="492"/>
      <c r="L302" s="492"/>
    </row>
    <row r="303" spans="1:12" x14ac:dyDescent="0.2">
      <c r="A303" s="492"/>
      <c r="B303" s="492"/>
      <c r="C303" s="492"/>
      <c r="D303" s="492"/>
      <c r="E303" s="492"/>
      <c r="F303" s="492"/>
      <c r="G303" s="492"/>
      <c r="H303" s="492"/>
      <c r="I303" s="492"/>
      <c r="J303" s="492"/>
      <c r="K303" s="492"/>
      <c r="L303" s="492"/>
    </row>
    <row r="304" spans="1:12" x14ac:dyDescent="0.2">
      <c r="A304" s="492"/>
      <c r="B304" s="492"/>
      <c r="C304" s="492"/>
      <c r="D304" s="492"/>
      <c r="E304" s="492"/>
      <c r="F304" s="492"/>
      <c r="G304" s="492"/>
      <c r="H304" s="492"/>
      <c r="I304" s="492"/>
      <c r="J304" s="492"/>
      <c r="K304" s="492"/>
      <c r="L304" s="492"/>
    </row>
    <row r="305" spans="1:12" x14ac:dyDescent="0.2">
      <c r="A305" s="492"/>
      <c r="B305" s="492"/>
      <c r="C305" s="492"/>
      <c r="D305" s="492"/>
      <c r="E305" s="492"/>
      <c r="F305" s="492"/>
      <c r="G305" s="492"/>
      <c r="H305" s="492"/>
      <c r="I305" s="492"/>
      <c r="J305" s="492"/>
      <c r="K305" s="492"/>
      <c r="L305" s="492"/>
    </row>
    <row r="306" spans="1:12" x14ac:dyDescent="0.2">
      <c r="A306" s="492"/>
      <c r="B306" s="492"/>
      <c r="C306" s="492"/>
      <c r="D306" s="492"/>
      <c r="E306" s="492"/>
      <c r="F306" s="492"/>
      <c r="G306" s="492"/>
      <c r="H306" s="492"/>
      <c r="I306" s="492"/>
      <c r="J306" s="492"/>
      <c r="K306" s="492"/>
      <c r="L306" s="492"/>
    </row>
    <row r="307" spans="1:12" x14ac:dyDescent="0.2">
      <c r="A307" s="492"/>
      <c r="B307" s="492"/>
      <c r="C307" s="492"/>
      <c r="D307" s="492"/>
      <c r="E307" s="492"/>
      <c r="F307" s="492"/>
      <c r="G307" s="492"/>
      <c r="H307" s="492"/>
      <c r="I307" s="492"/>
      <c r="J307" s="492"/>
      <c r="K307" s="492"/>
      <c r="L307" s="492"/>
    </row>
    <row r="308" spans="1:12" x14ac:dyDescent="0.2">
      <c r="A308" s="492"/>
      <c r="B308" s="492"/>
      <c r="C308" s="492"/>
      <c r="D308" s="492"/>
      <c r="E308" s="492"/>
      <c r="F308" s="492"/>
      <c r="G308" s="492"/>
      <c r="H308" s="492"/>
      <c r="I308" s="492"/>
      <c r="J308" s="492"/>
      <c r="K308" s="492"/>
      <c r="L308" s="492"/>
    </row>
    <row r="309" spans="1:12" x14ac:dyDescent="0.2">
      <c r="A309" s="492"/>
      <c r="B309" s="492"/>
      <c r="C309" s="492"/>
      <c r="D309" s="492"/>
      <c r="E309" s="492"/>
      <c r="F309" s="492"/>
      <c r="G309" s="492"/>
      <c r="H309" s="492"/>
      <c r="I309" s="492"/>
      <c r="J309" s="492"/>
      <c r="K309" s="492"/>
      <c r="L309" s="492"/>
    </row>
    <row r="310" spans="1:12" x14ac:dyDescent="0.2">
      <c r="A310" s="492"/>
      <c r="B310" s="492"/>
      <c r="C310" s="492"/>
      <c r="D310" s="492"/>
      <c r="E310" s="492"/>
      <c r="F310" s="492"/>
      <c r="G310" s="492"/>
      <c r="H310" s="492"/>
      <c r="I310" s="492"/>
      <c r="J310" s="492"/>
      <c r="K310" s="492"/>
      <c r="L310" s="492"/>
    </row>
    <row r="311" spans="1:12" x14ac:dyDescent="0.2">
      <c r="A311" s="492"/>
      <c r="B311" s="492"/>
      <c r="C311" s="492"/>
      <c r="D311" s="492"/>
      <c r="E311" s="492"/>
      <c r="F311" s="492"/>
      <c r="G311" s="492"/>
      <c r="H311" s="492"/>
      <c r="I311" s="492"/>
      <c r="J311" s="492"/>
      <c r="K311" s="492"/>
      <c r="L311" s="492"/>
    </row>
    <row r="312" spans="1:12" x14ac:dyDescent="0.2">
      <c r="A312" s="492"/>
      <c r="B312" s="492"/>
      <c r="C312" s="492"/>
      <c r="D312" s="492"/>
      <c r="E312" s="492"/>
      <c r="F312" s="492"/>
      <c r="G312" s="492"/>
      <c r="H312" s="492"/>
      <c r="I312" s="492"/>
      <c r="J312" s="492"/>
      <c r="K312" s="492"/>
      <c r="L312" s="492"/>
    </row>
    <row r="313" spans="1:12" x14ac:dyDescent="0.2">
      <c r="A313" s="492"/>
      <c r="B313" s="492"/>
      <c r="C313" s="492"/>
      <c r="D313" s="492"/>
      <c r="E313" s="492"/>
      <c r="F313" s="492"/>
      <c r="G313" s="492"/>
      <c r="H313" s="492"/>
      <c r="I313" s="492"/>
      <c r="J313" s="492"/>
      <c r="K313" s="492"/>
      <c r="L313" s="492"/>
    </row>
    <row r="314" spans="1:12" x14ac:dyDescent="0.2">
      <c r="A314" s="492"/>
      <c r="B314" s="492"/>
      <c r="C314" s="492"/>
      <c r="D314" s="492"/>
      <c r="E314" s="492"/>
      <c r="F314" s="492"/>
      <c r="G314" s="492"/>
      <c r="H314" s="492"/>
      <c r="I314" s="492"/>
      <c r="J314" s="492"/>
      <c r="K314" s="492"/>
      <c r="L314" s="492"/>
    </row>
    <row r="315" spans="1:12" x14ac:dyDescent="0.2">
      <c r="A315" s="492"/>
      <c r="B315" s="492"/>
      <c r="C315" s="492"/>
      <c r="D315" s="492"/>
      <c r="E315" s="492"/>
      <c r="F315" s="492"/>
      <c r="G315" s="492"/>
      <c r="H315" s="492"/>
      <c r="I315" s="492"/>
      <c r="J315" s="492"/>
      <c r="K315" s="492"/>
      <c r="L315" s="492"/>
    </row>
    <row r="316" spans="1:12" x14ac:dyDescent="0.2">
      <c r="A316" s="492"/>
      <c r="B316" s="492"/>
      <c r="C316" s="492"/>
      <c r="D316" s="492"/>
      <c r="E316" s="492"/>
      <c r="F316" s="492"/>
      <c r="G316" s="492"/>
      <c r="H316" s="492"/>
      <c r="I316" s="492"/>
      <c r="J316" s="492"/>
      <c r="K316" s="492"/>
      <c r="L316" s="492"/>
    </row>
    <row r="317" spans="1:12" x14ac:dyDescent="0.2">
      <c r="A317" s="492"/>
      <c r="B317" s="492"/>
      <c r="C317" s="492"/>
      <c r="D317" s="492"/>
      <c r="E317" s="492"/>
      <c r="F317" s="492"/>
      <c r="G317" s="492"/>
      <c r="H317" s="492"/>
      <c r="I317" s="492"/>
      <c r="J317" s="492"/>
      <c r="K317" s="492"/>
      <c r="L317" s="492"/>
    </row>
    <row r="318" spans="1:12" x14ac:dyDescent="0.2">
      <c r="A318" s="492"/>
      <c r="B318" s="492"/>
      <c r="C318" s="492"/>
      <c r="D318" s="492"/>
      <c r="E318" s="492"/>
      <c r="F318" s="492"/>
      <c r="G318" s="492"/>
      <c r="H318" s="492"/>
      <c r="I318" s="492"/>
      <c r="J318" s="492"/>
      <c r="K318" s="492"/>
      <c r="L318" s="492"/>
    </row>
    <row r="319" spans="1:12" x14ac:dyDescent="0.2">
      <c r="A319" s="492"/>
      <c r="B319" s="492"/>
      <c r="C319" s="492"/>
      <c r="D319" s="492"/>
      <c r="E319" s="492"/>
      <c r="F319" s="492"/>
      <c r="G319" s="492"/>
      <c r="H319" s="492"/>
      <c r="I319" s="492"/>
      <c r="J319" s="492"/>
      <c r="K319" s="492"/>
      <c r="L319" s="492"/>
    </row>
    <row r="320" spans="1:12" x14ac:dyDescent="0.2">
      <c r="A320" s="492"/>
      <c r="B320" s="492"/>
      <c r="C320" s="492"/>
      <c r="D320" s="492"/>
      <c r="E320" s="492"/>
      <c r="F320" s="492"/>
      <c r="G320" s="492"/>
      <c r="H320" s="492"/>
      <c r="I320" s="492"/>
      <c r="J320" s="492"/>
      <c r="K320" s="492"/>
      <c r="L320" s="492"/>
    </row>
    <row r="321" spans="1:12" x14ac:dyDescent="0.2">
      <c r="A321" s="492"/>
      <c r="B321" s="492"/>
      <c r="C321" s="492"/>
      <c r="D321" s="492"/>
      <c r="E321" s="492"/>
      <c r="F321" s="492"/>
      <c r="G321" s="492"/>
      <c r="H321" s="492"/>
      <c r="I321" s="492"/>
      <c r="J321" s="492"/>
      <c r="K321" s="492"/>
      <c r="L321" s="492"/>
    </row>
    <row r="322" spans="1:12" x14ac:dyDescent="0.2">
      <c r="A322" s="492"/>
      <c r="B322" s="492"/>
      <c r="C322" s="492"/>
      <c r="D322" s="492"/>
      <c r="E322" s="492"/>
      <c r="F322" s="492"/>
      <c r="G322" s="492"/>
      <c r="H322" s="492"/>
      <c r="I322" s="492"/>
      <c r="J322" s="492"/>
      <c r="K322" s="492"/>
      <c r="L322" s="492"/>
    </row>
    <row r="323" spans="1:12" x14ac:dyDescent="0.2">
      <c r="A323" s="492"/>
      <c r="B323" s="492"/>
      <c r="C323" s="492"/>
      <c r="D323" s="492"/>
      <c r="E323" s="492"/>
      <c r="F323" s="492"/>
      <c r="G323" s="492"/>
      <c r="H323" s="492"/>
      <c r="I323" s="492"/>
      <c r="J323" s="492"/>
      <c r="K323" s="492"/>
      <c r="L323" s="492"/>
    </row>
    <row r="324" spans="1:12" x14ac:dyDescent="0.2">
      <c r="A324" s="492"/>
      <c r="B324" s="492"/>
      <c r="C324" s="492"/>
      <c r="D324" s="492"/>
      <c r="E324" s="492"/>
      <c r="F324" s="492"/>
      <c r="G324" s="492"/>
      <c r="H324" s="492"/>
      <c r="I324" s="492"/>
      <c r="J324" s="492"/>
      <c r="K324" s="492"/>
      <c r="L324" s="492"/>
    </row>
    <row r="325" spans="1:12" x14ac:dyDescent="0.2">
      <c r="A325" s="492"/>
      <c r="B325" s="492"/>
      <c r="C325" s="492"/>
      <c r="D325" s="492"/>
      <c r="E325" s="492"/>
      <c r="F325" s="492"/>
      <c r="G325" s="492"/>
      <c r="H325" s="492"/>
      <c r="I325" s="492"/>
      <c r="J325" s="492"/>
      <c r="K325" s="492"/>
      <c r="L325" s="492"/>
    </row>
    <row r="326" spans="1:12" x14ac:dyDescent="0.2">
      <c r="A326" s="492"/>
      <c r="B326" s="492"/>
      <c r="C326" s="492"/>
      <c r="D326" s="492"/>
      <c r="E326" s="492"/>
      <c r="F326" s="492"/>
      <c r="G326" s="492"/>
      <c r="H326" s="492"/>
      <c r="I326" s="492"/>
      <c r="J326" s="492"/>
      <c r="K326" s="492"/>
      <c r="L326" s="492"/>
    </row>
    <row r="327" spans="1:12" x14ac:dyDescent="0.2">
      <c r="A327" s="492"/>
      <c r="B327" s="492"/>
      <c r="C327" s="492"/>
      <c r="D327" s="492"/>
      <c r="E327" s="492"/>
      <c r="F327" s="492"/>
      <c r="G327" s="492"/>
      <c r="H327" s="492"/>
      <c r="I327" s="492"/>
      <c r="J327" s="492"/>
      <c r="K327" s="492"/>
      <c r="L327" s="492"/>
    </row>
    <row r="328" spans="1:12" x14ac:dyDescent="0.2">
      <c r="A328" s="492"/>
      <c r="B328" s="492"/>
      <c r="C328" s="492"/>
      <c r="D328" s="492"/>
      <c r="E328" s="492"/>
      <c r="F328" s="492"/>
      <c r="G328" s="492"/>
      <c r="H328" s="492"/>
      <c r="I328" s="492"/>
      <c r="J328" s="492"/>
      <c r="K328" s="492"/>
      <c r="L328" s="492"/>
    </row>
    <row r="329" spans="1:12" x14ac:dyDescent="0.2">
      <c r="A329" s="492"/>
      <c r="B329" s="492"/>
      <c r="C329" s="492"/>
      <c r="D329" s="492"/>
      <c r="E329" s="492"/>
      <c r="F329" s="492"/>
      <c r="G329" s="492"/>
      <c r="H329" s="492"/>
      <c r="I329" s="492"/>
      <c r="J329" s="492"/>
      <c r="K329" s="492"/>
      <c r="L329" s="492"/>
    </row>
    <row r="330" spans="1:12" x14ac:dyDescent="0.2">
      <c r="A330" s="492"/>
      <c r="B330" s="492"/>
      <c r="C330" s="492"/>
      <c r="D330" s="492"/>
      <c r="E330" s="492"/>
      <c r="F330" s="492"/>
      <c r="G330" s="492"/>
      <c r="H330" s="492"/>
      <c r="I330" s="492"/>
      <c r="J330" s="492"/>
      <c r="K330" s="492"/>
      <c r="L330" s="492"/>
    </row>
    <row r="331" spans="1:12" x14ac:dyDescent="0.2">
      <c r="A331" s="492"/>
      <c r="B331" s="492"/>
      <c r="C331" s="492"/>
      <c r="D331" s="492"/>
      <c r="E331" s="492"/>
      <c r="F331" s="492"/>
      <c r="G331" s="492"/>
      <c r="H331" s="492"/>
      <c r="I331" s="492"/>
      <c r="J331" s="492"/>
      <c r="K331" s="492"/>
      <c r="L331" s="492"/>
    </row>
    <row r="332" spans="1:12" x14ac:dyDescent="0.2">
      <c r="A332" s="492"/>
      <c r="B332" s="492"/>
      <c r="C332" s="492"/>
      <c r="D332" s="492"/>
      <c r="E332" s="492"/>
      <c r="F332" s="492"/>
      <c r="G332" s="492"/>
      <c r="H332" s="492"/>
      <c r="I332" s="492"/>
      <c r="J332" s="492"/>
      <c r="K332" s="492"/>
      <c r="L332" s="492"/>
    </row>
    <row r="333" spans="1:12" x14ac:dyDescent="0.2">
      <c r="A333" s="492"/>
      <c r="B333" s="492"/>
      <c r="C333" s="492"/>
      <c r="D333" s="492"/>
      <c r="E333" s="492"/>
      <c r="F333" s="492"/>
      <c r="G333" s="492"/>
      <c r="H333" s="492"/>
      <c r="I333" s="492"/>
      <c r="J333" s="492"/>
      <c r="K333" s="492"/>
      <c r="L333" s="492"/>
    </row>
    <row r="334" spans="1:12" x14ac:dyDescent="0.2">
      <c r="A334" s="492"/>
      <c r="B334" s="492"/>
      <c r="C334" s="492"/>
      <c r="D334" s="492"/>
      <c r="E334" s="492"/>
      <c r="F334" s="492"/>
      <c r="G334" s="492"/>
      <c r="H334" s="492"/>
      <c r="I334" s="492"/>
      <c r="J334" s="492"/>
      <c r="K334" s="492"/>
      <c r="L334" s="492"/>
    </row>
    <row r="335" spans="1:12" x14ac:dyDescent="0.2">
      <c r="A335" s="492"/>
      <c r="B335" s="492"/>
      <c r="C335" s="492"/>
      <c r="D335" s="492"/>
      <c r="E335" s="492"/>
      <c r="F335" s="492"/>
      <c r="G335" s="492"/>
      <c r="H335" s="492"/>
      <c r="I335" s="492"/>
      <c r="J335" s="492"/>
      <c r="K335" s="492"/>
      <c r="L335" s="492"/>
    </row>
    <row r="336" spans="1:12" x14ac:dyDescent="0.2">
      <c r="A336" s="492"/>
      <c r="B336" s="492"/>
      <c r="C336" s="492"/>
      <c r="D336" s="492"/>
      <c r="E336" s="492"/>
      <c r="F336" s="492"/>
      <c r="G336" s="492"/>
      <c r="H336" s="492"/>
      <c r="I336" s="492"/>
      <c r="J336" s="492"/>
      <c r="K336" s="492"/>
      <c r="L336" s="492"/>
    </row>
    <row r="337" spans="1:12" x14ac:dyDescent="0.2">
      <c r="A337" s="492"/>
      <c r="B337" s="492"/>
      <c r="C337" s="492"/>
      <c r="D337" s="492"/>
      <c r="E337" s="492"/>
      <c r="F337" s="492"/>
      <c r="G337" s="492"/>
      <c r="H337" s="492"/>
      <c r="I337" s="492"/>
      <c r="J337" s="492"/>
      <c r="K337" s="492"/>
      <c r="L337" s="492"/>
    </row>
    <row r="338" spans="1:12" x14ac:dyDescent="0.2">
      <c r="A338" s="492"/>
      <c r="B338" s="492"/>
      <c r="C338" s="492"/>
      <c r="D338" s="492"/>
      <c r="E338" s="492"/>
      <c r="F338" s="492"/>
      <c r="G338" s="492"/>
      <c r="H338" s="492"/>
      <c r="I338" s="492"/>
      <c r="J338" s="492"/>
      <c r="K338" s="492"/>
      <c r="L338" s="492"/>
    </row>
    <row r="339" spans="1:12" x14ac:dyDescent="0.2">
      <c r="A339" s="492"/>
      <c r="B339" s="492"/>
      <c r="C339" s="492"/>
      <c r="D339" s="492"/>
      <c r="E339" s="492"/>
      <c r="F339" s="492"/>
      <c r="G339" s="492"/>
      <c r="H339" s="492"/>
      <c r="I339" s="492"/>
      <c r="J339" s="492"/>
      <c r="K339" s="492"/>
      <c r="L339" s="492"/>
    </row>
    <row r="340" spans="1:12" x14ac:dyDescent="0.2">
      <c r="A340" s="492"/>
      <c r="B340" s="492"/>
      <c r="C340" s="492"/>
      <c r="D340" s="492"/>
      <c r="E340" s="492"/>
      <c r="F340" s="492"/>
      <c r="G340" s="492"/>
      <c r="H340" s="492"/>
      <c r="I340" s="492"/>
      <c r="J340" s="492"/>
      <c r="K340" s="492"/>
      <c r="L340" s="492"/>
    </row>
    <row r="341" spans="1:12" x14ac:dyDescent="0.2">
      <c r="A341" s="492"/>
      <c r="B341" s="492"/>
      <c r="C341" s="492"/>
      <c r="D341" s="492"/>
      <c r="E341" s="492"/>
      <c r="F341" s="492"/>
      <c r="G341" s="492"/>
      <c r="H341" s="492"/>
      <c r="I341" s="492"/>
      <c r="J341" s="492"/>
      <c r="K341" s="492"/>
      <c r="L341" s="492"/>
    </row>
    <row r="342" spans="1:12" x14ac:dyDescent="0.2">
      <c r="A342" s="492"/>
      <c r="B342" s="492"/>
      <c r="C342" s="492"/>
      <c r="D342" s="492"/>
      <c r="E342" s="492"/>
      <c r="F342" s="492"/>
      <c r="G342" s="492"/>
      <c r="H342" s="492"/>
      <c r="I342" s="492"/>
      <c r="J342" s="492"/>
      <c r="K342" s="492"/>
      <c r="L342" s="492"/>
    </row>
    <row r="343" spans="1:12" x14ac:dyDescent="0.2">
      <c r="A343" s="492"/>
      <c r="B343" s="492"/>
      <c r="C343" s="492"/>
      <c r="D343" s="492"/>
      <c r="E343" s="492"/>
      <c r="F343" s="492"/>
      <c r="G343" s="492"/>
      <c r="H343" s="492"/>
      <c r="I343" s="492"/>
      <c r="J343" s="492"/>
      <c r="K343" s="492"/>
      <c r="L343" s="492"/>
    </row>
    <row r="344" spans="1:12" x14ac:dyDescent="0.2">
      <c r="A344" s="492"/>
      <c r="B344" s="492"/>
      <c r="C344" s="492"/>
      <c r="D344" s="492"/>
      <c r="E344" s="492"/>
      <c r="F344" s="492"/>
      <c r="G344" s="492"/>
      <c r="H344" s="492"/>
      <c r="I344" s="492"/>
      <c r="J344" s="492"/>
      <c r="K344" s="492"/>
      <c r="L344" s="492"/>
    </row>
    <row r="345" spans="1:12" x14ac:dyDescent="0.2">
      <c r="A345" s="492"/>
      <c r="B345" s="492"/>
      <c r="C345" s="492"/>
      <c r="D345" s="492"/>
      <c r="E345" s="492"/>
      <c r="F345" s="492"/>
      <c r="G345" s="492"/>
      <c r="H345" s="492"/>
      <c r="I345" s="492"/>
      <c r="J345" s="492"/>
      <c r="K345" s="492"/>
      <c r="L345" s="492"/>
    </row>
    <row r="346" spans="1:12" x14ac:dyDescent="0.2">
      <c r="A346" s="492"/>
      <c r="B346" s="492"/>
      <c r="C346" s="492"/>
      <c r="D346" s="492"/>
      <c r="E346" s="492"/>
      <c r="F346" s="492"/>
      <c r="G346" s="492"/>
      <c r="H346" s="492"/>
      <c r="I346" s="492"/>
      <c r="J346" s="492"/>
      <c r="K346" s="492"/>
      <c r="L346" s="492"/>
    </row>
    <row r="347" spans="1:12" x14ac:dyDescent="0.2">
      <c r="A347" s="492"/>
      <c r="B347" s="492"/>
      <c r="C347" s="492"/>
      <c r="D347" s="492"/>
      <c r="E347" s="492"/>
      <c r="F347" s="492"/>
      <c r="G347" s="492"/>
      <c r="H347" s="492"/>
      <c r="I347" s="492"/>
      <c r="J347" s="492"/>
      <c r="K347" s="492"/>
      <c r="L347" s="492"/>
    </row>
    <row r="348" spans="1:12" x14ac:dyDescent="0.2">
      <c r="A348" s="492"/>
      <c r="B348" s="492"/>
      <c r="C348" s="492"/>
      <c r="D348" s="492"/>
      <c r="E348" s="492"/>
      <c r="F348" s="492"/>
      <c r="G348" s="492"/>
      <c r="H348" s="492"/>
      <c r="I348" s="492"/>
      <c r="J348" s="492"/>
      <c r="K348" s="492"/>
      <c r="L348" s="492"/>
    </row>
    <row r="349" spans="1:12" x14ac:dyDescent="0.2">
      <c r="A349" s="492"/>
      <c r="B349" s="492"/>
      <c r="C349" s="492"/>
      <c r="D349" s="492"/>
      <c r="E349" s="492"/>
      <c r="F349" s="492"/>
      <c r="G349" s="492"/>
      <c r="H349" s="492"/>
      <c r="I349" s="492"/>
      <c r="J349" s="492"/>
      <c r="K349" s="492"/>
      <c r="L349" s="492"/>
    </row>
    <row r="350" spans="1:12" x14ac:dyDescent="0.2">
      <c r="A350" s="492"/>
      <c r="B350" s="492"/>
      <c r="C350" s="492"/>
      <c r="D350" s="492"/>
      <c r="E350" s="492"/>
      <c r="F350" s="492"/>
      <c r="G350" s="492"/>
      <c r="H350" s="492"/>
      <c r="I350" s="492"/>
      <c r="J350" s="492"/>
      <c r="K350" s="492"/>
      <c r="L350" s="492"/>
    </row>
    <row r="351" spans="1:12" x14ac:dyDescent="0.2">
      <c r="A351" s="492"/>
      <c r="B351" s="492"/>
      <c r="C351" s="492"/>
      <c r="D351" s="492"/>
      <c r="E351" s="492"/>
      <c r="F351" s="492"/>
      <c r="G351" s="492"/>
      <c r="H351" s="492"/>
      <c r="I351" s="492"/>
      <c r="J351" s="492"/>
      <c r="K351" s="492"/>
      <c r="L351" s="492"/>
    </row>
    <row r="352" spans="1:12" x14ac:dyDescent="0.2">
      <c r="A352" s="492"/>
      <c r="B352" s="492"/>
      <c r="C352" s="492"/>
      <c r="D352" s="492"/>
      <c r="E352" s="492"/>
      <c r="F352" s="492"/>
      <c r="G352" s="492"/>
      <c r="H352" s="492"/>
      <c r="I352" s="492"/>
      <c r="J352" s="492"/>
      <c r="K352" s="492"/>
      <c r="L352" s="492"/>
    </row>
    <row r="353" spans="1:12" x14ac:dyDescent="0.2">
      <c r="A353" s="492"/>
      <c r="B353" s="492"/>
      <c r="C353" s="492"/>
      <c r="D353" s="492"/>
      <c r="E353" s="492"/>
      <c r="F353" s="492"/>
      <c r="G353" s="492"/>
      <c r="H353" s="492"/>
      <c r="I353" s="492"/>
      <c r="J353" s="492"/>
      <c r="K353" s="492"/>
      <c r="L353" s="492"/>
    </row>
    <row r="354" spans="1:12" x14ac:dyDescent="0.2">
      <c r="A354" s="492"/>
      <c r="B354" s="492"/>
      <c r="C354" s="492"/>
      <c r="D354" s="492"/>
      <c r="E354" s="492"/>
      <c r="F354" s="492"/>
      <c r="G354" s="492"/>
      <c r="H354" s="492"/>
      <c r="I354" s="492"/>
      <c r="J354" s="492"/>
      <c r="K354" s="492"/>
      <c r="L354" s="492"/>
    </row>
  </sheetData>
  <sheetProtection sheet="1" objects="1" scenarios="1"/>
  <mergeCells count="55">
    <mergeCell ref="B144:K144"/>
    <mergeCell ref="C147:D147"/>
    <mergeCell ref="J147:K147"/>
    <mergeCell ref="C133:D133"/>
    <mergeCell ref="H133:I133"/>
    <mergeCell ref="B130:K130"/>
    <mergeCell ref="C134:D134"/>
    <mergeCell ref="H134:I134"/>
    <mergeCell ref="C137:D137"/>
    <mergeCell ref="F23:G23"/>
    <mergeCell ref="C77:D77"/>
    <mergeCell ref="C80:D80"/>
    <mergeCell ref="C83:D83"/>
    <mergeCell ref="B88:K88"/>
    <mergeCell ref="C148:D148"/>
    <mergeCell ref="J148:K148"/>
    <mergeCell ref="B125:K125"/>
    <mergeCell ref="B126:K126"/>
    <mergeCell ref="B128:K128"/>
    <mergeCell ref="B57:K57"/>
    <mergeCell ref="C74:D74"/>
    <mergeCell ref="B85:K85"/>
    <mergeCell ref="B86:K86"/>
    <mergeCell ref="B6:K6"/>
    <mergeCell ref="B7:K7"/>
    <mergeCell ref="B8:K8"/>
    <mergeCell ref="B10:K10"/>
    <mergeCell ref="B12:K12"/>
    <mergeCell ref="C25:D25"/>
    <mergeCell ref="B33:K33"/>
    <mergeCell ref="B35:K35"/>
    <mergeCell ref="B30:K30"/>
    <mergeCell ref="B31:K31"/>
    <mergeCell ref="C41:D41"/>
    <mergeCell ref="B48:C48"/>
    <mergeCell ref="C120:D120"/>
    <mergeCell ref="B105:K105"/>
    <mergeCell ref="C123:D123"/>
    <mergeCell ref="B106:K106"/>
    <mergeCell ref="G50:H50"/>
    <mergeCell ref="I51:K51"/>
    <mergeCell ref="B58:K58"/>
    <mergeCell ref="B52:K52"/>
    <mergeCell ref="B53:K53"/>
    <mergeCell ref="B55:K55"/>
    <mergeCell ref="B108:K108"/>
    <mergeCell ref="B110:K110"/>
    <mergeCell ref="C114:D114"/>
    <mergeCell ref="C117:D117"/>
    <mergeCell ref="C136:D136"/>
    <mergeCell ref="B90:K90"/>
    <mergeCell ref="C94:D94"/>
    <mergeCell ref="C97:D97"/>
    <mergeCell ref="C100:D100"/>
    <mergeCell ref="C103:D103"/>
  </mergeCells>
  <phoneticPr fontId="0" type="noConversion"/>
  <pageMargins left="0.7" right="0.7" top="0.75" bottom="0.75" header="0.3" footer="0.3"/>
  <pageSetup orientation="portrait" blackAndWhite="1" r:id="rId1"/>
  <rowBreaks count="4" manualBreakCount="4">
    <brk id="32" min="1" max="22" man="1"/>
    <brk id="54" min="1" max="22" man="1"/>
    <brk id="88" min="1" max="22" man="1"/>
    <brk id="109" min="1" max="22" man="1"/>
  </rowBreaks>
  <colBreaks count="1" manualBreakCount="1">
    <brk id="11"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heetViews>
  <sheetFormatPr defaultRowHeight="15.75" x14ac:dyDescent="0.25"/>
  <cols>
    <col min="1" max="1" width="71.21875" style="1" customWidth="1"/>
    <col min="2" max="16384" width="8.88671875" style="1"/>
  </cols>
  <sheetData>
    <row r="1" spans="1:1" ht="16.5" x14ac:dyDescent="0.25">
      <c r="A1" s="493" t="s">
        <v>551</v>
      </c>
    </row>
    <row r="3" spans="1:1" ht="31.5" x14ac:dyDescent="0.25">
      <c r="A3" s="494" t="s">
        <v>552</v>
      </c>
    </row>
    <row r="4" spans="1:1" x14ac:dyDescent="0.25">
      <c r="A4" s="495" t="s">
        <v>553</v>
      </c>
    </row>
    <row r="7" spans="1:1" ht="31.5" x14ac:dyDescent="0.25">
      <c r="A7" s="494" t="s">
        <v>554</v>
      </c>
    </row>
    <row r="8" spans="1:1" x14ac:dyDescent="0.25">
      <c r="A8" s="495" t="s">
        <v>555</v>
      </c>
    </row>
    <row r="11" spans="1:1" x14ac:dyDescent="0.25">
      <c r="A11" s="1" t="s">
        <v>556</v>
      </c>
    </row>
    <row r="12" spans="1:1" x14ac:dyDescent="0.25">
      <c r="A12" s="495" t="s">
        <v>557</v>
      </c>
    </row>
    <row r="15" spans="1:1" x14ac:dyDescent="0.25">
      <c r="A15" s="1" t="s">
        <v>558</v>
      </c>
    </row>
    <row r="16" spans="1:1" x14ac:dyDescent="0.25">
      <c r="A16" s="495" t="s">
        <v>559</v>
      </c>
    </row>
    <row r="19" spans="1:1" x14ac:dyDescent="0.25">
      <c r="A19" s="1" t="s">
        <v>560</v>
      </c>
    </row>
    <row r="20" spans="1:1" x14ac:dyDescent="0.25">
      <c r="A20" s="495" t="s">
        <v>561</v>
      </c>
    </row>
    <row r="23" spans="1:1" x14ac:dyDescent="0.25">
      <c r="A23" s="1" t="s">
        <v>562</v>
      </c>
    </row>
    <row r="24" spans="1:1" x14ac:dyDescent="0.25">
      <c r="A24" s="495" t="s">
        <v>563</v>
      </c>
    </row>
    <row r="27" spans="1:1" x14ac:dyDescent="0.25">
      <c r="A27" s="1" t="s">
        <v>564</v>
      </c>
    </row>
    <row r="28" spans="1:1" x14ac:dyDescent="0.25">
      <c r="A28" s="495" t="s">
        <v>565</v>
      </c>
    </row>
    <row r="31" spans="1:1" x14ac:dyDescent="0.25">
      <c r="A31" s="1" t="s">
        <v>566</v>
      </c>
    </row>
    <row r="32" spans="1:1" x14ac:dyDescent="0.25">
      <c r="A32" s="495" t="s">
        <v>567</v>
      </c>
    </row>
    <row r="35" spans="1:1" x14ac:dyDescent="0.25">
      <c r="A35" s="1" t="s">
        <v>568</v>
      </c>
    </row>
    <row r="36" spans="1:1" x14ac:dyDescent="0.25">
      <c r="A36" s="495" t="s">
        <v>569</v>
      </c>
    </row>
    <row r="39" spans="1:1" x14ac:dyDescent="0.25">
      <c r="A39" s="1" t="s">
        <v>570</v>
      </c>
    </row>
    <row r="40" spans="1:1" x14ac:dyDescent="0.25">
      <c r="A40" s="495" t="s">
        <v>571</v>
      </c>
    </row>
  </sheetData>
  <sheetProtection sheet="1" objects="1" scenarios="1"/>
  <phoneticPr fontId="0" type="noConversion"/>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pageSetup orientation="portrait" r:id="rId1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4"/>
  <sheetViews>
    <sheetView workbookViewId="0"/>
  </sheetViews>
  <sheetFormatPr defaultRowHeight="15.75" x14ac:dyDescent="0.2"/>
  <cols>
    <col min="1" max="1" width="84.21875" style="21" customWidth="1"/>
    <col min="2" max="16384" width="8.88671875" style="21"/>
  </cols>
  <sheetData>
    <row r="1" spans="1:1" x14ac:dyDescent="0.2">
      <c r="A1" s="537" t="s">
        <v>75</v>
      </c>
    </row>
    <row r="2" spans="1:1" x14ac:dyDescent="0.2">
      <c r="A2" s="21" t="s">
        <v>76</v>
      </c>
    </row>
    <row r="4" spans="1:1" x14ac:dyDescent="0.2">
      <c r="A4" s="537" t="s">
        <v>73</v>
      </c>
    </row>
    <row r="5" spans="1:1" x14ac:dyDescent="0.2">
      <c r="A5" s="894" t="s">
        <v>74</v>
      </c>
    </row>
    <row r="7" spans="1:1" x14ac:dyDescent="0.2">
      <c r="A7" s="537" t="s">
        <v>70</v>
      </c>
    </row>
    <row r="8" spans="1:1" x14ac:dyDescent="0.2">
      <c r="A8" s="21" t="s">
        <v>71</v>
      </c>
    </row>
    <row r="10" spans="1:1" x14ac:dyDescent="0.2">
      <c r="A10" s="537" t="s">
        <v>767</v>
      </c>
    </row>
    <row r="11" spans="1:1" x14ac:dyDescent="0.2">
      <c r="A11" s="878" t="s">
        <v>768</v>
      </c>
    </row>
    <row r="12" spans="1:1" x14ac:dyDescent="0.2">
      <c r="A12" s="21" t="s">
        <v>769</v>
      </c>
    </row>
    <row r="13" spans="1:1" x14ac:dyDescent="0.2">
      <c r="A13" s="21" t="s">
        <v>770</v>
      </c>
    </row>
    <row r="14" spans="1:1" x14ac:dyDescent="0.2">
      <c r="A14" s="21" t="s">
        <v>771</v>
      </c>
    </row>
    <row r="15" spans="1:1" x14ac:dyDescent="0.2">
      <c r="A15" s="21" t="s">
        <v>0</v>
      </c>
    </row>
    <row r="16" spans="1:1" x14ac:dyDescent="0.2">
      <c r="A16" s="21" t="s">
        <v>1</v>
      </c>
    </row>
    <row r="17" spans="1:1" x14ac:dyDescent="0.2">
      <c r="A17" s="21" t="s">
        <v>2</v>
      </c>
    </row>
    <row r="18" spans="1:1" x14ac:dyDescent="0.2">
      <c r="A18" s="21" t="s">
        <v>3</v>
      </c>
    </row>
    <row r="19" spans="1:1" x14ac:dyDescent="0.2">
      <c r="A19" s="21" t="s">
        <v>4</v>
      </c>
    </row>
    <row r="20" spans="1:1" x14ac:dyDescent="0.2">
      <c r="A20" s="21" t="s">
        <v>5</v>
      </c>
    </row>
    <row r="21" spans="1:1" x14ac:dyDescent="0.2">
      <c r="A21" s="21" t="s">
        <v>6</v>
      </c>
    </row>
    <row r="22" spans="1:1" x14ac:dyDescent="0.2">
      <c r="A22" s="21" t="s">
        <v>7</v>
      </c>
    </row>
    <row r="23" spans="1:1" x14ac:dyDescent="0.2">
      <c r="A23" s="21" t="s">
        <v>8</v>
      </c>
    </row>
    <row r="24" spans="1:1" x14ac:dyDescent="0.2">
      <c r="A24" s="21" t="s">
        <v>9</v>
      </c>
    </row>
    <row r="25" spans="1:1" x14ac:dyDescent="0.2">
      <c r="A25" s="21" t="s">
        <v>10</v>
      </c>
    </row>
    <row r="26" spans="1:1" x14ac:dyDescent="0.2">
      <c r="A26" s="21" t="s">
        <v>11</v>
      </c>
    </row>
    <row r="27" spans="1:1" ht="47.25" x14ac:dyDescent="0.2">
      <c r="A27" s="24" t="s">
        <v>12</v>
      </c>
    </row>
    <row r="28" spans="1:1" x14ac:dyDescent="0.2">
      <c r="A28" s="23" t="s">
        <v>13</v>
      </c>
    </row>
    <row r="29" spans="1:1" ht="31.5" x14ac:dyDescent="0.2">
      <c r="A29" s="24" t="s">
        <v>14</v>
      </c>
    </row>
    <row r="30" spans="1:1" x14ac:dyDescent="0.2">
      <c r="A30" s="21" t="s">
        <v>15</v>
      </c>
    </row>
    <row r="31" spans="1:1" x14ac:dyDescent="0.2">
      <c r="A31" s="21" t="s">
        <v>16</v>
      </c>
    </row>
    <row r="32" spans="1:1" x14ac:dyDescent="0.2">
      <c r="A32" s="21" t="s">
        <v>17</v>
      </c>
    </row>
    <row r="33" spans="1:1" x14ac:dyDescent="0.2">
      <c r="A33" s="21" t="s">
        <v>18</v>
      </c>
    </row>
    <row r="34" spans="1:1" x14ac:dyDescent="0.2">
      <c r="A34" s="21" t="s">
        <v>19</v>
      </c>
    </row>
    <row r="35" spans="1:1" x14ac:dyDescent="0.2">
      <c r="A35" s="21" t="s">
        <v>20</v>
      </c>
    </row>
    <row r="36" spans="1:1" x14ac:dyDescent="0.2">
      <c r="A36" s="21" t="s">
        <v>21</v>
      </c>
    </row>
    <row r="37" spans="1:1" x14ac:dyDescent="0.2">
      <c r="A37" s="21" t="s">
        <v>22</v>
      </c>
    </row>
    <row r="38" spans="1:1" x14ac:dyDescent="0.2">
      <c r="A38" s="21" t="s">
        <v>23</v>
      </c>
    </row>
    <row r="39" spans="1:1" x14ac:dyDescent="0.2">
      <c r="A39" s="21" t="s">
        <v>24</v>
      </c>
    </row>
    <row r="40" spans="1:1" x14ac:dyDescent="0.2">
      <c r="A40" s="21" t="s">
        <v>25</v>
      </c>
    </row>
    <row r="41" spans="1:1" x14ac:dyDescent="0.2">
      <c r="A41" s="21" t="s">
        <v>26</v>
      </c>
    </row>
    <row r="42" spans="1:1" x14ac:dyDescent="0.2">
      <c r="A42" s="21" t="s">
        <v>27</v>
      </c>
    </row>
    <row r="43" spans="1:1" x14ac:dyDescent="0.2">
      <c r="A43" s="21" t="s">
        <v>28</v>
      </c>
    </row>
    <row r="44" spans="1:1" x14ac:dyDescent="0.2">
      <c r="A44" s="21" t="s">
        <v>29</v>
      </c>
    </row>
    <row r="45" spans="1:1" x14ac:dyDescent="0.2">
      <c r="A45" s="21" t="s">
        <v>30</v>
      </c>
    </row>
    <row r="46" spans="1:1" x14ac:dyDescent="0.2">
      <c r="A46" s="21" t="s">
        <v>31</v>
      </c>
    </row>
    <row r="47" spans="1:1" x14ac:dyDescent="0.2">
      <c r="A47" s="21" t="s">
        <v>32</v>
      </c>
    </row>
    <row r="48" spans="1:1" ht="37.5" customHeight="1" x14ac:dyDescent="0.2">
      <c r="A48" s="24" t="s">
        <v>66</v>
      </c>
    </row>
    <row r="49" spans="1:1" ht="15.75" customHeight="1" x14ac:dyDescent="0.2">
      <c r="A49" s="24"/>
    </row>
    <row r="51" spans="1:1" x14ac:dyDescent="0.2">
      <c r="A51" s="537" t="s">
        <v>643</v>
      </c>
    </row>
    <row r="52" spans="1:1" x14ac:dyDescent="0.2">
      <c r="A52" s="517" t="s">
        <v>644</v>
      </c>
    </row>
    <row r="54" spans="1:1" x14ac:dyDescent="0.2">
      <c r="A54" s="537" t="s">
        <v>641</v>
      </c>
    </row>
    <row r="55" spans="1:1" x14ac:dyDescent="0.2">
      <c r="A55" s="21" t="s">
        <v>642</v>
      </c>
    </row>
    <row r="57" spans="1:1" x14ac:dyDescent="0.2">
      <c r="A57" s="537" t="s">
        <v>616</v>
      </c>
    </row>
    <row r="58" spans="1:1" x14ac:dyDescent="0.2">
      <c r="A58" s="517" t="s">
        <v>576</v>
      </c>
    </row>
    <row r="59" spans="1:1" x14ac:dyDescent="0.2">
      <c r="A59" s="517" t="s">
        <v>577</v>
      </c>
    </row>
    <row r="60" spans="1:1" ht="31.5" x14ac:dyDescent="0.2">
      <c r="A60" s="500" t="s">
        <v>601</v>
      </c>
    </row>
    <row r="61" spans="1:1" x14ac:dyDescent="0.2">
      <c r="A61" s="517" t="s">
        <v>578</v>
      </c>
    </row>
    <row r="62" spans="1:1" x14ac:dyDescent="0.2">
      <c r="A62" s="517" t="s">
        <v>579</v>
      </c>
    </row>
    <row r="63" spans="1:1" x14ac:dyDescent="0.2">
      <c r="A63" s="517" t="s">
        <v>580</v>
      </c>
    </row>
    <row r="64" spans="1:1" x14ac:dyDescent="0.2">
      <c r="A64" s="517" t="s">
        <v>581</v>
      </c>
    </row>
    <row r="65" spans="1:1" x14ac:dyDescent="0.2">
      <c r="A65" s="517" t="s">
        <v>582</v>
      </c>
    </row>
    <row r="66" spans="1:1" x14ac:dyDescent="0.2">
      <c r="A66" s="517" t="s">
        <v>583</v>
      </c>
    </row>
    <row r="67" spans="1:1" x14ac:dyDescent="0.2">
      <c r="A67" s="517" t="s">
        <v>584</v>
      </c>
    </row>
    <row r="68" spans="1:1" x14ac:dyDescent="0.2">
      <c r="A68" s="517" t="s">
        <v>585</v>
      </c>
    </row>
    <row r="69" spans="1:1" x14ac:dyDescent="0.2">
      <c r="A69" s="517" t="s">
        <v>586</v>
      </c>
    </row>
    <row r="70" spans="1:1" x14ac:dyDescent="0.2">
      <c r="A70" s="517" t="s">
        <v>587</v>
      </c>
    </row>
    <row r="71" spans="1:1" x14ac:dyDescent="0.2">
      <c r="A71" s="517" t="s">
        <v>588</v>
      </c>
    </row>
    <row r="72" spans="1:1" x14ac:dyDescent="0.2">
      <c r="A72" s="517" t="s">
        <v>589</v>
      </c>
    </row>
    <row r="73" spans="1:1" x14ac:dyDescent="0.2">
      <c r="A73" s="517" t="s">
        <v>590</v>
      </c>
    </row>
    <row r="74" spans="1:1" x14ac:dyDescent="0.2">
      <c r="A74" s="517" t="s">
        <v>591</v>
      </c>
    </row>
    <row r="75" spans="1:1" x14ac:dyDescent="0.2">
      <c r="A75" s="517" t="s">
        <v>592</v>
      </c>
    </row>
    <row r="76" spans="1:1" x14ac:dyDescent="0.2">
      <c r="A76" s="517" t="s">
        <v>593</v>
      </c>
    </row>
    <row r="77" spans="1:1" x14ac:dyDescent="0.2">
      <c r="A77" s="517" t="s">
        <v>594</v>
      </c>
    </row>
    <row r="78" spans="1:1" x14ac:dyDescent="0.2">
      <c r="A78" s="517" t="s">
        <v>595</v>
      </c>
    </row>
    <row r="79" spans="1:1" x14ac:dyDescent="0.2">
      <c r="A79" s="517" t="s">
        <v>596</v>
      </c>
    </row>
    <row r="80" spans="1:1" x14ac:dyDescent="0.2">
      <c r="A80" s="517" t="s">
        <v>597</v>
      </c>
    </row>
    <row r="81" spans="1:1" x14ac:dyDescent="0.2">
      <c r="A81" s="517" t="s">
        <v>598</v>
      </c>
    </row>
    <row r="82" spans="1:1" x14ac:dyDescent="0.2">
      <c r="A82" s="517" t="s">
        <v>599</v>
      </c>
    </row>
    <row r="83" spans="1:1" x14ac:dyDescent="0.2">
      <c r="A83" s="517" t="s">
        <v>600</v>
      </c>
    </row>
    <row r="84" spans="1:1" x14ac:dyDescent="0.2">
      <c r="A84" s="517" t="s">
        <v>609</v>
      </c>
    </row>
    <row r="85" spans="1:1" x14ac:dyDescent="0.2">
      <c r="A85" s="517" t="s">
        <v>610</v>
      </c>
    </row>
    <row r="86" spans="1:1" x14ac:dyDescent="0.2">
      <c r="A86" s="517" t="s">
        <v>611</v>
      </c>
    </row>
    <row r="87" spans="1:1" x14ac:dyDescent="0.2">
      <c r="A87" s="517" t="s">
        <v>612</v>
      </c>
    </row>
    <row r="88" spans="1:1" x14ac:dyDescent="0.2">
      <c r="A88" s="517" t="s">
        <v>613</v>
      </c>
    </row>
    <row r="89" spans="1:1" x14ac:dyDescent="0.2">
      <c r="A89" s="517" t="s">
        <v>614</v>
      </c>
    </row>
    <row r="90" spans="1:1" x14ac:dyDescent="0.2">
      <c r="A90" s="517" t="s">
        <v>615</v>
      </c>
    </row>
    <row r="91" spans="1:1" x14ac:dyDescent="0.2">
      <c r="A91" s="517" t="s">
        <v>622</v>
      </c>
    </row>
    <row r="92" spans="1:1" x14ac:dyDescent="0.2">
      <c r="A92" s="517" t="s">
        <v>628</v>
      </c>
    </row>
    <row r="94" spans="1:1" x14ac:dyDescent="0.2">
      <c r="A94" s="363" t="s">
        <v>477</v>
      </c>
    </row>
    <row r="95" spans="1:1" x14ac:dyDescent="0.2">
      <c r="A95" s="21" t="s">
        <v>478</v>
      </c>
    </row>
    <row r="96" spans="1:1" x14ac:dyDescent="0.2">
      <c r="A96" s="21" t="s">
        <v>479</v>
      </c>
    </row>
    <row r="97" spans="1:1" x14ac:dyDescent="0.2">
      <c r="A97" s="21" t="s">
        <v>480</v>
      </c>
    </row>
    <row r="99" spans="1:1" x14ac:dyDescent="0.2">
      <c r="A99" s="363" t="s">
        <v>467</v>
      </c>
    </row>
    <row r="100" spans="1:1" x14ac:dyDescent="0.2">
      <c r="A100" s="21" t="s">
        <v>476</v>
      </c>
    </row>
    <row r="102" spans="1:1" x14ac:dyDescent="0.2">
      <c r="A102" s="363" t="s">
        <v>1170</v>
      </c>
    </row>
    <row r="103" spans="1:1" x14ac:dyDescent="0.2">
      <c r="A103" s="362" t="s">
        <v>1171</v>
      </c>
    </row>
    <row r="104" spans="1:1" x14ac:dyDescent="0.2">
      <c r="A104" s="362" t="s">
        <v>1172</v>
      </c>
    </row>
    <row r="105" spans="1:1" x14ac:dyDescent="0.2">
      <c r="A105" s="362" t="s">
        <v>1173</v>
      </c>
    </row>
    <row r="106" spans="1:1" x14ac:dyDescent="0.2">
      <c r="A106" s="21" t="s">
        <v>465</v>
      </c>
    </row>
    <row r="108" spans="1:1" x14ac:dyDescent="0.2">
      <c r="A108" s="338" t="s">
        <v>1100</v>
      </c>
    </row>
    <row r="109" spans="1:1" x14ac:dyDescent="0.2">
      <c r="A109" s="342" t="s">
        <v>1150</v>
      </c>
    </row>
    <row r="110" spans="1:1" x14ac:dyDescent="0.2">
      <c r="A110" s="21" t="s">
        <v>1151</v>
      </c>
    </row>
    <row r="111" spans="1:1" x14ac:dyDescent="0.2">
      <c r="A111" s="21" t="s">
        <v>1152</v>
      </c>
    </row>
    <row r="112" spans="1:1" ht="21.75" customHeight="1" x14ac:dyDescent="0.2">
      <c r="A112" s="24" t="s">
        <v>1153</v>
      </c>
    </row>
    <row r="113" spans="1:1" x14ac:dyDescent="0.2">
      <c r="A113" s="21" t="s">
        <v>1154</v>
      </c>
    </row>
    <row r="114" spans="1:1" x14ac:dyDescent="0.2">
      <c r="A114" s="21" t="s">
        <v>1155</v>
      </c>
    </row>
    <row r="115" spans="1:1" x14ac:dyDescent="0.2">
      <c r="A115" s="21" t="s">
        <v>1156</v>
      </c>
    </row>
    <row r="116" spans="1:1" x14ac:dyDescent="0.2">
      <c r="A116" s="21" t="s">
        <v>1157</v>
      </c>
    </row>
    <row r="117" spans="1:1" x14ac:dyDescent="0.2">
      <c r="A117" s="21" t="s">
        <v>1158</v>
      </c>
    </row>
    <row r="118" spans="1:1" x14ac:dyDescent="0.2">
      <c r="A118" s="21" t="s">
        <v>1159</v>
      </c>
    </row>
    <row r="119" spans="1:1" x14ac:dyDescent="0.2">
      <c r="A119" s="21" t="s">
        <v>1160</v>
      </c>
    </row>
    <row r="121" spans="1:1" x14ac:dyDescent="0.2">
      <c r="A121" s="338" t="s">
        <v>1095</v>
      </c>
    </row>
    <row r="122" spans="1:1" x14ac:dyDescent="0.2">
      <c r="A122" s="21" t="s">
        <v>1096</v>
      </c>
    </row>
    <row r="124" spans="1:1" x14ac:dyDescent="0.2">
      <c r="A124" s="338" t="s">
        <v>1093</v>
      </c>
    </row>
    <row r="125" spans="1:1" x14ac:dyDescent="0.2">
      <c r="A125" s="21" t="s">
        <v>1094</v>
      </c>
    </row>
    <row r="127" spans="1:1" x14ac:dyDescent="0.2">
      <c r="A127" s="338" t="s">
        <v>1090</v>
      </c>
    </row>
    <row r="128" spans="1:1" x14ac:dyDescent="0.2">
      <c r="A128" s="21" t="s">
        <v>1091</v>
      </c>
    </row>
    <row r="129" spans="1:1" x14ac:dyDescent="0.2">
      <c r="A129" s="21" t="s">
        <v>1092</v>
      </c>
    </row>
    <row r="131" spans="1:1" x14ac:dyDescent="0.2">
      <c r="A131" s="338" t="s">
        <v>808</v>
      </c>
    </row>
    <row r="132" spans="1:1" x14ac:dyDescent="0.2">
      <c r="A132" s="21" t="s">
        <v>793</v>
      </c>
    </row>
    <row r="133" spans="1:1" x14ac:dyDescent="0.2">
      <c r="A133" s="21" t="s">
        <v>794</v>
      </c>
    </row>
    <row r="134" spans="1:1" x14ac:dyDescent="0.2">
      <c r="A134" s="21" t="s">
        <v>795</v>
      </c>
    </row>
    <row r="135" spans="1:1" x14ac:dyDescent="0.2">
      <c r="A135" s="21" t="s">
        <v>802</v>
      </c>
    </row>
    <row r="136" spans="1:1" x14ac:dyDescent="0.2">
      <c r="A136" s="21" t="s">
        <v>796</v>
      </c>
    </row>
    <row r="137" spans="1:1" x14ac:dyDescent="0.2">
      <c r="A137" s="21" t="s">
        <v>797</v>
      </c>
    </row>
    <row r="138" spans="1:1" ht="31.5" x14ac:dyDescent="0.2">
      <c r="A138" s="24" t="s">
        <v>803</v>
      </c>
    </row>
    <row r="139" spans="1:1" ht="31.5" x14ac:dyDescent="0.2">
      <c r="A139" s="24" t="s">
        <v>798</v>
      </c>
    </row>
    <row r="140" spans="1:1" x14ac:dyDescent="0.2">
      <c r="A140" s="24" t="s">
        <v>799</v>
      </c>
    </row>
    <row r="141" spans="1:1" x14ac:dyDescent="0.2">
      <c r="A141" s="24" t="s">
        <v>800</v>
      </c>
    </row>
    <row r="142" spans="1:1" ht="31.5" x14ac:dyDescent="0.2">
      <c r="A142" s="24" t="s">
        <v>1083</v>
      </c>
    </row>
    <row r="143" spans="1:1" x14ac:dyDescent="0.2">
      <c r="A143" s="21" t="s">
        <v>1084</v>
      </c>
    </row>
    <row r="144" spans="1:1" x14ac:dyDescent="0.2">
      <c r="A144" s="24" t="s">
        <v>801</v>
      </c>
    </row>
    <row r="145" spans="1:1" x14ac:dyDescent="0.2">
      <c r="A145" s="21" t="s">
        <v>805</v>
      </c>
    </row>
    <row r="146" spans="1:1" x14ac:dyDescent="0.2">
      <c r="A146" s="21" t="s">
        <v>806</v>
      </c>
    </row>
    <row r="147" spans="1:1" x14ac:dyDescent="0.2">
      <c r="A147" s="21" t="s">
        <v>807</v>
      </c>
    </row>
    <row r="148" spans="1:1" ht="31.5" x14ac:dyDescent="0.2">
      <c r="A148" s="24" t="s">
        <v>1082</v>
      </c>
    </row>
    <row r="149" spans="1:1" x14ac:dyDescent="0.2">
      <c r="A149" s="21" t="s">
        <v>1081</v>
      </c>
    </row>
    <row r="150" spans="1:1" ht="31.5" x14ac:dyDescent="0.2">
      <c r="A150" s="24" t="s">
        <v>1080</v>
      </c>
    </row>
    <row r="151" spans="1:1" x14ac:dyDescent="0.2">
      <c r="A151" s="21" t="s">
        <v>1085</v>
      </c>
    </row>
    <row r="153" spans="1:1" x14ac:dyDescent="0.2">
      <c r="A153" s="338" t="s">
        <v>812</v>
      </c>
    </row>
    <row r="154" spans="1:1" x14ac:dyDescent="0.2">
      <c r="A154" s="21" t="s">
        <v>813</v>
      </c>
    </row>
    <row r="155" spans="1:1" x14ac:dyDescent="0.2">
      <c r="A155" s="21" t="s">
        <v>814</v>
      </c>
    </row>
    <row r="156" spans="1:1" x14ac:dyDescent="0.2">
      <c r="A156" s="21" t="s">
        <v>815</v>
      </c>
    </row>
    <row r="157" spans="1:1" x14ac:dyDescent="0.2">
      <c r="A157" s="21" t="s">
        <v>804</v>
      </c>
    </row>
    <row r="160" spans="1:1" x14ac:dyDescent="0.2">
      <c r="A160" s="338" t="s">
        <v>789</v>
      </c>
    </row>
    <row r="161" spans="1:1" x14ac:dyDescent="0.2">
      <c r="A161" s="21" t="s">
        <v>790</v>
      </c>
    </row>
    <row r="163" spans="1:1" x14ac:dyDescent="0.2">
      <c r="A163" s="338" t="s">
        <v>782</v>
      </c>
    </row>
    <row r="164" spans="1:1" x14ac:dyDescent="0.2">
      <c r="A164" s="21" t="s">
        <v>783</v>
      </c>
    </row>
    <row r="165" spans="1:1" x14ac:dyDescent="0.2">
      <c r="A165" s="21" t="s">
        <v>784</v>
      </c>
    </row>
    <row r="166" spans="1:1" ht="31.5" x14ac:dyDescent="0.2">
      <c r="A166" s="24" t="s">
        <v>785</v>
      </c>
    </row>
    <row r="167" spans="1:1" x14ac:dyDescent="0.2">
      <c r="A167" s="21" t="s">
        <v>786</v>
      </c>
    </row>
    <row r="168" spans="1:1" x14ac:dyDescent="0.2">
      <c r="A168" s="21" t="s">
        <v>787</v>
      </c>
    </row>
    <row r="169" spans="1:1" x14ac:dyDescent="0.2">
      <c r="A169" s="21" t="s">
        <v>788</v>
      </c>
    </row>
    <row r="171" spans="1:1" ht="18" customHeight="1" x14ac:dyDescent="0.2">
      <c r="A171" s="338" t="s">
        <v>1050</v>
      </c>
    </row>
    <row r="172" spans="1:1" ht="48.75" customHeight="1" x14ac:dyDescent="0.2">
      <c r="A172" s="24" t="s">
        <v>1086</v>
      </c>
    </row>
    <row r="173" spans="1:1" x14ac:dyDescent="0.2">
      <c r="A173" s="21" t="s">
        <v>1051</v>
      </c>
    </row>
    <row r="174" spans="1:1" x14ac:dyDescent="0.2">
      <c r="A174" s="21" t="s">
        <v>1052</v>
      </c>
    </row>
    <row r="175" spans="1:1" x14ac:dyDescent="0.2">
      <c r="A175" s="21" t="s">
        <v>1087</v>
      </c>
    </row>
    <row r="176" spans="1:1" x14ac:dyDescent="0.2">
      <c r="A176" s="21" t="s">
        <v>1053</v>
      </c>
    </row>
    <row r="177" spans="1:1" x14ac:dyDescent="0.2">
      <c r="A177" s="21" t="s">
        <v>1054</v>
      </c>
    </row>
    <row r="178" spans="1:1" x14ac:dyDescent="0.2">
      <c r="A178" s="21" t="s">
        <v>723</v>
      </c>
    </row>
    <row r="179" spans="1:1" x14ac:dyDescent="0.2">
      <c r="A179" s="21" t="s">
        <v>1055</v>
      </c>
    </row>
    <row r="180" spans="1:1" x14ac:dyDescent="0.2">
      <c r="A180" s="21" t="s">
        <v>1056</v>
      </c>
    </row>
    <row r="181" spans="1:1" ht="31.5" x14ac:dyDescent="0.2">
      <c r="A181" s="24" t="s">
        <v>1057</v>
      </c>
    </row>
    <row r="182" spans="1:1" ht="31.5" x14ac:dyDescent="0.2">
      <c r="A182" s="24" t="s">
        <v>731</v>
      </c>
    </row>
    <row r="183" spans="1:1" x14ac:dyDescent="0.2">
      <c r="A183" s="21" t="s">
        <v>1058</v>
      </c>
    </row>
    <row r="184" spans="1:1" x14ac:dyDescent="0.2">
      <c r="A184" s="21" t="s">
        <v>1059</v>
      </c>
    </row>
    <row r="185" spans="1:1" x14ac:dyDescent="0.2">
      <c r="A185" s="21" t="s">
        <v>1088</v>
      </c>
    </row>
    <row r="186" spans="1:1" x14ac:dyDescent="0.2">
      <c r="A186" s="21" t="s">
        <v>1060</v>
      </c>
    </row>
    <row r="187" spans="1:1" x14ac:dyDescent="0.2">
      <c r="A187" s="21" t="s">
        <v>717</v>
      </c>
    </row>
    <row r="188" spans="1:1" ht="31.5" x14ac:dyDescent="0.2">
      <c r="A188" s="24" t="s">
        <v>718</v>
      </c>
    </row>
    <row r="189" spans="1:1" x14ac:dyDescent="0.2">
      <c r="A189" s="21" t="s">
        <v>1070</v>
      </c>
    </row>
    <row r="190" spans="1:1" x14ac:dyDescent="0.2">
      <c r="A190" s="21" t="s">
        <v>1071</v>
      </c>
    </row>
    <row r="191" spans="1:1" ht="31.5" x14ac:dyDescent="0.2">
      <c r="A191" s="24" t="s">
        <v>1072</v>
      </c>
    </row>
    <row r="192" spans="1:1" x14ac:dyDescent="0.2">
      <c r="A192" s="21" t="s">
        <v>740</v>
      </c>
    </row>
    <row r="193" spans="1:1" x14ac:dyDescent="0.2">
      <c r="A193" s="21" t="s">
        <v>741</v>
      </c>
    </row>
    <row r="194" spans="1:1" x14ac:dyDescent="0.2">
      <c r="A194" s="21" t="s">
        <v>742</v>
      </c>
    </row>
    <row r="195" spans="1:1" x14ac:dyDescent="0.2">
      <c r="A195" s="21" t="s">
        <v>772</v>
      </c>
    </row>
    <row r="196" spans="1:1" x14ac:dyDescent="0.2">
      <c r="A196" s="21" t="s">
        <v>773</v>
      </c>
    </row>
    <row r="197" spans="1:1" x14ac:dyDescent="0.2">
      <c r="A197" s="21" t="s">
        <v>774</v>
      </c>
    </row>
    <row r="198" spans="1:1" x14ac:dyDescent="0.2">
      <c r="A198" s="21" t="s">
        <v>775</v>
      </c>
    </row>
    <row r="199" spans="1:1" x14ac:dyDescent="0.2">
      <c r="A199" s="21" t="s">
        <v>776</v>
      </c>
    </row>
    <row r="200" spans="1:1" x14ac:dyDescent="0.2">
      <c r="A200" s="21" t="s">
        <v>777</v>
      </c>
    </row>
    <row r="201" spans="1:1" x14ac:dyDescent="0.2">
      <c r="A201" s="21" t="s">
        <v>779</v>
      </c>
    </row>
    <row r="202" spans="1:1" x14ac:dyDescent="0.2">
      <c r="A202" s="21" t="s">
        <v>780</v>
      </c>
    </row>
    <row r="203" spans="1:1" x14ac:dyDescent="0.2">
      <c r="A203" s="21" t="s">
        <v>781</v>
      </c>
    </row>
    <row r="204" spans="1:1" x14ac:dyDescent="0.2">
      <c r="A204" s="21" t="s">
        <v>778</v>
      </c>
    </row>
  </sheetData>
  <sheetProtection sheet="1"/>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03"/>
  <sheetViews>
    <sheetView tabSelected="1" zoomScaleNormal="100" workbookViewId="0">
      <selection activeCell="F22" sqref="F22"/>
    </sheetView>
  </sheetViews>
  <sheetFormatPr defaultRowHeight="15.75" x14ac:dyDescent="0.2"/>
  <cols>
    <col min="1" max="1" width="8.88671875" style="95"/>
    <col min="2" max="2" width="24.33203125" style="34" customWidth="1"/>
    <col min="3" max="3" width="10.77734375" style="34" customWidth="1"/>
    <col min="4" max="4" width="5.77734375" style="34" customWidth="1"/>
    <col min="5" max="5" width="14" style="34" customWidth="1"/>
    <col min="6" max="6" width="13.33203125" style="34" customWidth="1"/>
    <col min="7" max="7" width="12.33203125" style="34" customWidth="1"/>
    <col min="8" max="16384" width="8.88671875" style="95"/>
  </cols>
  <sheetData>
    <row r="1" spans="2:9" x14ac:dyDescent="0.2">
      <c r="B1" s="36"/>
      <c r="C1" s="36"/>
      <c r="D1" s="35" t="s">
        <v>912</v>
      </c>
      <c r="E1" s="36"/>
      <c r="F1" s="36"/>
      <c r="G1" s="127"/>
      <c r="I1" s="21">
        <f>inputPrYr!C5</f>
        <v>2014</v>
      </c>
    </row>
    <row r="2" spans="2:9" x14ac:dyDescent="0.2">
      <c r="B2" s="947" t="str">
        <f>CONCATENATE("To the Clerk of ",(inputPrYr!D3),", State of Kansas")</f>
        <v>To the Clerk of Miami County, State of Kansas</v>
      </c>
      <c r="C2" s="935"/>
      <c r="D2" s="935"/>
      <c r="E2" s="935"/>
      <c r="F2" s="935"/>
      <c r="G2" s="935"/>
    </row>
    <row r="3" spans="2:9" x14ac:dyDescent="0.2">
      <c r="B3" s="129" t="s">
        <v>481</v>
      </c>
      <c r="C3" s="45"/>
      <c r="D3" s="45"/>
      <c r="E3" s="45"/>
      <c r="F3" s="45"/>
      <c r="G3" s="45"/>
    </row>
    <row r="4" spans="2:9" x14ac:dyDescent="0.2">
      <c r="B4" s="945" t="str">
        <f>(inputPrYr!D2)</f>
        <v>City of Osawatomie</v>
      </c>
      <c r="C4" s="946"/>
      <c r="D4" s="946"/>
      <c r="E4" s="946"/>
      <c r="F4" s="946"/>
      <c r="G4" s="946"/>
    </row>
    <row r="5" spans="2:9" x14ac:dyDescent="0.2">
      <c r="B5" s="129" t="s">
        <v>825</v>
      </c>
      <c r="C5" s="45"/>
      <c r="D5" s="45"/>
      <c r="E5" s="45"/>
      <c r="F5" s="45"/>
      <c r="G5" s="45"/>
    </row>
    <row r="6" spans="2:9" x14ac:dyDescent="0.2">
      <c r="B6" s="129" t="s">
        <v>826</v>
      </c>
      <c r="C6" s="45"/>
      <c r="D6" s="45"/>
      <c r="E6" s="45"/>
      <c r="F6" s="45"/>
      <c r="G6" s="45"/>
    </row>
    <row r="7" spans="2:9" x14ac:dyDescent="0.2">
      <c r="B7" s="129" t="str">
        <f>CONCATENATE("maximum expenditures for the various funds for the year ",I1,"; and")</f>
        <v>maximum expenditures for the various funds for the year 2014; and</v>
      </c>
      <c r="C7" s="45"/>
      <c r="D7" s="45"/>
      <c r="E7" s="45"/>
      <c r="F7" s="45"/>
      <c r="G7" s="45"/>
    </row>
    <row r="8" spans="2:9" x14ac:dyDescent="0.2">
      <c r="B8" s="129" t="str">
        <f>CONCATENATE("(3) the Amounts(s) of ",I1-1," Ad Valorem Tax are within statutory limitations.")</f>
        <v>(3) the Amounts(s) of 2013 Ad Valorem Tax are within statutory limitations.</v>
      </c>
      <c r="C8" s="45"/>
      <c r="D8" s="45"/>
      <c r="E8" s="45"/>
      <c r="F8" s="45"/>
      <c r="G8" s="45"/>
    </row>
    <row r="9" spans="2:9" x14ac:dyDescent="0.2">
      <c r="B9" s="36"/>
      <c r="C9" s="36"/>
      <c r="D9" s="36"/>
      <c r="E9" s="130" t="str">
        <f>CONCATENATE("",I1," Adopted Budget")</f>
        <v>2014 Adopted Budget</v>
      </c>
      <c r="F9" s="131"/>
      <c r="G9" s="132"/>
    </row>
    <row r="10" spans="2:9" ht="21" customHeight="1" x14ac:dyDescent="0.2">
      <c r="B10" s="36"/>
      <c r="C10" s="36"/>
      <c r="D10" s="133"/>
      <c r="E10" s="134" t="s">
        <v>827</v>
      </c>
      <c r="F10" s="135" t="str">
        <f>CONCATENATE("Amount of ",I1-1,"")</f>
        <v>Amount of 2013</v>
      </c>
      <c r="G10" s="135" t="s">
        <v>828</v>
      </c>
    </row>
    <row r="11" spans="2:9" x14ac:dyDescent="0.2">
      <c r="B11" s="41"/>
      <c r="C11" s="36"/>
      <c r="D11" s="135" t="s">
        <v>829</v>
      </c>
      <c r="E11" s="441" t="s">
        <v>726</v>
      </c>
      <c r="F11" s="137" t="s">
        <v>1022</v>
      </c>
      <c r="G11" s="136" t="s">
        <v>830</v>
      </c>
    </row>
    <row r="12" spans="2:9" x14ac:dyDescent="0.2">
      <c r="B12" s="138" t="s">
        <v>831</v>
      </c>
      <c r="C12" s="60"/>
      <c r="D12" s="139" t="s">
        <v>832</v>
      </c>
      <c r="E12" s="442" t="s">
        <v>496</v>
      </c>
      <c r="F12" s="140" t="s">
        <v>1023</v>
      </c>
      <c r="G12" s="139" t="s">
        <v>833</v>
      </c>
    </row>
    <row r="13" spans="2:9" x14ac:dyDescent="0.2">
      <c r="B13" s="141" t="str">
        <f>CONCATENATE("Computation to Determine Limit for ",I1,"")</f>
        <v>Computation to Determine Limit for 2014</v>
      </c>
      <c r="C13" s="82"/>
      <c r="D13" s="142">
        <v>2</v>
      </c>
      <c r="E13" s="143"/>
      <c r="F13" s="143"/>
      <c r="G13" s="143"/>
    </row>
    <row r="14" spans="2:9" x14ac:dyDescent="0.2">
      <c r="B14" s="141" t="s">
        <v>758</v>
      </c>
      <c r="C14" s="60"/>
      <c r="D14" s="139">
        <v>3</v>
      </c>
      <c r="E14" s="136"/>
      <c r="F14" s="136"/>
      <c r="G14" s="136"/>
    </row>
    <row r="15" spans="2:9" x14ac:dyDescent="0.2">
      <c r="B15" s="141" t="s">
        <v>976</v>
      </c>
      <c r="C15" s="60"/>
      <c r="D15" s="139">
        <v>4</v>
      </c>
      <c r="E15" s="136"/>
      <c r="F15" s="136"/>
      <c r="G15" s="136"/>
    </row>
    <row r="16" spans="2:9" x14ac:dyDescent="0.2">
      <c r="B16" s="141" t="s">
        <v>834</v>
      </c>
      <c r="C16" s="82"/>
      <c r="D16" s="142">
        <v>5</v>
      </c>
      <c r="E16" s="144"/>
      <c r="F16" s="144"/>
      <c r="G16" s="144"/>
    </row>
    <row r="17" spans="2:7" x14ac:dyDescent="0.2">
      <c r="B17" s="141" t="s">
        <v>835</v>
      </c>
      <c r="C17" s="82"/>
      <c r="D17" s="142">
        <v>6</v>
      </c>
      <c r="E17" s="144"/>
      <c r="F17" s="144"/>
      <c r="G17" s="144"/>
    </row>
    <row r="18" spans="2:7" hidden="1" x14ac:dyDescent="0.2">
      <c r="B18" s="276" t="str">
        <f>IF(inputPrYr!D19&gt;0,"Computation to Determine State Library Grant","")</f>
        <v>Computation to Determine State Library Grant</v>
      </c>
      <c r="C18" s="82"/>
      <c r="D18" s="142">
        <f>IF(inputPrYr!D19&gt;0,'Library Grant'!F40,"")</f>
        <v>7</v>
      </c>
      <c r="E18" s="144"/>
      <c r="F18" s="144"/>
      <c r="G18" s="144"/>
    </row>
    <row r="19" spans="2:7" x14ac:dyDescent="0.2">
      <c r="B19" s="145" t="s">
        <v>836</v>
      </c>
      <c r="C19" s="146" t="s">
        <v>837</v>
      </c>
      <c r="D19" s="147"/>
      <c r="E19" s="148"/>
      <c r="F19" s="148"/>
      <c r="G19" s="148"/>
    </row>
    <row r="20" spans="2:7" x14ac:dyDescent="0.2">
      <c r="B20" s="53" t="s">
        <v>820</v>
      </c>
      <c r="C20" s="149" t="str">
        <f>IF(inputPrYr!C17&gt;0,(inputPrYr!C17),"  ")</f>
        <v>12-101a</v>
      </c>
      <c r="D20" s="142">
        <f>general!C44</f>
        <v>7</v>
      </c>
      <c r="E20" s="855">
        <f>IF(general!$E$95&lt;&gt;0,general!$E$95,"  ")</f>
        <v>2267715</v>
      </c>
      <c r="F20" s="868">
        <f>IF(general!$E$102&lt;&gt;0,general!$E$102,0)</f>
        <v>542701.68999999994</v>
      </c>
      <c r="G20" s="857">
        <f>IF($G$61=0,"",ROUND(F20/$G$61*1000,3))</f>
        <v>24.094000000000001</v>
      </c>
    </row>
    <row r="21" spans="2:7" x14ac:dyDescent="0.2">
      <c r="B21" s="53" t="s">
        <v>791</v>
      </c>
      <c r="C21" s="149" t="str">
        <f>IF(inputPrYr!C18&gt;0,(inputPrYr!C18),"  ")</f>
        <v>10-113</v>
      </c>
      <c r="D21" s="142">
        <f>IF(DebtService!C55&gt;0,DebtService!C55,"  ")</f>
        <v>11</v>
      </c>
      <c r="E21" s="855">
        <f>IF(DebtService!E46&lt;&gt;0,DebtService!E46,"  ")</f>
        <v>808495</v>
      </c>
      <c r="F21" s="868">
        <f>IF(DebtService!E53&lt;&gt;0,DebtService!E53,0)</f>
        <v>247628.82000000007</v>
      </c>
      <c r="G21" s="857">
        <f t="shared" ref="G21:G32" si="0">IF($G$61=0,"",ROUND(F21/$G$61*1000,3))</f>
        <v>10.994</v>
      </c>
    </row>
    <row r="22" spans="2:7" x14ac:dyDescent="0.2">
      <c r="B22" s="76" t="str">
        <f>IF(inputPrYr!$B19&gt;"  ",(inputPrYr!$B19),"  ")</f>
        <v>Library</v>
      </c>
      <c r="C22" s="149" t="str">
        <f>IF(inputPrYr!C19&gt;0,(inputPrYr!C19),"  ")</f>
        <v>12-1220</v>
      </c>
      <c r="D22" s="142">
        <f>IF('Library-Rec'!C77&gt;0,'Library-Rec'!C77,"  ")</f>
        <v>13</v>
      </c>
      <c r="E22" s="855">
        <f>IF('Library-Rec'!E31&lt;&gt;0,'Library-Rec'!E31,"  ")</f>
        <v>111854</v>
      </c>
      <c r="F22" s="868">
        <f>IF('Library-Rec'!E38&lt;&gt;0,'Library-Rec'!E38,0)</f>
        <v>0</v>
      </c>
      <c r="G22" s="857">
        <f t="shared" si="0"/>
        <v>0</v>
      </c>
    </row>
    <row r="23" spans="2:7" x14ac:dyDescent="0.2">
      <c r="B23" s="76" t="str">
        <f>IF(inputPrYr!$B21&gt;"  ",(inputPrYr!$B21),"  ")</f>
        <v>Industrial</v>
      </c>
      <c r="C23" s="149" t="str">
        <f>IF(inputPrYr!C21&gt;0,(inputPrYr!C21),"  ")</f>
        <v>12-1617h</v>
      </c>
      <c r="D23" s="142">
        <f>IF('Ind-EBF'!C87&gt;0,'Ind-EBF'!C87,"  ")</f>
        <v>15</v>
      </c>
      <c r="E23" s="855">
        <f>IF('Ind-EBF'!$E$34&gt;0,'Ind-EBF'!$E$34,"  ")</f>
        <v>62785</v>
      </c>
      <c r="F23" s="868">
        <f>IF('Ind-EBF'!$E$41&lt;&gt;0,'Ind-EBF'!$E$41,0)</f>
        <v>0</v>
      </c>
      <c r="G23" s="857">
        <f t="shared" si="0"/>
        <v>0</v>
      </c>
    </row>
    <row r="24" spans="2:7" x14ac:dyDescent="0.2">
      <c r="B24" s="76" t="str">
        <f>IF(inputPrYr!$B22&gt;"  ",(inputPrYr!$B22),"  ")</f>
        <v>Employee Benefits</v>
      </c>
      <c r="C24" s="149" t="str">
        <f>IF(inputPrYr!C22&gt;0,(inputPrYr!C22),"  ")</f>
        <v>12-16,102</v>
      </c>
      <c r="D24" s="142">
        <f>IF('Ind-EBF'!C87&gt;0,'Ind-EBF'!C87,"  ")</f>
        <v>15</v>
      </c>
      <c r="E24" s="855">
        <f>IF('Ind-EBF'!$E$78&gt;0,'Ind-EBF'!$E$78,"  ")</f>
        <v>705973.11237400002</v>
      </c>
      <c r="F24" s="868">
        <f>IF('Ind-EBF'!$E$85&lt;&gt;0,'Ind-EBF'!$E$85,0)</f>
        <v>559567.55077400012</v>
      </c>
      <c r="G24" s="857">
        <f t="shared" si="0"/>
        <v>24.843</v>
      </c>
    </row>
    <row r="25" spans="2:7" x14ac:dyDescent="0.2">
      <c r="B25" s="76" t="str">
        <f>IF(inputPrYr!$B23&gt;"  ",(inputPrYr!$B23),"  ")</f>
        <v>Public Safety Equipment</v>
      </c>
      <c r="C25" s="149" t="str">
        <f>IF(inputPrYr!C23&gt;0,(inputPrYr!C23),"  ")</f>
        <v>12-110b</v>
      </c>
      <c r="D25" s="142">
        <f>IF('PS Equip-REBF'!C75&gt;0,'PS Equip-REBF'!C75,"  ")</f>
        <v>16</v>
      </c>
      <c r="E25" s="855">
        <f>IF('PS Equip-REBF'!$E$30&gt;0,'PS Equip-REBF'!$E$30,"  ")</f>
        <v>9847</v>
      </c>
      <c r="F25" s="868">
        <f>IF('PS Equip-REBF'!$E$37&lt;&gt;0,'PS Equip-REBF'!$E$37,0)</f>
        <v>0</v>
      </c>
      <c r="G25" s="857">
        <f t="shared" si="0"/>
        <v>0</v>
      </c>
    </row>
    <row r="26" spans="2:7" x14ac:dyDescent="0.2">
      <c r="B26" s="76" t="str">
        <f>IF(inputPrYr!$B24&gt;"  ",(inputPrYr!$B24),"  ")</f>
        <v>Recreation Employee Benefits</v>
      </c>
      <c r="C26" s="149" t="str">
        <f>IF(inputPrYr!C24&gt;0,(inputPrYr!C24),"  ")</f>
        <v>12-16,102</v>
      </c>
      <c r="D26" s="142">
        <f>IF('PS Equip-REBF'!C75&gt;0,'PS Equip-REBF'!C75,"  ")</f>
        <v>16</v>
      </c>
      <c r="E26" s="855">
        <f>IF('PS Equip-REBF'!$E$66&gt;0,'PS Equip-REBF'!$E$66,"  ")</f>
        <v>80</v>
      </c>
      <c r="F26" s="868">
        <f>IF('PS Equip-REBF'!$E$73&lt;&gt;0,'PS Equip-REBF'!$E$73,0)</f>
        <v>0</v>
      </c>
      <c r="G26" s="857">
        <f t="shared" si="0"/>
        <v>0</v>
      </c>
    </row>
    <row r="27" spans="2:7" hidden="1" x14ac:dyDescent="0.2">
      <c r="B27" s="76" t="str">
        <f>IF(inputPrYr!$B25&gt;"  ",(inputPrYr!$B25),"  ")</f>
        <v xml:space="preserve">  </v>
      </c>
      <c r="C27" s="149" t="str">
        <f>IF(inputPrYr!C25&gt;0,(inputPrYr!C25),"  ")</f>
        <v xml:space="preserve">  </v>
      </c>
      <c r="D27" s="142" t="str">
        <f>IF('levy page11'!C82&gt;0,'levy page11'!C82,"  ")</f>
        <v xml:space="preserve">  </v>
      </c>
      <c r="E27" s="855" t="str">
        <f>IF('levy page11'!$E$33&gt;0,'levy page11'!$E$33,"  ")</f>
        <v xml:space="preserve">  </v>
      </c>
      <c r="F27" s="868">
        <f>IF('levy page11'!$E$40&lt;&gt;0,'levy page11'!$E$40,0)</f>
        <v>0</v>
      </c>
      <c r="G27" s="857">
        <f t="shared" si="0"/>
        <v>0</v>
      </c>
    </row>
    <row r="28" spans="2:7" hidden="1" x14ac:dyDescent="0.2">
      <c r="B28" s="76" t="str">
        <f>IF(inputPrYr!$B26&gt;"  ",(inputPrYr!$B26),"  ")</f>
        <v xml:space="preserve">  </v>
      </c>
      <c r="C28" s="149" t="str">
        <f>IF(inputPrYr!C26&gt;0,(inputPrYr!C26),"  ")</f>
        <v xml:space="preserve">  </v>
      </c>
      <c r="D28" s="142" t="str">
        <f>IF('levy page11'!C82&gt;0,'levy page11'!C82,"  ")</f>
        <v xml:space="preserve">  </v>
      </c>
      <c r="E28" s="855" t="str">
        <f>IF('levy page11'!$E$73&gt;0,'levy page11'!$E$73,"  ")</f>
        <v xml:space="preserve">  </v>
      </c>
      <c r="F28" s="868">
        <f>IF('levy page11'!$E$80&lt;&gt;0,'levy page11'!$E$80,0)</f>
        <v>0</v>
      </c>
      <c r="G28" s="857">
        <f t="shared" si="0"/>
        <v>0</v>
      </c>
    </row>
    <row r="29" spans="2:7" hidden="1" x14ac:dyDescent="0.2">
      <c r="B29" s="76" t="str">
        <f>IF(inputPrYr!$B27&gt;"  ",(inputPrYr!$B27),"  ")</f>
        <v xml:space="preserve">  </v>
      </c>
      <c r="C29" s="149" t="str">
        <f>IF(inputPrYr!C27&gt;0,(inputPrYr!C27),"  ")</f>
        <v xml:space="preserve">  </v>
      </c>
      <c r="D29" s="142" t="str">
        <f>IF('levy page12'!C82&gt;0,'levy page12'!C82,"  ")</f>
        <v xml:space="preserve">  </v>
      </c>
      <c r="E29" s="855" t="str">
        <f>IF('levy page12'!$E$33&gt;0,'levy page12'!$E$33,"  ")</f>
        <v xml:space="preserve">  </v>
      </c>
      <c r="F29" s="868">
        <f>IF('levy page12'!$E$40&lt;&gt;0,'levy page12'!$E$40,0)</f>
        <v>0</v>
      </c>
      <c r="G29" s="857">
        <f t="shared" si="0"/>
        <v>0</v>
      </c>
    </row>
    <row r="30" spans="2:7" hidden="1" x14ac:dyDescent="0.2">
      <c r="B30" s="76" t="str">
        <f>IF(inputPrYr!$B28&gt;"  ",(inputPrYr!$B28),"  ")</f>
        <v xml:space="preserve">  </v>
      </c>
      <c r="C30" s="149" t="str">
        <f>IF(inputPrYr!C28&gt;0,(inputPrYr!C28),"  ")</f>
        <v xml:space="preserve">  </v>
      </c>
      <c r="D30" s="142" t="str">
        <f>IF('levy page12'!C82&gt;0,'levy page12'!C82,"  ")</f>
        <v xml:space="preserve">  </v>
      </c>
      <c r="E30" s="855" t="str">
        <f>IF('levy page12'!$E$73&gt;0,'levy page12'!$E$73,"  ")</f>
        <v xml:space="preserve">  </v>
      </c>
      <c r="F30" s="868">
        <f>IF('levy page12'!$E$80&lt;&gt;0,'levy page12'!$E$80,0)</f>
        <v>0</v>
      </c>
      <c r="G30" s="857">
        <f t="shared" si="0"/>
        <v>0</v>
      </c>
    </row>
    <row r="31" spans="2:7" hidden="1" x14ac:dyDescent="0.2">
      <c r="B31" s="76" t="str">
        <f>IF(inputPrYr!$B29&gt;"  ",(inputPrYr!$B29),"  ")</f>
        <v xml:space="preserve">  </v>
      </c>
      <c r="C31" s="149" t="str">
        <f>IF(inputPrYr!C29&gt;0,(inputPrYr!C29),"  ")</f>
        <v xml:space="preserve">  </v>
      </c>
      <c r="D31" s="142" t="str">
        <f>IF('levy page13'!C82&gt;0,'levy page13'!C82,"  ")</f>
        <v xml:space="preserve">  </v>
      </c>
      <c r="E31" s="855" t="str">
        <f>IF('levy page13'!$E$33&gt;0,'levy page13'!$E$33,"  ")</f>
        <v xml:space="preserve">  </v>
      </c>
      <c r="F31" s="868">
        <f>IF('levy page13'!$E$40&lt;&gt;0,'levy page13'!$E$40,0)</f>
        <v>0</v>
      </c>
      <c r="G31" s="857">
        <f t="shared" si="0"/>
        <v>0</v>
      </c>
    </row>
    <row r="32" spans="2:7" hidden="1" x14ac:dyDescent="0.2">
      <c r="B32" s="76" t="str">
        <f>IF(inputPrYr!$B30&gt;"  ",(inputPrYr!$B30),"  ")</f>
        <v xml:space="preserve">  </v>
      </c>
      <c r="C32" s="149" t="str">
        <f>IF(inputPrYr!C30&gt;0,(inputPrYr!C30),"  ")</f>
        <v xml:space="preserve">  </v>
      </c>
      <c r="D32" s="142" t="str">
        <f>IF('levy page13'!C82&gt;0,'levy page13'!C82,"  ")</f>
        <v xml:space="preserve">  </v>
      </c>
      <c r="E32" s="855" t="str">
        <f>IF('levy page13'!$E$73&gt;0,'levy page13'!$E$73,"  ")</f>
        <v xml:space="preserve">  </v>
      </c>
      <c r="F32" s="868">
        <f>IF('levy page13'!$E$80&lt;&gt;0,'levy page13'!$E$80,0)</f>
        <v>0</v>
      </c>
      <c r="G32" s="857">
        <f t="shared" si="0"/>
        <v>0</v>
      </c>
    </row>
    <row r="33" spans="2:7" x14ac:dyDescent="0.2">
      <c r="B33" s="150" t="str">
        <f>IF(inputPrYr!$B36&gt;"  ",(inputPrYr!$B36),"  ")</f>
        <v>Street Improvements</v>
      </c>
      <c r="C33" s="151"/>
      <c r="D33" s="152">
        <f>IF('St Imp-Refuse'!C59&gt;0,'St Imp-Refuse'!C59,"  ")</f>
        <v>17</v>
      </c>
      <c r="E33" s="855">
        <f>IF('St Imp-Refuse'!$E$29&gt;0,'St Imp-Refuse'!$E$29,"  ")</f>
        <v>182000</v>
      </c>
      <c r="F33" s="855"/>
      <c r="G33" s="869"/>
    </row>
    <row r="34" spans="2:7" x14ac:dyDescent="0.2">
      <c r="B34" s="150" t="str">
        <f>IF(inputPrYr!$B37&gt;"  ",(inputPrYr!$B37),"  ")</f>
        <v>Refuse</v>
      </c>
      <c r="C34" s="151"/>
      <c r="D34" s="152">
        <f>IF('St Imp-Refuse'!C59&gt;0,'St Imp-Refuse'!C59,"  ")</f>
        <v>17</v>
      </c>
      <c r="E34" s="855">
        <f>IF('St Imp-Refuse'!$E$53&gt;0,'St Imp-Refuse'!$E$53,"  ")</f>
        <v>379700</v>
      </c>
      <c r="F34" s="855"/>
      <c r="G34" s="869"/>
    </row>
    <row r="35" spans="2:7" x14ac:dyDescent="0.2">
      <c r="B35" s="150" t="str">
        <f>IF(inputPrYr!$B38&gt;"  ",(inputPrYr!$B38),"  ")</f>
        <v>Golf Course</v>
      </c>
      <c r="C35" s="153"/>
      <c r="D35" s="152">
        <f>IF('Golf-911'!C61&gt;0,'Golf-911'!C61,"  ")</f>
        <v>18</v>
      </c>
      <c r="E35" s="855">
        <f>IF('Golf-911'!$E$32&gt;0,'Golf-911'!$E$32,"  ")</f>
        <v>255122.78599999999</v>
      </c>
      <c r="F35" s="855"/>
      <c r="G35" s="869"/>
    </row>
    <row r="36" spans="2:7" x14ac:dyDescent="0.2">
      <c r="B36" s="150" t="str">
        <f>IF(inputPrYr!$B39&gt;"  ",(inputPrYr!$B39),"  ")</f>
        <v>Special Revenue (911)</v>
      </c>
      <c r="C36" s="151"/>
      <c r="D36" s="152">
        <f>IF('Golf-911'!C61&gt;0,'Golf-911'!C61,"  ")</f>
        <v>18</v>
      </c>
      <c r="E36" s="855">
        <f>IF('Golf-911'!$E$55&gt;0,'Golf-911'!$E$55,"  ")</f>
        <v>9897</v>
      </c>
      <c r="F36" s="855"/>
      <c r="G36" s="869"/>
    </row>
    <row r="37" spans="2:7" x14ac:dyDescent="0.2">
      <c r="B37" s="150" t="str">
        <f>IF(inputPrYr!$B40&gt;"  ",(inputPrYr!$B40),"  ")</f>
        <v>Tourism</v>
      </c>
      <c r="C37" s="153"/>
      <c r="D37" s="152">
        <f>IF(Tourism!C64&gt;0,Tourism!C64,"  ")</f>
        <v>19</v>
      </c>
      <c r="E37" s="855">
        <f>IF(Tourism!$E$34&gt;0,Tourism!$E$34,"  ")</f>
        <v>74380</v>
      </c>
      <c r="F37" s="855"/>
      <c r="G37" s="869"/>
    </row>
    <row r="38" spans="2:7" hidden="1" x14ac:dyDescent="0.2">
      <c r="B38" s="150" t="str">
        <f>IF(inputPrYr!$B41&gt;"  ",(inputPrYr!$B41),"  ")</f>
        <v xml:space="preserve">  </v>
      </c>
      <c r="C38" s="154"/>
      <c r="D38" s="152">
        <f>IF(Tourism!C64&gt;0,Tourism!C64,"  ")</f>
        <v>19</v>
      </c>
      <c r="E38" s="855" t="str">
        <f>IF(Tourism!$E$58&gt;0,Tourism!$E$58,"  ")</f>
        <v xml:space="preserve">  </v>
      </c>
      <c r="F38" s="855"/>
      <c r="G38" s="869"/>
    </row>
    <row r="39" spans="2:7" hidden="1" x14ac:dyDescent="0.2">
      <c r="B39" s="150" t="str">
        <f>IF(inputPrYr!$B42&gt;"  ",(inputPrYr!$B42),"  ")</f>
        <v xml:space="preserve">  </v>
      </c>
      <c r="C39" s="154"/>
      <c r="D39" s="152" t="str">
        <f>IF('levy 7'!C60&gt;0,'levy 7'!C60,"  ")</f>
        <v xml:space="preserve">  </v>
      </c>
      <c r="E39" s="855" t="str">
        <f>IF('levy 7'!$E$23&gt;0,'levy 7'!$E$23,"  ")</f>
        <v xml:space="preserve">  </v>
      </c>
      <c r="F39" s="855"/>
      <c r="G39" s="869"/>
    </row>
    <row r="40" spans="2:7" hidden="1" x14ac:dyDescent="0.2">
      <c r="B40" s="150" t="str">
        <f>IF(inputPrYr!$B43&gt;"  ",(inputPrYr!$B43),"  ")</f>
        <v xml:space="preserve">  </v>
      </c>
      <c r="C40" s="154"/>
      <c r="D40" s="152" t="str">
        <f>IF('levy 7'!C60&gt;0,'levy 7'!C60,"  ")</f>
        <v xml:space="preserve">  </v>
      </c>
      <c r="E40" s="855" t="str">
        <f>IF('levy 7'!$E$54&gt;0,'levy 7'!$E$54,"  ")</f>
        <v xml:space="preserve">  </v>
      </c>
      <c r="F40" s="855"/>
      <c r="G40" s="869"/>
    </row>
    <row r="41" spans="2:7" hidden="1" x14ac:dyDescent="0.2">
      <c r="B41" s="150" t="str">
        <f>IF(inputPrYr!$B44&gt;"  ",(inputPrYr!$B44),"  ")</f>
        <v xml:space="preserve">  </v>
      </c>
      <c r="C41" s="151"/>
      <c r="D41" s="152" t="str">
        <f>IF('Levy 8'!C53&gt;0,'Levy 8'!C53,"  ")</f>
        <v xml:space="preserve">  </v>
      </c>
      <c r="E41" s="855" t="str">
        <f>IF('Levy 8'!$E$23&gt;0,'Levy 8'!$E$23,"  ")</f>
        <v xml:space="preserve">  </v>
      </c>
      <c r="F41" s="855"/>
      <c r="G41" s="869"/>
    </row>
    <row r="42" spans="2:7" hidden="1" x14ac:dyDescent="0.2">
      <c r="B42" s="150" t="str">
        <f>IF(inputPrYr!$B45&gt;"  ",(inputPrYr!$B45),"  ")</f>
        <v xml:space="preserve">  </v>
      </c>
      <c r="C42" s="151"/>
      <c r="D42" s="152" t="str">
        <f>IF('Levy 8'!C53&gt;0,'Levy 8'!C53,"  ")</f>
        <v xml:space="preserve">  </v>
      </c>
      <c r="E42" s="855" t="str">
        <f>IF('Levy 8'!$E$47&gt;0,'Levy 8'!$E$47,"  ")</f>
        <v xml:space="preserve">  </v>
      </c>
      <c r="F42" s="855"/>
      <c r="G42" s="869"/>
    </row>
    <row r="43" spans="2:7" hidden="1" x14ac:dyDescent="0.2">
      <c r="B43" s="150" t="str">
        <f>IF(inputPrYr!$B46&gt;"  ",(inputPrYr!$B46),"  ")</f>
        <v xml:space="preserve">  </v>
      </c>
      <c r="C43" s="151"/>
      <c r="D43" s="152" t="str">
        <f>IF(levy9!C58&gt;0,levy9!C58,"  ")</f>
        <v xml:space="preserve">  </v>
      </c>
      <c r="E43" s="855" t="str">
        <f>IF(levy9!$E$21&gt;0,levy9!$E$21,"  ")</f>
        <v xml:space="preserve">  </v>
      </c>
      <c r="F43" s="855"/>
      <c r="G43" s="869"/>
    </row>
    <row r="44" spans="2:7" hidden="1" x14ac:dyDescent="0.2">
      <c r="B44" s="150" t="str">
        <f>IF(inputPrYr!$B47&gt;"  ",(inputPrYr!$B47),"  ")</f>
        <v xml:space="preserve">  </v>
      </c>
      <c r="C44" s="151"/>
      <c r="D44" s="152" t="str">
        <f>IF(levy9!C58&gt;0,levy9!C58,"  ")</f>
        <v xml:space="preserve">  </v>
      </c>
      <c r="E44" s="855" t="str">
        <f>IF(levy9!$E$52&gt;0,levy9!$E$52,"  ")</f>
        <v xml:space="preserve">  </v>
      </c>
      <c r="F44" s="855"/>
      <c r="G44" s="869"/>
    </row>
    <row r="45" spans="2:7" hidden="1" x14ac:dyDescent="0.2">
      <c r="B45" s="150" t="str">
        <f>IF(inputPrYr!$B48&gt;"  ",(inputPrYr!$B48),"  ")</f>
        <v xml:space="preserve">  </v>
      </c>
      <c r="C45" s="151"/>
      <c r="D45" s="152" t="str">
        <f>IF(levy10!C67&gt;0,levy10!C67,"  ")</f>
        <v xml:space="preserve">  </v>
      </c>
      <c r="E45" s="855" t="str">
        <f>IF(levy10!$E$30&gt;0,levy10!$E$30,"  ")</f>
        <v xml:space="preserve">  </v>
      </c>
      <c r="F45" s="855"/>
      <c r="G45" s="869"/>
    </row>
    <row r="46" spans="2:7" hidden="1" x14ac:dyDescent="0.2">
      <c r="B46" s="150" t="str">
        <f>IF(inputPrYr!$B49&gt;"  ",(inputPrYr!$B49),"  ")</f>
        <v xml:space="preserve">  </v>
      </c>
      <c r="C46" s="151"/>
      <c r="D46" s="152" t="str">
        <f>IF(levy10!C67&gt;0,levy10!C67,"  ")</f>
        <v xml:space="preserve">  </v>
      </c>
      <c r="E46" s="855" t="str">
        <f>IF(levy10!$E$61&gt;0,levy10!$E$61,"  ")</f>
        <v xml:space="preserve">  </v>
      </c>
      <c r="F46" s="855"/>
      <c r="G46" s="869"/>
    </row>
    <row r="47" spans="2:7" hidden="1" x14ac:dyDescent="0.2">
      <c r="B47" s="150" t="str">
        <f>IF(inputPrYr!$B50&gt;"  ",(inputPrYr!$B50),"  ")</f>
        <v xml:space="preserve">  </v>
      </c>
      <c r="C47" s="153"/>
      <c r="D47" s="152" t="str">
        <f>IF('no levy page21'!C67&gt;0,'no levy page21'!C67,"  ")</f>
        <v xml:space="preserve">  </v>
      </c>
      <c r="E47" s="855" t="str">
        <f>IF('no levy page21'!$E$30&gt;0,'no levy page21'!$E$30,"  ")</f>
        <v xml:space="preserve">  </v>
      </c>
      <c r="F47" s="855"/>
      <c r="G47" s="869"/>
    </row>
    <row r="48" spans="2:7" hidden="1" x14ac:dyDescent="0.2">
      <c r="B48" s="150" t="str">
        <f>IF(inputPrYr!$B51&gt;"  ",(inputPrYr!$B51),"  ")</f>
        <v xml:space="preserve">  </v>
      </c>
      <c r="C48" s="154"/>
      <c r="D48" s="152" t="str">
        <f>IF('no levy page21'!C67&gt;0,'no levy page21'!C67,"  ")</f>
        <v xml:space="preserve">  </v>
      </c>
      <c r="E48" s="855" t="str">
        <f>IF('no levy page21'!$E$61&gt;0,'no levy page21'!$E$61,"  ")</f>
        <v xml:space="preserve">  </v>
      </c>
      <c r="F48" s="855"/>
      <c r="G48" s="869"/>
    </row>
    <row r="49" spans="2:8" x14ac:dyDescent="0.2">
      <c r="B49" s="150" t="str">
        <f>IF(inputPrYr!$B53&gt;"  ",(inputPrYr!$B53),"  ")</f>
        <v>Water</v>
      </c>
      <c r="C49" s="151"/>
      <c r="D49" s="152">
        <f>IF(Water!C44&gt;0,Water!C44,"  ")</f>
        <v>20</v>
      </c>
      <c r="E49" s="855">
        <f>IF(Water!$E$38&gt;0,Water!$E$38,"  ")</f>
        <v>903467</v>
      </c>
      <c r="F49" s="855"/>
      <c r="G49" s="869"/>
    </row>
    <row r="50" spans="2:8" x14ac:dyDescent="0.2">
      <c r="B50" s="150" t="str">
        <f>IF(inputPrYr!$B54&gt;"  ",(inputPrYr!$B54),"  ")</f>
        <v>Electric</v>
      </c>
      <c r="C50" s="151"/>
      <c r="D50" s="152">
        <f>IF(Elec!C51&gt;0,Elec!C51,"  ")</f>
        <v>21</v>
      </c>
      <c r="E50" s="855">
        <f>IF(Elec!$E$45&gt;0,Elec!$E$45,"  ")</f>
        <v>4143113</v>
      </c>
      <c r="F50" s="855"/>
      <c r="G50" s="869"/>
    </row>
    <row r="51" spans="2:8" x14ac:dyDescent="0.2">
      <c r="B51" s="150" t="str">
        <f>IF(inputPrYr!$B55&gt;"  ",(inputPrYr!$B55),"  ")</f>
        <v>Sewer</v>
      </c>
      <c r="C51" s="153"/>
      <c r="D51" s="152">
        <f>IF(Sewer!C35&gt;0,Sewer!C35,"  ")</f>
        <v>22</v>
      </c>
      <c r="E51" s="855">
        <f>IF(Sewer!$E$29&gt;0,Sewer!$E$29,"  ")</f>
        <v>893881.00000000012</v>
      </c>
      <c r="F51" s="855"/>
      <c r="G51" s="869"/>
    </row>
    <row r="52" spans="2:8" x14ac:dyDescent="0.2">
      <c r="B52" s="150" t="str">
        <f>IF(inputPrYr!$B56&gt;"  ",(inputPrYr!$B56),"  ")</f>
        <v>Special Parks &amp; Recreation</v>
      </c>
      <c r="C52" s="151"/>
      <c r="D52" s="152">
        <f>IF('SP&amp;R'!C43&gt;0,'SP&amp;R'!C43,"  ")</f>
        <v>23</v>
      </c>
      <c r="E52" s="855">
        <f>IF('SP&amp;R'!$E$37&gt;0,'SP&amp;R'!$E$37,"  ")</f>
        <v>255766.21432476764</v>
      </c>
      <c r="F52" s="855"/>
      <c r="G52" s="869"/>
    </row>
    <row r="53" spans="2:8" x14ac:dyDescent="0.2">
      <c r="B53" s="150" t="str">
        <f>IF(inputPrYr!$B59&gt;"  ",('CIP Funds'!$A3),"  ")</f>
        <v>Non-Budgeted CIP Funds</v>
      </c>
      <c r="C53" s="154"/>
      <c r="D53" s="152">
        <f>IF('CIP Funds'!F27&gt;0,'CIP Funds'!F27,"  ")</f>
        <v>24</v>
      </c>
      <c r="E53" s="855"/>
      <c r="F53" s="855"/>
      <c r="G53" s="869"/>
    </row>
    <row r="54" spans="2:8" x14ac:dyDescent="0.2">
      <c r="B54" s="150" t="str">
        <f>IF(inputPrYr!$B65&gt;"  ",('Agency Funds1'!$A3),"  ")</f>
        <v>Non-Budgeted Agency Funds 1</v>
      </c>
      <c r="C54" s="154"/>
      <c r="D54" s="152">
        <f>IF('Agency Funds1'!F27&gt;0,'Agency Funds1'!F27,"  ")</f>
        <v>25</v>
      </c>
      <c r="E54" s="855"/>
      <c r="F54" s="855"/>
      <c r="G54" s="869"/>
    </row>
    <row r="55" spans="2:8" x14ac:dyDescent="0.2">
      <c r="B55" s="150" t="str">
        <f>IF(inputPrYr!$B71&gt;"  ",('Agency Funds2'!$A3),"  ")</f>
        <v>Non-Budgeted Agency Funds 2</v>
      </c>
      <c r="C55" s="151"/>
      <c r="D55" s="152">
        <f>IF('Agency Funds2'!F27&gt;0,'Agency Funds2'!F27,"  ")</f>
        <v>26</v>
      </c>
      <c r="E55" s="855"/>
      <c r="F55" s="855"/>
      <c r="G55" s="869"/>
    </row>
    <row r="56" spans="2:8" ht="16.5" thickBot="1" x14ac:dyDescent="0.25">
      <c r="B56" s="150" t="str">
        <f>IF(inputPrYr!$B77&gt;"  ",(NonBudD!$A3),"  ")</f>
        <v xml:space="preserve">  </v>
      </c>
      <c r="C56" s="153"/>
      <c r="D56" s="152" t="str">
        <f>IF(NonBudD!F33&gt;0,NonBudD!F33,"  ")</f>
        <v xml:space="preserve">  </v>
      </c>
      <c r="E56" s="870"/>
      <c r="F56" s="870"/>
      <c r="G56" s="871"/>
    </row>
    <row r="57" spans="2:8" x14ac:dyDescent="0.2">
      <c r="B57" s="406" t="s">
        <v>490</v>
      </c>
      <c r="C57" s="82"/>
      <c r="D57" s="251" t="s">
        <v>839</v>
      </c>
      <c r="E57" s="872">
        <f>SUM(E20:E56)</f>
        <v>11064076.112698767</v>
      </c>
      <c r="F57" s="872">
        <f>SUM(F20:F56)</f>
        <v>1349898.0607740001</v>
      </c>
      <c r="G57" s="873">
        <f>IF(SUM(G20:G56)=0,"",SUM(G20:G56))</f>
        <v>59.930999999999997</v>
      </c>
    </row>
    <row r="58" spans="2:8" x14ac:dyDescent="0.2">
      <c r="B58" s="141" t="str">
        <f>inputPrYr!B33</f>
        <v>Recreation</v>
      </c>
      <c r="C58" s="377" t="s">
        <v>489</v>
      </c>
      <c r="D58" s="142">
        <f>IF('Library-Rec'!C77&gt;0,'Library-Rec'!C77,"  ")</f>
        <v>13</v>
      </c>
      <c r="E58" s="855">
        <f>IF('Library-Rec'!E68&lt;&gt;0,'Library-Rec'!E68,"  ")</f>
        <v>783</v>
      </c>
      <c r="F58" s="868">
        <f>IF('Library-Rec'!E75&lt;&gt;0,'Library-Rec'!E75,0)</f>
        <v>0</v>
      </c>
      <c r="G58" s="857">
        <f>IF($G$61=0,0,ROUND(F58/$G$61*1000,3))</f>
        <v>0</v>
      </c>
      <c r="H58" s="21" t="str">
        <f>IF(G58&gt;inputOth!E6,"Exceed Limit","")</f>
        <v/>
      </c>
    </row>
    <row r="59" spans="2:8" ht="16.5" thickBot="1" x14ac:dyDescent="0.25">
      <c r="B59" s="434" t="s">
        <v>491</v>
      </c>
      <c r="C59" s="435"/>
      <c r="D59" s="251" t="s">
        <v>839</v>
      </c>
      <c r="E59" s="874">
        <f>SUM(E57:E58)</f>
        <v>11064859.112698767</v>
      </c>
      <c r="F59" s="874">
        <f>SUM(F57:F58)</f>
        <v>1349898.0607740001</v>
      </c>
      <c r="G59" s="875" t="s">
        <v>486</v>
      </c>
    </row>
    <row r="60" spans="2:8" ht="16.5" thickTop="1" x14ac:dyDescent="0.2">
      <c r="B60" s="155" t="s">
        <v>1076</v>
      </c>
      <c r="C60" s="156"/>
      <c r="D60" s="157"/>
      <c r="E60" s="158"/>
      <c r="F60" s="159" t="str">
        <f>IF(F57&gt;computation!J40,"Yes","No")</f>
        <v>Yes</v>
      </c>
      <c r="G60" s="433" t="s">
        <v>980</v>
      </c>
    </row>
    <row r="61" spans="2:8" x14ac:dyDescent="0.2">
      <c r="B61" s="141" t="s">
        <v>1075</v>
      </c>
      <c r="C61" s="82"/>
      <c r="D61" s="142">
        <f>summ!D73</f>
        <v>27</v>
      </c>
      <c r="E61" s="36"/>
      <c r="F61" s="36"/>
      <c r="G61" s="543">
        <v>22523893</v>
      </c>
    </row>
    <row r="62" spans="2:8" x14ac:dyDescent="0.2">
      <c r="B62" s="141" t="s">
        <v>729</v>
      </c>
      <c r="C62" s="82"/>
      <c r="D62" s="142" t="str">
        <f>IF(nhood!C40&gt;0,nhood!C40,"")</f>
        <v/>
      </c>
      <c r="E62" s="36"/>
      <c r="F62" s="36"/>
      <c r="G62" s="950" t="str">
        <f>CONCATENATE("Nov 1, ",I1-1," Total Assessed Valuation")</f>
        <v>Nov 1, 2013 Total Assessed Valuation</v>
      </c>
    </row>
    <row r="63" spans="2:8" x14ac:dyDescent="0.2">
      <c r="B63" s="64" t="s">
        <v>840</v>
      </c>
      <c r="C63" s="65"/>
      <c r="D63" s="65"/>
      <c r="E63" s="65"/>
      <c r="F63" s="65"/>
      <c r="G63" s="951"/>
    </row>
    <row r="64" spans="2:8" x14ac:dyDescent="0.2">
      <c r="B64" s="344"/>
      <c r="C64" s="65"/>
      <c r="D64" s="36"/>
      <c r="E64" s="280"/>
      <c r="F64" s="65"/>
      <c r="G64" s="65"/>
    </row>
    <row r="65" spans="2:7" x14ac:dyDescent="0.2">
      <c r="B65" s="345"/>
      <c r="C65" s="65"/>
      <c r="D65" s="65" t="s">
        <v>757</v>
      </c>
      <c r="E65" s="280"/>
      <c r="F65" s="65"/>
      <c r="G65" s="65"/>
    </row>
    <row r="66" spans="2:7" x14ac:dyDescent="0.2">
      <c r="B66" s="64" t="s">
        <v>992</v>
      </c>
      <c r="C66" s="36"/>
      <c r="D66" s="64"/>
      <c r="E66" s="280"/>
      <c r="F66" s="65"/>
      <c r="G66" s="65"/>
    </row>
    <row r="67" spans="2:7" x14ac:dyDescent="0.2">
      <c r="B67" s="344"/>
      <c r="C67" s="65"/>
      <c r="D67" s="65" t="s">
        <v>757</v>
      </c>
      <c r="E67" s="280"/>
      <c r="F67" s="280"/>
      <c r="G67" s="280"/>
    </row>
    <row r="68" spans="2:7" x14ac:dyDescent="0.2">
      <c r="B68" s="345"/>
      <c r="C68" s="160"/>
      <c r="D68" s="65"/>
      <c r="E68" s="65"/>
      <c r="F68" s="756"/>
      <c r="G68" s="756"/>
    </row>
    <row r="69" spans="2:7" x14ac:dyDescent="0.2">
      <c r="B69" s="66" t="s">
        <v>756</v>
      </c>
      <c r="C69" s="160"/>
      <c r="D69" s="65" t="s">
        <v>757</v>
      </c>
      <c r="E69" s="65"/>
      <c r="F69" s="757"/>
      <c r="G69" s="757"/>
    </row>
    <row r="70" spans="2:7" x14ac:dyDescent="0.2">
      <c r="B70" s="344"/>
      <c r="C70" s="161"/>
      <c r="D70" s="65"/>
      <c r="E70" s="65"/>
      <c r="F70" s="756"/>
      <c r="G70" s="756"/>
    </row>
    <row r="71" spans="2:7" x14ac:dyDescent="0.2">
      <c r="B71" s="280"/>
      <c r="C71" s="161"/>
      <c r="D71" s="65" t="s">
        <v>757</v>
      </c>
      <c r="E71" s="65"/>
      <c r="F71" s="757"/>
      <c r="G71" s="757"/>
    </row>
    <row r="72" spans="2:7" x14ac:dyDescent="0.2">
      <c r="B72" s="41" t="s">
        <v>722</v>
      </c>
      <c r="C72" s="162">
        <f>I1-1</f>
        <v>2013</v>
      </c>
      <c r="D72" s="65"/>
      <c r="E72" s="65"/>
      <c r="F72" s="758"/>
      <c r="G72" s="65"/>
    </row>
    <row r="73" spans="2:7" x14ac:dyDescent="0.2">
      <c r="B73" s="133"/>
      <c r="C73" s="36"/>
      <c r="D73" s="65" t="s">
        <v>757</v>
      </c>
      <c r="E73" s="65"/>
      <c r="F73" s="65"/>
      <c r="G73" s="65"/>
    </row>
    <row r="74" spans="2:7" x14ac:dyDescent="0.2">
      <c r="B74" s="128" t="s">
        <v>842</v>
      </c>
      <c r="C74" s="36"/>
      <c r="D74" s="948" t="s">
        <v>841</v>
      </c>
      <c r="E74" s="949"/>
      <c r="F74" s="949"/>
      <c r="G74" s="949"/>
    </row>
    <row r="75" spans="2:7" x14ac:dyDescent="0.2">
      <c r="B75" s="21"/>
    </row>
    <row r="85" spans="2:7" ht="15" x14ac:dyDescent="0.2">
      <c r="B85" s="95"/>
      <c r="C85" s="95"/>
      <c r="D85" s="95"/>
      <c r="E85" s="95"/>
      <c r="F85" s="95"/>
      <c r="G85" s="95"/>
    </row>
    <row r="86" spans="2:7" ht="15" x14ac:dyDescent="0.2">
      <c r="B86" s="95"/>
      <c r="C86" s="95"/>
      <c r="D86" s="95"/>
      <c r="E86" s="95"/>
      <c r="F86" s="95"/>
      <c r="G86" s="95"/>
    </row>
    <row r="87" spans="2:7" ht="15" x14ac:dyDescent="0.2">
      <c r="B87" s="95"/>
      <c r="C87" s="95"/>
      <c r="D87" s="95"/>
      <c r="E87" s="95"/>
      <c r="F87" s="95"/>
      <c r="G87" s="95"/>
    </row>
    <row r="88" spans="2:7" ht="15" x14ac:dyDescent="0.2">
      <c r="B88" s="95"/>
      <c r="C88" s="95"/>
      <c r="D88" s="95"/>
      <c r="E88" s="95"/>
      <c r="F88" s="95"/>
      <c r="G88" s="95"/>
    </row>
    <row r="89" spans="2:7" ht="15" x14ac:dyDescent="0.2">
      <c r="B89" s="95"/>
      <c r="C89" s="95"/>
      <c r="D89" s="95"/>
      <c r="E89" s="95"/>
      <c r="F89" s="95"/>
      <c r="G89" s="95"/>
    </row>
    <row r="90" spans="2:7" ht="15" x14ac:dyDescent="0.2">
      <c r="B90" s="95"/>
      <c r="C90" s="95"/>
      <c r="D90" s="95"/>
      <c r="E90" s="95"/>
      <c r="F90" s="95"/>
      <c r="G90" s="95"/>
    </row>
    <row r="91" spans="2:7" ht="15" x14ac:dyDescent="0.2">
      <c r="B91" s="95"/>
      <c r="C91" s="95"/>
      <c r="D91" s="95"/>
      <c r="E91" s="95"/>
      <c r="F91" s="95"/>
      <c r="G91" s="95"/>
    </row>
    <row r="92" spans="2:7" ht="15" x14ac:dyDescent="0.2">
      <c r="B92" s="95"/>
      <c r="C92" s="95"/>
      <c r="D92" s="95"/>
      <c r="E92" s="95"/>
      <c r="F92" s="95"/>
      <c r="G92" s="95"/>
    </row>
    <row r="93" spans="2:7" ht="15" x14ac:dyDescent="0.2">
      <c r="B93" s="95"/>
      <c r="C93" s="95"/>
      <c r="D93" s="95"/>
      <c r="E93" s="95"/>
      <c r="F93" s="95"/>
      <c r="G93" s="95"/>
    </row>
    <row r="94" spans="2:7" ht="15" x14ac:dyDescent="0.2">
      <c r="B94" s="95"/>
      <c r="C94" s="95"/>
      <c r="D94" s="95"/>
      <c r="E94" s="95"/>
      <c r="F94" s="95"/>
      <c r="G94" s="95"/>
    </row>
    <row r="95" spans="2:7" ht="15" x14ac:dyDescent="0.2">
      <c r="B95" s="95"/>
      <c r="C95" s="95"/>
      <c r="D95" s="95"/>
      <c r="E95" s="95"/>
      <c r="F95" s="95"/>
      <c r="G95" s="95"/>
    </row>
    <row r="96" spans="2:7" ht="15" x14ac:dyDescent="0.2">
      <c r="B96" s="95"/>
      <c r="C96" s="95"/>
      <c r="D96" s="95"/>
      <c r="E96" s="95"/>
      <c r="F96" s="95"/>
      <c r="G96" s="95"/>
    </row>
    <row r="97" spans="2:7" ht="15" x14ac:dyDescent="0.2">
      <c r="B97" s="95"/>
      <c r="C97" s="95"/>
      <c r="D97" s="95"/>
      <c r="E97" s="95"/>
      <c r="F97" s="95"/>
      <c r="G97" s="95"/>
    </row>
    <row r="98" spans="2:7" ht="15" x14ac:dyDescent="0.2">
      <c r="B98" s="95"/>
      <c r="C98" s="95"/>
      <c r="D98" s="95"/>
      <c r="E98" s="95"/>
      <c r="F98" s="95"/>
      <c r="G98" s="95"/>
    </row>
    <row r="99" spans="2:7" ht="15" x14ac:dyDescent="0.2">
      <c r="B99" s="95"/>
      <c r="C99" s="95"/>
      <c r="D99" s="95"/>
      <c r="E99" s="95"/>
      <c r="F99" s="95"/>
      <c r="G99" s="95"/>
    </row>
    <row r="100" spans="2:7" ht="15" x14ac:dyDescent="0.2">
      <c r="B100" s="95"/>
      <c r="C100" s="95"/>
      <c r="D100" s="95"/>
      <c r="E100" s="95"/>
      <c r="F100" s="95"/>
      <c r="G100" s="95"/>
    </row>
    <row r="103" spans="2:7" x14ac:dyDescent="0.2">
      <c r="B103" s="21"/>
      <c r="C103" s="21"/>
      <c r="D103" s="21"/>
      <c r="E103" s="21"/>
      <c r="F103" s="21"/>
      <c r="G103" s="21"/>
    </row>
  </sheetData>
  <mergeCells count="4">
    <mergeCell ref="B4:G4"/>
    <mergeCell ref="B2:G2"/>
    <mergeCell ref="D74:G74"/>
    <mergeCell ref="G62:G63"/>
  </mergeCells>
  <phoneticPr fontId="0" type="noConversion"/>
  <printOptions horizontalCentered="1"/>
  <pageMargins left="0.5" right="0.5" top="0.5" bottom="0.5" header="0.3" footer="0.3"/>
  <pageSetup scale="83" orientation="portrait" blackAndWhite="1" horizontalDpi="120" verticalDpi="14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zoomScale="85" zoomScaleNormal="85" workbookViewId="0">
      <selection activeCell="J6" sqref="J6"/>
    </sheetView>
  </sheetViews>
  <sheetFormatPr defaultRowHeight="15.95" customHeight="1" x14ac:dyDescent="0.2"/>
  <cols>
    <col min="1" max="2" width="3.33203125" style="21" customWidth="1"/>
    <col min="3" max="3" width="31.33203125" style="21" customWidth="1"/>
    <col min="4" max="4" width="2.33203125" style="21" customWidth="1"/>
    <col min="5" max="5" width="15.77734375" style="21" customWidth="1"/>
    <col min="6" max="6" width="2" style="21" customWidth="1"/>
    <col min="7" max="7" width="15.77734375" style="21" customWidth="1"/>
    <col min="8" max="8" width="1.88671875" style="21" customWidth="1"/>
    <col min="9" max="9" width="1.77734375" style="21" customWidth="1"/>
    <col min="10" max="10" width="15.77734375" style="21" customWidth="1"/>
    <col min="11" max="16384" width="8.88671875" style="21"/>
  </cols>
  <sheetData>
    <row r="1" spans="1:10" ht="15.95" customHeight="1" x14ac:dyDescent="0.2">
      <c r="A1" s="164"/>
      <c r="B1" s="164"/>
      <c r="C1" s="165" t="str">
        <f>inputPrYr!D2</f>
        <v>City of Osawatomie</v>
      </c>
      <c r="D1" s="164"/>
      <c r="E1" s="164"/>
      <c r="F1" s="164"/>
      <c r="G1" s="164"/>
      <c r="H1" s="164"/>
      <c r="I1" s="164"/>
      <c r="J1" s="164">
        <f>inputPrYr!C5</f>
        <v>2014</v>
      </c>
    </row>
    <row r="2" spans="1:10" ht="15.95" customHeight="1" x14ac:dyDescent="0.2">
      <c r="A2" s="164"/>
      <c r="B2" s="164"/>
      <c r="C2" s="164"/>
      <c r="D2" s="164"/>
      <c r="E2" s="164"/>
      <c r="F2" s="164"/>
      <c r="G2" s="164"/>
      <c r="H2" s="164"/>
      <c r="I2" s="164"/>
      <c r="J2" s="164"/>
    </row>
    <row r="3" spans="1:10" ht="15.75" x14ac:dyDescent="0.2">
      <c r="A3" s="953" t="str">
        <f>CONCATENATE("Computation to Determine Limit for ",J1,"")</f>
        <v>Computation to Determine Limit for 2014</v>
      </c>
      <c r="B3" s="954"/>
      <c r="C3" s="954"/>
      <c r="D3" s="954"/>
      <c r="E3" s="954"/>
      <c r="F3" s="954"/>
      <c r="G3" s="954"/>
      <c r="H3" s="954"/>
      <c r="I3" s="954"/>
      <c r="J3" s="954"/>
    </row>
    <row r="4" spans="1:10" ht="15.75" x14ac:dyDescent="0.2">
      <c r="A4" s="164"/>
      <c r="B4" s="164"/>
      <c r="C4" s="164"/>
      <c r="D4" s="164"/>
      <c r="E4" s="954"/>
      <c r="F4" s="954"/>
      <c r="G4" s="954"/>
      <c r="H4" s="166"/>
      <c r="I4" s="164"/>
      <c r="J4" s="167" t="s">
        <v>925</v>
      </c>
    </row>
    <row r="5" spans="1:10" ht="15.75" x14ac:dyDescent="0.2">
      <c r="A5" s="168" t="s">
        <v>926</v>
      </c>
      <c r="B5" s="164" t="str">
        <f>CONCATENATE("Total Tax Levy Amount in ",J1-1," Budget")</f>
        <v>Total Tax Levy Amount in 2013 Budget</v>
      </c>
      <c r="C5" s="164"/>
      <c r="D5" s="164"/>
      <c r="E5" s="169"/>
      <c r="F5" s="169"/>
      <c r="G5" s="169"/>
      <c r="H5" s="170" t="s">
        <v>927</v>
      </c>
      <c r="I5" s="169" t="s">
        <v>928</v>
      </c>
      <c r="J5" s="171">
        <f>inputPrYr!E31</f>
        <v>1323632.6024720224</v>
      </c>
    </row>
    <row r="6" spans="1:10" ht="15.75" x14ac:dyDescent="0.2">
      <c r="A6" s="168" t="s">
        <v>929</v>
      </c>
      <c r="B6" s="164" t="str">
        <f>CONCATENATE("Debt Service Levy in ",J1-1," Budget")</f>
        <v>Debt Service Levy in 2013 Budget</v>
      </c>
      <c r="C6" s="164"/>
      <c r="D6" s="164"/>
      <c r="E6" s="169"/>
      <c r="F6" s="169"/>
      <c r="G6" s="169"/>
      <c r="H6" s="170" t="s">
        <v>930</v>
      </c>
      <c r="I6" s="169" t="s">
        <v>928</v>
      </c>
      <c r="J6" s="172">
        <f>inputPrYr!E18</f>
        <v>237409.65000000002</v>
      </c>
    </row>
    <row r="7" spans="1:10" ht="15.75" x14ac:dyDescent="0.2">
      <c r="A7" s="168" t="s">
        <v>956</v>
      </c>
      <c r="B7" s="173" t="s">
        <v>953</v>
      </c>
      <c r="C7" s="164"/>
      <c r="D7" s="164"/>
      <c r="E7" s="169"/>
      <c r="F7" s="169"/>
      <c r="G7" s="169"/>
      <c r="H7" s="169"/>
      <c r="I7" s="169" t="s">
        <v>928</v>
      </c>
      <c r="J7" s="174">
        <f>J5-J6</f>
        <v>1086222.9524720223</v>
      </c>
    </row>
    <row r="8" spans="1:10" ht="15.75" x14ac:dyDescent="0.2">
      <c r="A8" s="164"/>
      <c r="B8" s="164"/>
      <c r="C8" s="164"/>
      <c r="D8" s="164"/>
      <c r="E8" s="169"/>
      <c r="F8" s="169"/>
      <c r="G8" s="169"/>
      <c r="H8" s="169"/>
      <c r="I8" s="169"/>
      <c r="J8" s="169"/>
    </row>
    <row r="9" spans="1:10" ht="15.75" x14ac:dyDescent="0.2">
      <c r="A9" s="164"/>
      <c r="B9" s="173" t="str">
        <f>CONCATENATE("",J1-1," Valuation Information for Valuation Adjustments:")</f>
        <v>2013 Valuation Information for Valuation Adjustments:</v>
      </c>
      <c r="C9" s="164"/>
      <c r="D9" s="164"/>
      <c r="E9" s="169"/>
      <c r="F9" s="169"/>
      <c r="G9" s="169"/>
      <c r="H9" s="169"/>
      <c r="I9" s="169"/>
      <c r="J9" s="169"/>
    </row>
    <row r="10" spans="1:10" ht="15.75" x14ac:dyDescent="0.2">
      <c r="A10" s="164"/>
      <c r="B10" s="164"/>
      <c r="C10" s="173"/>
      <c r="D10" s="164"/>
      <c r="E10" s="169"/>
      <c r="F10" s="169"/>
      <c r="G10" s="169"/>
      <c r="H10" s="169"/>
      <c r="I10" s="169"/>
      <c r="J10" s="169"/>
    </row>
    <row r="11" spans="1:10" ht="15.75" x14ac:dyDescent="0.2">
      <c r="A11" s="168" t="s">
        <v>931</v>
      </c>
      <c r="B11" s="173" t="str">
        <f>CONCATENATE("New Improvements for ",J1-1,":")</f>
        <v>New Improvements for 2013:</v>
      </c>
      <c r="C11" s="164"/>
      <c r="D11" s="164"/>
      <c r="E11" s="170"/>
      <c r="F11" s="170" t="s">
        <v>927</v>
      </c>
      <c r="G11" s="175">
        <f>inputOth!E10</f>
        <v>79936</v>
      </c>
      <c r="H11" s="176"/>
      <c r="I11" s="169"/>
      <c r="J11" s="169"/>
    </row>
    <row r="12" spans="1:10" ht="15.75" x14ac:dyDescent="0.2">
      <c r="A12" s="168"/>
      <c r="B12" s="177"/>
      <c r="C12" s="164"/>
      <c r="D12" s="164"/>
      <c r="E12" s="170"/>
      <c r="F12" s="170"/>
      <c r="G12" s="176"/>
      <c r="H12" s="176"/>
      <c r="I12" s="169"/>
      <c r="J12" s="169"/>
    </row>
    <row r="13" spans="1:10" ht="15.75" x14ac:dyDescent="0.2">
      <c r="A13" s="168" t="s">
        <v>932</v>
      </c>
      <c r="B13" s="173" t="str">
        <f>CONCATENATE("Increase in Personal Property for ",J1-1,":")</f>
        <v>Increase in Personal Property for 2013:</v>
      </c>
      <c r="C13" s="164"/>
      <c r="D13" s="164"/>
      <c r="E13" s="170"/>
      <c r="F13" s="170"/>
      <c r="G13" s="176"/>
      <c r="H13" s="176"/>
      <c r="I13" s="169"/>
      <c r="J13" s="169"/>
    </row>
    <row r="14" spans="1:10" ht="15.75" x14ac:dyDescent="0.2">
      <c r="A14" s="178"/>
      <c r="B14" s="164" t="s">
        <v>933</v>
      </c>
      <c r="C14" s="164" t="str">
        <f>CONCATENATE("Personal Property ",J1-1,"")</f>
        <v>Personal Property 2013</v>
      </c>
      <c r="D14" s="177" t="s">
        <v>927</v>
      </c>
      <c r="E14" s="175">
        <f>inputOth!E11</f>
        <v>305207</v>
      </c>
      <c r="F14" s="170"/>
      <c r="G14" s="169"/>
      <c r="H14" s="169"/>
      <c r="I14" s="176"/>
      <c r="J14" s="169"/>
    </row>
    <row r="15" spans="1:10" ht="15.75" x14ac:dyDescent="0.2">
      <c r="A15" s="177"/>
      <c r="B15" s="164" t="s">
        <v>934</v>
      </c>
      <c r="C15" s="164" t="str">
        <f>CONCATENATE("Personal Property ",J1-2,"")</f>
        <v>Personal Property 2012</v>
      </c>
      <c r="D15" s="177" t="s">
        <v>930</v>
      </c>
      <c r="E15" s="179">
        <f>inputOth!E17</f>
        <v>309589</v>
      </c>
      <c r="F15" s="170"/>
      <c r="G15" s="176"/>
      <c r="H15" s="176"/>
      <c r="I15" s="169"/>
      <c r="J15" s="169"/>
    </row>
    <row r="16" spans="1:10" ht="15.75" x14ac:dyDescent="0.2">
      <c r="A16" s="177"/>
      <c r="B16" s="164" t="s">
        <v>935</v>
      </c>
      <c r="C16" s="164" t="s">
        <v>955</v>
      </c>
      <c r="D16" s="164"/>
      <c r="E16" s="169"/>
      <c r="F16" s="169" t="s">
        <v>927</v>
      </c>
      <c r="G16" s="171">
        <f>IF(E14&gt;E15,E14-E15,0)</f>
        <v>0</v>
      </c>
      <c r="H16" s="176"/>
      <c r="I16" s="169"/>
      <c r="J16" s="169"/>
    </row>
    <row r="17" spans="1:10" ht="15.75" x14ac:dyDescent="0.2">
      <c r="A17" s="177"/>
      <c r="B17" s="177"/>
      <c r="C17" s="164"/>
      <c r="D17" s="164"/>
      <c r="E17" s="169"/>
      <c r="F17" s="169"/>
      <c r="G17" s="176" t="s">
        <v>948</v>
      </c>
      <c r="H17" s="176"/>
      <c r="I17" s="169"/>
      <c r="J17" s="169"/>
    </row>
    <row r="18" spans="1:10" ht="15.75" x14ac:dyDescent="0.2">
      <c r="A18" s="177" t="s">
        <v>936</v>
      </c>
      <c r="B18" s="173" t="str">
        <f>CONCATENATE("Valuation of annexed territory for ",J1-1,"")</f>
        <v>Valuation of annexed territory for 2013</v>
      </c>
      <c r="C18" s="164"/>
      <c r="D18" s="164"/>
      <c r="E18" s="176"/>
      <c r="F18" s="169"/>
      <c r="G18" s="169"/>
      <c r="H18" s="169"/>
      <c r="I18" s="169"/>
      <c r="J18" s="169"/>
    </row>
    <row r="19" spans="1:10" ht="15.75" x14ac:dyDescent="0.2">
      <c r="A19" s="177"/>
      <c r="B19" s="164" t="s">
        <v>937</v>
      </c>
      <c r="C19" s="164" t="s">
        <v>957</v>
      </c>
      <c r="D19" s="177" t="s">
        <v>927</v>
      </c>
      <c r="E19" s="175">
        <f>inputOth!E13</f>
        <v>0</v>
      </c>
      <c r="F19" s="169"/>
      <c r="G19" s="169"/>
      <c r="H19" s="169"/>
      <c r="I19" s="169"/>
      <c r="J19" s="169"/>
    </row>
    <row r="20" spans="1:10" ht="15.75" x14ac:dyDescent="0.2">
      <c r="A20" s="177"/>
      <c r="B20" s="164" t="s">
        <v>938</v>
      </c>
      <c r="C20" s="164" t="s">
        <v>958</v>
      </c>
      <c r="D20" s="177" t="s">
        <v>927</v>
      </c>
      <c r="E20" s="175">
        <f>inputOth!E14</f>
        <v>0</v>
      </c>
      <c r="F20" s="169"/>
      <c r="G20" s="176"/>
      <c r="H20" s="176"/>
      <c r="I20" s="169"/>
      <c r="J20" s="169"/>
    </row>
    <row r="21" spans="1:10" ht="15.75" x14ac:dyDescent="0.2">
      <c r="A21" s="177"/>
      <c r="B21" s="164" t="s">
        <v>939</v>
      </c>
      <c r="C21" s="164" t="s">
        <v>954</v>
      </c>
      <c r="D21" s="177" t="s">
        <v>930</v>
      </c>
      <c r="E21" s="175">
        <f>inputOth!E15</f>
        <v>0</v>
      </c>
      <c r="F21" s="169"/>
      <c r="G21" s="176"/>
      <c r="H21" s="176"/>
      <c r="I21" s="169"/>
      <c r="J21" s="169"/>
    </row>
    <row r="22" spans="1:10" ht="15.75" x14ac:dyDescent="0.2">
      <c r="A22" s="177"/>
      <c r="B22" s="164" t="s">
        <v>940</v>
      </c>
      <c r="C22" s="164" t="s">
        <v>959</v>
      </c>
      <c r="D22" s="177"/>
      <c r="E22" s="176"/>
      <c r="F22" s="169" t="s">
        <v>927</v>
      </c>
      <c r="G22" s="171">
        <f>E19+E20-E21</f>
        <v>0</v>
      </c>
      <c r="H22" s="176"/>
      <c r="I22" s="169"/>
      <c r="J22" s="169"/>
    </row>
    <row r="23" spans="1:10" ht="15.75" x14ac:dyDescent="0.2">
      <c r="A23" s="177"/>
      <c r="B23" s="177"/>
      <c r="C23" s="164"/>
      <c r="D23" s="177"/>
      <c r="E23" s="176"/>
      <c r="F23" s="169"/>
      <c r="G23" s="176"/>
      <c r="H23" s="176"/>
      <c r="I23" s="169"/>
      <c r="J23" s="169"/>
    </row>
    <row r="24" spans="1:10" ht="15.75" x14ac:dyDescent="0.2">
      <c r="A24" s="177" t="s">
        <v>941</v>
      </c>
      <c r="B24" s="173" t="str">
        <f>CONCATENATE("Valuation of Property that has Changed in Use during ",J1-1,"")</f>
        <v>Valuation of Property that has Changed in Use during 2013</v>
      </c>
      <c r="C24" s="164"/>
      <c r="D24" s="164"/>
      <c r="E24" s="169"/>
      <c r="F24" s="169"/>
      <c r="G24" s="86">
        <f>inputOth!E16</f>
        <v>0</v>
      </c>
      <c r="H24" s="169"/>
      <c r="I24" s="169"/>
      <c r="J24" s="169"/>
    </row>
    <row r="25" spans="1:10" ht="15.75" x14ac:dyDescent="0.2">
      <c r="A25" s="164" t="s">
        <v>827</v>
      </c>
      <c r="B25" s="164"/>
      <c r="C25" s="164"/>
      <c r="D25" s="177"/>
      <c r="E25" s="176"/>
      <c r="F25" s="169"/>
      <c r="G25" s="180"/>
      <c r="H25" s="176"/>
      <c r="I25" s="169"/>
      <c r="J25" s="169"/>
    </row>
    <row r="26" spans="1:10" ht="15.75" x14ac:dyDescent="0.2">
      <c r="A26" s="177" t="s">
        <v>942</v>
      </c>
      <c r="B26" s="173" t="s">
        <v>960</v>
      </c>
      <c r="C26" s="164"/>
      <c r="D26" s="164"/>
      <c r="E26" s="169"/>
      <c r="F26" s="169"/>
      <c r="G26" s="171">
        <f>G11+G16+G22+G24</f>
        <v>79936</v>
      </c>
      <c r="H26" s="176"/>
      <c r="I26" s="169"/>
      <c r="J26" s="169"/>
    </row>
    <row r="27" spans="1:10" ht="15.75" x14ac:dyDescent="0.2">
      <c r="A27" s="177"/>
      <c r="B27" s="177"/>
      <c r="C27" s="173"/>
      <c r="D27" s="164"/>
      <c r="E27" s="169"/>
      <c r="F27" s="169"/>
      <c r="G27" s="176"/>
      <c r="H27" s="176"/>
      <c r="I27" s="169"/>
      <c r="J27" s="169"/>
    </row>
    <row r="28" spans="1:10" ht="15.75" x14ac:dyDescent="0.2">
      <c r="A28" s="177" t="s">
        <v>943</v>
      </c>
      <c r="B28" s="164" t="str">
        <f>CONCATENATE("Total Estimated Valuation July 1,",J1-1,"")</f>
        <v>Total Estimated Valuation July 1,2013</v>
      </c>
      <c r="C28" s="164"/>
      <c r="D28" s="164"/>
      <c r="E28" s="171">
        <f>inputOth!E9</f>
        <v>22522195</v>
      </c>
      <c r="F28" s="169"/>
      <c r="G28" s="169"/>
      <c r="H28" s="169"/>
      <c r="I28" s="170"/>
      <c r="J28" s="169"/>
    </row>
    <row r="29" spans="1:10" ht="15.75" x14ac:dyDescent="0.2">
      <c r="A29" s="177"/>
      <c r="B29" s="177"/>
      <c r="C29" s="164"/>
      <c r="D29" s="164"/>
      <c r="E29" s="176"/>
      <c r="F29" s="169"/>
      <c r="G29" s="169"/>
      <c r="H29" s="169"/>
      <c r="I29" s="170"/>
      <c r="J29" s="169"/>
    </row>
    <row r="30" spans="1:10" ht="15.75" x14ac:dyDescent="0.2">
      <c r="A30" s="177" t="s">
        <v>944</v>
      </c>
      <c r="B30" s="173" t="s">
        <v>961</v>
      </c>
      <c r="C30" s="164"/>
      <c r="D30" s="164"/>
      <c r="E30" s="169"/>
      <c r="F30" s="169"/>
      <c r="G30" s="171">
        <f>E28-G26</f>
        <v>22442259</v>
      </c>
      <c r="H30" s="176"/>
      <c r="I30" s="170"/>
      <c r="J30" s="169"/>
    </row>
    <row r="31" spans="1:10" ht="15.75" x14ac:dyDescent="0.2">
      <c r="A31" s="177"/>
      <c r="B31" s="177"/>
      <c r="C31" s="173"/>
      <c r="D31" s="164"/>
      <c r="E31" s="164"/>
      <c r="F31" s="164"/>
      <c r="G31" s="181"/>
      <c r="H31" s="182"/>
      <c r="I31" s="177"/>
      <c r="J31" s="164"/>
    </row>
    <row r="32" spans="1:10" ht="15.75" x14ac:dyDescent="0.2">
      <c r="A32" s="177" t="s">
        <v>945</v>
      </c>
      <c r="B32" s="164" t="s">
        <v>962</v>
      </c>
      <c r="C32" s="164"/>
      <c r="D32" s="164"/>
      <c r="E32" s="164"/>
      <c r="F32" s="164"/>
      <c r="G32" s="183">
        <f>IF(G30&gt;0,G26/G30,0)</f>
        <v>3.5618517725867081E-3</v>
      </c>
      <c r="H32" s="182"/>
      <c r="I32" s="164"/>
      <c r="J32" s="164"/>
    </row>
    <row r="33" spans="1:10" ht="15.75" x14ac:dyDescent="0.2">
      <c r="A33" s="177"/>
      <c r="B33" s="177"/>
      <c r="C33" s="164"/>
      <c r="D33" s="164"/>
      <c r="E33" s="164"/>
      <c r="F33" s="164"/>
      <c r="G33" s="182"/>
      <c r="H33" s="182"/>
      <c r="I33" s="164"/>
      <c r="J33" s="164"/>
    </row>
    <row r="34" spans="1:10" ht="15.75" x14ac:dyDescent="0.2">
      <c r="A34" s="177" t="s">
        <v>946</v>
      </c>
      <c r="B34" s="164" t="s">
        <v>963</v>
      </c>
      <c r="C34" s="164"/>
      <c r="D34" s="164"/>
      <c r="E34" s="164"/>
      <c r="F34" s="164"/>
      <c r="G34" s="182"/>
      <c r="H34" s="184" t="s">
        <v>927</v>
      </c>
      <c r="I34" s="164" t="s">
        <v>928</v>
      </c>
      <c r="J34" s="171">
        <f>ROUND(G32*J7,0)</f>
        <v>3869</v>
      </c>
    </row>
    <row r="35" spans="1:10" ht="15.75" x14ac:dyDescent="0.2">
      <c r="A35" s="177"/>
      <c r="B35" s="177"/>
      <c r="C35" s="164"/>
      <c r="D35" s="164"/>
      <c r="E35" s="164"/>
      <c r="F35" s="164"/>
      <c r="G35" s="182"/>
      <c r="H35" s="184"/>
      <c r="I35" s="164"/>
      <c r="J35" s="176"/>
    </row>
    <row r="36" spans="1:10" ht="16.5" thickBot="1" x14ac:dyDescent="0.25">
      <c r="A36" s="177" t="s">
        <v>947</v>
      </c>
      <c r="B36" s="173" t="s">
        <v>969</v>
      </c>
      <c r="C36" s="164"/>
      <c r="D36" s="164"/>
      <c r="E36" s="164"/>
      <c r="F36" s="164"/>
      <c r="G36" s="164"/>
      <c r="H36" s="164"/>
      <c r="I36" s="164" t="s">
        <v>928</v>
      </c>
      <c r="J36" s="185">
        <f>J7+J34</f>
        <v>1090091.9524720223</v>
      </c>
    </row>
    <row r="37" spans="1:10" ht="16.5" thickTop="1" x14ac:dyDescent="0.2">
      <c r="A37" s="164"/>
      <c r="B37" s="164"/>
      <c r="C37" s="164"/>
      <c r="D37" s="164"/>
      <c r="E37" s="164"/>
      <c r="F37" s="164"/>
      <c r="G37" s="164"/>
      <c r="H37" s="164"/>
      <c r="I37" s="164"/>
      <c r="J37" s="164"/>
    </row>
    <row r="38" spans="1:10" ht="15.75" x14ac:dyDescent="0.2">
      <c r="A38" s="177" t="s">
        <v>967</v>
      </c>
      <c r="B38" s="173" t="str">
        <f>CONCATENATE("Debt Service in this ",J1," Budget")</f>
        <v>Debt Service in this 2014 Budget</v>
      </c>
      <c r="C38" s="164"/>
      <c r="D38" s="164"/>
      <c r="E38" s="164"/>
      <c r="F38" s="164"/>
      <c r="G38" s="164"/>
      <c r="H38" s="164"/>
      <c r="I38" s="164"/>
      <c r="J38" s="186">
        <f>DebtService!E53</f>
        <v>247628.82000000007</v>
      </c>
    </row>
    <row r="39" spans="1:10" ht="15.75" x14ac:dyDescent="0.2">
      <c r="A39" s="177"/>
      <c r="B39" s="173"/>
      <c r="C39" s="164"/>
      <c r="D39" s="164"/>
      <c r="E39" s="164"/>
      <c r="F39" s="164"/>
      <c r="G39" s="164"/>
      <c r="H39" s="164"/>
      <c r="I39" s="164"/>
      <c r="J39" s="182"/>
    </row>
    <row r="40" spans="1:10" ht="16.5" thickBot="1" x14ac:dyDescent="0.25">
      <c r="A40" s="177" t="s">
        <v>968</v>
      </c>
      <c r="B40" s="173" t="s">
        <v>970</v>
      </c>
      <c r="C40" s="164"/>
      <c r="D40" s="164"/>
      <c r="E40" s="164"/>
      <c r="F40" s="164"/>
      <c r="G40" s="164"/>
      <c r="H40" s="164"/>
      <c r="I40" s="164"/>
      <c r="J40" s="185">
        <f>J36+J38</f>
        <v>1337720.7724720223</v>
      </c>
    </row>
    <row r="41" spans="1:10" ht="16.5" thickTop="1" x14ac:dyDescent="0.2">
      <c r="A41" s="164"/>
      <c r="B41" s="164"/>
      <c r="C41" s="164"/>
      <c r="D41" s="164"/>
      <c r="E41" s="164"/>
      <c r="F41" s="164"/>
      <c r="G41" s="164"/>
      <c r="H41" s="164"/>
      <c r="I41" s="164"/>
      <c r="J41" s="164"/>
    </row>
    <row r="42" spans="1:10" s="187" customFormat="1" ht="18.75" x14ac:dyDescent="0.2">
      <c r="A42" s="952" t="str">
        <f>CONCATENATE("If the ",J1," budget includes tax levies exceeding the total on line 15, you must")</f>
        <v>If the 2014 budget includes tax levies exceeding the total on line 15, you must</v>
      </c>
      <c r="B42" s="952"/>
      <c r="C42" s="952"/>
      <c r="D42" s="952"/>
      <c r="E42" s="952"/>
      <c r="F42" s="952"/>
      <c r="G42" s="952"/>
      <c r="H42" s="952"/>
      <c r="I42" s="952"/>
      <c r="J42" s="952"/>
    </row>
    <row r="43" spans="1:10" s="187" customFormat="1" ht="18.75" x14ac:dyDescent="0.2">
      <c r="A43" s="952" t="s">
        <v>1038</v>
      </c>
      <c r="B43" s="952"/>
      <c r="C43" s="952"/>
      <c r="D43" s="952"/>
      <c r="E43" s="952"/>
      <c r="F43" s="952"/>
      <c r="G43" s="952"/>
      <c r="H43" s="952"/>
      <c r="I43" s="952"/>
      <c r="J43" s="952"/>
    </row>
    <row r="44" spans="1:10" s="187" customFormat="1" ht="18.75" x14ac:dyDescent="0.2">
      <c r="A44" s="952" t="s">
        <v>1039</v>
      </c>
      <c r="B44" s="952"/>
      <c r="C44" s="952"/>
      <c r="D44" s="952"/>
      <c r="E44" s="952"/>
      <c r="F44" s="952"/>
      <c r="G44" s="952"/>
      <c r="H44" s="952"/>
      <c r="I44" s="952"/>
      <c r="J44" s="952"/>
    </row>
  </sheetData>
  <sheetProtection sheet="1"/>
  <mergeCells count="5">
    <mergeCell ref="A42:J42"/>
    <mergeCell ref="A44:J44"/>
    <mergeCell ref="A3:J3"/>
    <mergeCell ref="E4:G4"/>
    <mergeCell ref="A43:J43"/>
  </mergeCells>
  <phoneticPr fontId="0" type="noConversion"/>
  <printOptions horizontalCentered="1"/>
  <pageMargins left="0.5" right="0.5" top="0.5" bottom="0.5" header="0.3" footer="0.3"/>
  <pageSetup scale="85"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Normal="100" workbookViewId="0"/>
  </sheetViews>
  <sheetFormatPr defaultRowHeight="15.75" x14ac:dyDescent="0.2"/>
  <cols>
    <col min="1" max="1" width="8.88671875" style="34"/>
    <col min="2" max="2" width="17.88671875" style="34" customWidth="1"/>
    <col min="3" max="3" width="16.109375" style="34" customWidth="1"/>
    <col min="4" max="6" width="12.77734375" style="34" customWidth="1"/>
    <col min="7" max="7" width="10.21875" style="34" customWidth="1"/>
    <col min="8" max="16384" width="8.88671875" style="34"/>
  </cols>
  <sheetData>
    <row r="1" spans="1:8" x14ac:dyDescent="0.2">
      <c r="A1" s="36"/>
      <c r="B1" s="188" t="str">
        <f>inputPrYr!D2</f>
        <v>City of Osawatomie</v>
      </c>
      <c r="C1" s="188"/>
      <c r="D1" s="36"/>
      <c r="E1" s="36"/>
      <c r="F1" s="36"/>
      <c r="G1" s="36">
        <f>inputPrYr!C5</f>
        <v>2014</v>
      </c>
      <c r="H1" s="36"/>
    </row>
    <row r="2" spans="1:8" x14ac:dyDescent="0.2">
      <c r="A2" s="36"/>
      <c r="B2" s="36"/>
      <c r="C2" s="36"/>
      <c r="D2" s="36"/>
      <c r="E2" s="36"/>
      <c r="F2" s="36"/>
      <c r="G2" s="36"/>
      <c r="H2" s="36"/>
    </row>
    <row r="3" spans="1:8" x14ac:dyDescent="0.2">
      <c r="A3" s="36"/>
      <c r="B3" s="955" t="s">
        <v>759</v>
      </c>
      <c r="C3" s="955"/>
      <c r="D3" s="955"/>
      <c r="E3" s="955"/>
      <c r="F3" s="955"/>
      <c r="G3" s="36"/>
      <c r="H3" s="36"/>
    </row>
    <row r="4" spans="1:8" x14ac:dyDescent="0.2">
      <c r="A4" s="36"/>
      <c r="B4" s="36"/>
      <c r="C4" s="189"/>
      <c r="D4" s="189"/>
      <c r="E4" s="189"/>
      <c r="F4" s="36"/>
      <c r="G4" s="36"/>
      <c r="H4" s="36"/>
    </row>
    <row r="5" spans="1:8" ht="21" customHeight="1" x14ac:dyDescent="0.2">
      <c r="A5" s="36"/>
      <c r="B5" s="190" t="s">
        <v>1037</v>
      </c>
      <c r="C5" s="191" t="s">
        <v>760</v>
      </c>
      <c r="D5" s="956" t="str">
        <f>CONCATENATE("Allocation for Year ",G1,"")</f>
        <v>Allocation for Year 2014</v>
      </c>
      <c r="E5" s="957"/>
      <c r="F5" s="958"/>
      <c r="G5" s="36"/>
      <c r="H5" s="36"/>
    </row>
    <row r="6" spans="1:8" x14ac:dyDescent="0.2">
      <c r="A6" s="36"/>
      <c r="B6" s="192" t="str">
        <f>CONCATENATE("for ",G1-1,"")</f>
        <v>for 2013</v>
      </c>
      <c r="C6" s="192" t="str">
        <f>CONCATENATE("Amount for ",G1-2,"")</f>
        <v>Amount for 2012</v>
      </c>
      <c r="D6" s="139" t="s">
        <v>921</v>
      </c>
      <c r="E6" s="139" t="s">
        <v>922</v>
      </c>
      <c r="F6" s="139" t="s">
        <v>920</v>
      </c>
      <c r="G6" s="760"/>
      <c r="H6" s="36"/>
    </row>
    <row r="7" spans="1:8" x14ac:dyDescent="0.2">
      <c r="A7" s="36"/>
      <c r="B7" s="76" t="str">
        <f>(inputPrYr!B17)</f>
        <v>General</v>
      </c>
      <c r="C7" s="142">
        <f>(inputPrYr!E17)</f>
        <v>576535.32764999964</v>
      </c>
      <c r="D7" s="142">
        <f>IF(inputPrYr!E17=0,0,D23-SUM(D8:D20))</f>
        <v>55936.31</v>
      </c>
      <c r="E7" s="142">
        <f>IF(inputPrYr!E17=0,0,E24-SUM(E8:E20))</f>
        <v>802.93000000000006</v>
      </c>
      <c r="F7" s="142">
        <f>IF(inputPrYr!E17=0,0,F25-SUM(F8:F20))</f>
        <v>435.25</v>
      </c>
      <c r="G7" s="761"/>
      <c r="H7" s="36"/>
    </row>
    <row r="8" spans="1:8" x14ac:dyDescent="0.2">
      <c r="A8" s="36"/>
      <c r="B8" s="76" t="str">
        <f>IF(inputPrYr!$B18&gt;"  ",(inputPrYr!$B18),"  ")</f>
        <v>Bond &amp; Interest</v>
      </c>
      <c r="C8" s="142">
        <f>IF(inputPrYr!$E18&gt;0,(inputPrYr!$E18),"  ")</f>
        <v>237409.65000000002</v>
      </c>
      <c r="D8" s="142">
        <f>IF(inputPrYr!E18&gt;0,ROUND(C8*$D$27,0),"  ")</f>
        <v>23034</v>
      </c>
      <c r="E8" s="142">
        <f>IF(inputPrYr!E18&gt;0,ROUND(+C8*E$28,0)," ")</f>
        <v>331</v>
      </c>
      <c r="F8" s="142">
        <f>IF(inputPrYr!E18&gt;0,ROUND(C8*F$29,0)," ")</f>
        <v>179</v>
      </c>
      <c r="G8" s="761"/>
      <c r="H8" s="36"/>
    </row>
    <row r="9" spans="1:8" x14ac:dyDescent="0.2">
      <c r="A9" s="36"/>
      <c r="B9" s="76" t="str">
        <f>IF(inputPrYr!$B19&gt;"  ",(inputPrYr!$B19),"  ")</f>
        <v>Library</v>
      </c>
      <c r="C9" s="142" t="str">
        <f>IF(inputPrYr!$E19&gt;0,(inputPrYr!$E19),"  ")</f>
        <v xml:space="preserve">  </v>
      </c>
      <c r="D9" s="142" t="str">
        <f>IF(inputPrYr!E19&gt;0,ROUND(C9*$D$27,0),"  ")</f>
        <v xml:space="preserve">  </v>
      </c>
      <c r="E9" s="142" t="str">
        <f>IF(inputPrYr!E19&gt;0,ROUND(+C9*E$28,0)," ")</f>
        <v xml:space="preserve"> </v>
      </c>
      <c r="F9" s="142" t="str">
        <f>IF(inputPrYr!E19&gt;0,ROUND(C9*F$29,0)," ")</f>
        <v xml:space="preserve"> </v>
      </c>
      <c r="G9" s="761"/>
      <c r="H9" s="36"/>
    </row>
    <row r="10" spans="1:8" x14ac:dyDescent="0.2">
      <c r="A10" s="36"/>
      <c r="B10" s="76" t="str">
        <f>IF(inputPrYr!$B21&gt;"  ",(inputPrYr!$B21),"  ")</f>
        <v>Industrial</v>
      </c>
      <c r="C10" s="142" t="str">
        <f>IF(inputPrYr!$E21&gt;0,(inputPrYr!$E21),"  ")</f>
        <v xml:space="preserve">  </v>
      </c>
      <c r="D10" s="142" t="str">
        <f>IF(inputPrYr!E21&gt;0,ROUND(C10*$D$27,0),"  ")</f>
        <v xml:space="preserve">  </v>
      </c>
      <c r="E10" s="142" t="str">
        <f>IF(inputPrYr!E21&gt;0,ROUND(+C10*E$28,0)," ")</f>
        <v xml:space="preserve"> </v>
      </c>
      <c r="F10" s="142" t="str">
        <f>IF(inputPrYr!E21&gt;0,ROUND(+C10*F$29,0)," ")</f>
        <v xml:space="preserve"> </v>
      </c>
      <c r="G10" s="761"/>
      <c r="H10" s="36"/>
    </row>
    <row r="11" spans="1:8" x14ac:dyDescent="0.2">
      <c r="A11" s="36"/>
      <c r="B11" s="76" t="str">
        <f>IF(inputPrYr!$B22&gt;"  ",(inputPrYr!$B22),"  ")</f>
        <v>Employee Benefits</v>
      </c>
      <c r="C11" s="142">
        <f>IF(inputPrYr!$E22&gt;0,(inputPrYr!$E22),"  ")</f>
        <v>509687.6248220228</v>
      </c>
      <c r="D11" s="142">
        <f>IF(inputPrYr!E22&gt;0,ROUND(C11*$D$27,0),"  ")</f>
        <v>49451</v>
      </c>
      <c r="E11" s="142">
        <f>IF(inputPrYr!E22&gt;0,ROUND(+C11*E$28,0)," ")</f>
        <v>710</v>
      </c>
      <c r="F11" s="142">
        <f>IF(inputPrYr!E22&gt;0,ROUND(+C11*F$29,0)," ")</f>
        <v>385</v>
      </c>
      <c r="G11" s="761"/>
      <c r="H11" s="36"/>
    </row>
    <row r="12" spans="1:8" x14ac:dyDescent="0.2">
      <c r="A12" s="36"/>
      <c r="B12" s="76" t="str">
        <f>IF(inputPrYr!$B23&gt;"  ",(inputPrYr!$B23),"  ")</f>
        <v>Public Safety Equipment</v>
      </c>
      <c r="C12" s="142" t="str">
        <f>IF(inputPrYr!$E23&gt;0,(inputPrYr!$E23),"  ")</f>
        <v xml:space="preserve">  </v>
      </c>
      <c r="D12" s="142" t="str">
        <f>IF(inputPrYr!E23&gt;0,ROUND(C12*$D$27,0),"  ")</f>
        <v xml:space="preserve">  </v>
      </c>
      <c r="E12" s="142" t="str">
        <f>IF(inputPrYr!E23&gt;0,ROUND(+C12*E$28,0)," ")</f>
        <v xml:space="preserve"> </v>
      </c>
      <c r="F12" s="142" t="str">
        <f>IF(inputPrYr!E23&gt;0,ROUND(+C12*F$29,0)," ")</f>
        <v xml:space="preserve"> </v>
      </c>
      <c r="G12" s="761"/>
      <c r="H12" s="36"/>
    </row>
    <row r="13" spans="1:8" x14ac:dyDescent="0.2">
      <c r="A13" s="36"/>
      <c r="B13" s="76" t="str">
        <f>IF(inputPrYr!$B24&gt;"  ",(inputPrYr!$B24),"  ")</f>
        <v>Recreation Employee Benefits</v>
      </c>
      <c r="C13" s="142" t="str">
        <f>IF(inputPrYr!$E24&gt;0,(inputPrYr!$E24),"  ")</f>
        <v xml:space="preserve">  </v>
      </c>
      <c r="D13" s="142" t="str">
        <f>IF(inputPrYr!E24&gt;0,ROUND(C13*$D$27,0),"  ")</f>
        <v xml:space="preserve">  </v>
      </c>
      <c r="E13" s="142" t="str">
        <f>IF(inputPrYr!E24&gt;0,ROUND(+C13*E$28,0)," ")</f>
        <v xml:space="preserve"> </v>
      </c>
      <c r="F13" s="142" t="str">
        <f>IF(inputPrYr!E24&gt;0,ROUND(+C13*F$29,0)," ")</f>
        <v xml:space="preserve"> </v>
      </c>
      <c r="G13" s="761"/>
      <c r="H13" s="36"/>
    </row>
    <row r="14" spans="1:8" x14ac:dyDescent="0.2">
      <c r="A14" s="36"/>
      <c r="B14" s="76" t="str">
        <f>IF(inputPrYr!$B25&gt;"  ",(inputPrYr!$B25),"  ")</f>
        <v xml:space="preserve">  </v>
      </c>
      <c r="C14" s="142" t="str">
        <f>IF(inputPrYr!$E25&gt;0,(inputPrYr!$E25),"  ")</f>
        <v xml:space="preserve">  </v>
      </c>
      <c r="D14" s="142" t="str">
        <f>IF(inputPrYr!E25&gt;0,ROUND(C14*$D$27,0),"  ")</f>
        <v xml:space="preserve">  </v>
      </c>
      <c r="E14" s="142" t="str">
        <f>IF(inputPrYr!E25&gt;0,ROUND(+C14*E$28,0)," ")</f>
        <v xml:space="preserve"> </v>
      </c>
      <c r="F14" s="142" t="str">
        <f>IF(inputPrYr!E25&gt;0,ROUND(+C14*F$29,0)," ")</f>
        <v xml:space="preserve"> </v>
      </c>
      <c r="G14" s="761"/>
      <c r="H14" s="36"/>
    </row>
    <row r="15" spans="1:8" x14ac:dyDescent="0.2">
      <c r="A15" s="36"/>
      <c r="B15" s="76" t="str">
        <f>IF(inputPrYr!$B26&gt;"  ",(inputPrYr!$B26),"  ")</f>
        <v xml:space="preserve">  </v>
      </c>
      <c r="C15" s="142" t="str">
        <f>IF(inputPrYr!$E26&gt;0,(inputPrYr!$E26),"  ")</f>
        <v xml:space="preserve">  </v>
      </c>
      <c r="D15" s="142" t="str">
        <f>IF(inputPrYr!E26&gt;0,ROUND(C15*$D$27,0),"  ")</f>
        <v xml:space="preserve">  </v>
      </c>
      <c r="E15" s="142" t="str">
        <f>IF(inputPrYr!E26&gt;0,ROUND(+C15*E$28,0)," ")</f>
        <v xml:space="preserve"> </v>
      </c>
      <c r="F15" s="142" t="str">
        <f>IF(inputPrYr!E26&gt;0,ROUND(+C15*F$29,0)," ")</f>
        <v xml:space="preserve"> </v>
      </c>
      <c r="G15" s="761"/>
      <c r="H15" s="36"/>
    </row>
    <row r="16" spans="1:8" x14ac:dyDescent="0.2">
      <c r="A16" s="36"/>
      <c r="B16" s="76" t="str">
        <f>IF(inputPrYr!$B27&gt;"  ",(inputPrYr!$B27),"  ")</f>
        <v xml:space="preserve">  </v>
      </c>
      <c r="C16" s="142" t="str">
        <f>IF(inputPrYr!$E27&gt;0,(inputPrYr!$E27),"  ")</f>
        <v xml:space="preserve">  </v>
      </c>
      <c r="D16" s="142" t="str">
        <f>IF(inputPrYr!E27&gt;0,ROUND(C16*$D$27,0),"  ")</f>
        <v xml:space="preserve">  </v>
      </c>
      <c r="E16" s="142" t="str">
        <f>IF(inputPrYr!E27&gt;0,ROUND(+C16*E$28,0)," ")</f>
        <v xml:space="preserve"> </v>
      </c>
      <c r="F16" s="142" t="str">
        <f>IF(inputPrYr!E27&gt;0,ROUND(+C16*F$29,0)," ")</f>
        <v xml:space="preserve"> </v>
      </c>
      <c r="G16" s="761"/>
      <c r="H16" s="36"/>
    </row>
    <row r="17" spans="1:8" x14ac:dyDescent="0.2">
      <c r="A17" s="36"/>
      <c r="B17" s="76" t="str">
        <f>IF(inputPrYr!$B28&gt;"  ",(inputPrYr!$B28),"  ")</f>
        <v xml:space="preserve">  </v>
      </c>
      <c r="C17" s="142" t="str">
        <f>IF(inputPrYr!$E28&gt;0,(inputPrYr!$E28),"  ")</f>
        <v xml:space="preserve">  </v>
      </c>
      <c r="D17" s="142" t="str">
        <f>IF(inputPrYr!E28&gt;0,ROUND(C17*$D$27,0),"  ")</f>
        <v xml:space="preserve">  </v>
      </c>
      <c r="E17" s="142" t="str">
        <f>IF(inputPrYr!E28&gt;0,ROUND(+C17*E$28,0)," ")</f>
        <v xml:space="preserve"> </v>
      </c>
      <c r="F17" s="142" t="str">
        <f>IF(inputPrYr!E28&gt;0,ROUND(+C17*F$29,0)," ")</f>
        <v xml:space="preserve"> </v>
      </c>
      <c r="G17" s="761"/>
      <c r="H17" s="36"/>
    </row>
    <row r="18" spans="1:8" x14ac:dyDescent="0.2">
      <c r="A18" s="36"/>
      <c r="B18" s="76" t="str">
        <f>IF(inputPrYr!$B29&gt;"  ",(inputPrYr!$B29),"  ")</f>
        <v xml:space="preserve">  </v>
      </c>
      <c r="C18" s="142" t="str">
        <f>IF(inputPrYr!$E29&gt;0,(inputPrYr!$E29),"  ")</f>
        <v xml:space="preserve">  </v>
      </c>
      <c r="D18" s="142" t="str">
        <f>IF(inputPrYr!E29&gt;0,ROUND(C18*$D$27,0),"  ")</f>
        <v xml:space="preserve">  </v>
      </c>
      <c r="E18" s="142" t="str">
        <f>IF(inputPrYr!E29&gt;0,ROUND(+C18*E$28,0)," ")</f>
        <v xml:space="preserve"> </v>
      </c>
      <c r="F18" s="142" t="str">
        <f>IF(inputPrYr!E29&gt;0,ROUND(+C18*F$29,0)," ")</f>
        <v xml:space="preserve"> </v>
      </c>
      <c r="G18" s="761"/>
      <c r="H18" s="36"/>
    </row>
    <row r="19" spans="1:8" x14ac:dyDescent="0.2">
      <c r="A19" s="36"/>
      <c r="B19" s="76" t="str">
        <f>IF(inputPrYr!$B30&gt;"  ",(inputPrYr!$B30),"  ")</f>
        <v xml:space="preserve">  </v>
      </c>
      <c r="C19" s="142" t="str">
        <f>IF(inputPrYr!$E30&gt;0,(inputPrYr!$E30),"  ")</f>
        <v xml:space="preserve">  </v>
      </c>
      <c r="D19" s="142" t="str">
        <f>IF(inputPrYr!E30&gt;0,ROUND(C19*$D$27,0),"  ")</f>
        <v xml:space="preserve">  </v>
      </c>
      <c r="E19" s="142" t="str">
        <f>IF(inputPrYr!E30&gt;0,ROUND(+C19*E$28,0)," ")</f>
        <v xml:space="preserve"> </v>
      </c>
      <c r="F19" s="142" t="str">
        <f>IF(inputPrYr!E30&gt;0,ROUND(+C19*F$29,0)," ")</f>
        <v xml:space="preserve"> </v>
      </c>
      <c r="G19" s="761"/>
      <c r="H19" s="36"/>
    </row>
    <row r="20" spans="1:8" x14ac:dyDescent="0.2">
      <c r="A20" s="36"/>
      <c r="B20" s="76" t="str">
        <f>inputPrYr!B33</f>
        <v>Recreation</v>
      </c>
      <c r="C20" s="135">
        <f>inputPrYr!E33</f>
        <v>0</v>
      </c>
      <c r="D20" s="142" t="str">
        <f>IF(inputPrYr!E33&gt;0,ROUND(C20*$D$27,0),"  ")</f>
        <v xml:space="preserve">  </v>
      </c>
      <c r="E20" s="142" t="str">
        <f>IF(inputPrYr!E33&gt;0,ROUND(+C20*E$28,0)," ")</f>
        <v xml:space="preserve"> </v>
      </c>
      <c r="F20" s="142" t="str">
        <f>IF(inputPrYr!E33&gt;0,ROUND(+C20*F$29,0)," ")</f>
        <v xml:space="preserve"> </v>
      </c>
      <c r="G20" s="761"/>
      <c r="H20" s="36"/>
    </row>
    <row r="21" spans="1:8" x14ac:dyDescent="0.2">
      <c r="A21" s="36"/>
      <c r="B21" s="762" t="s">
        <v>845</v>
      </c>
      <c r="C21" s="149">
        <f>SUM(C7:C20)</f>
        <v>1323632.6024720224</v>
      </c>
      <c r="D21" s="149">
        <f>SUM(D7:D20)</f>
        <v>128421.31</v>
      </c>
      <c r="E21" s="149">
        <f>SUM(E7:E20)</f>
        <v>1843.93</v>
      </c>
      <c r="F21" s="149">
        <f>SUM(F7:F20)</f>
        <v>999.25</v>
      </c>
      <c r="G21" s="36"/>
      <c r="H21" s="36"/>
    </row>
    <row r="22" spans="1:8" x14ac:dyDescent="0.2">
      <c r="A22" s="36"/>
      <c r="B22" s="36"/>
      <c r="C22" s="66"/>
      <c r="D22" s="66"/>
      <c r="E22" s="66"/>
      <c r="F22" s="66"/>
      <c r="G22" s="36"/>
      <c r="H22" s="36"/>
    </row>
    <row r="23" spans="1:8" x14ac:dyDescent="0.2">
      <c r="A23" s="36"/>
      <c r="B23" s="41" t="s">
        <v>846</v>
      </c>
      <c r="C23" s="193"/>
      <c r="D23" s="759">
        <f>(inputOth!E42)</f>
        <v>128421.31</v>
      </c>
      <c r="E23" s="193"/>
      <c r="F23" s="36"/>
      <c r="G23" s="36"/>
      <c r="H23" s="36"/>
    </row>
    <row r="24" spans="1:8" x14ac:dyDescent="0.2">
      <c r="A24" s="36"/>
      <c r="B24" s="41" t="s">
        <v>847</v>
      </c>
      <c r="C24" s="36"/>
      <c r="D24" s="36"/>
      <c r="E24" s="759">
        <f>(inputOth!E43)</f>
        <v>1843.93</v>
      </c>
      <c r="F24" s="36"/>
      <c r="G24" s="36"/>
      <c r="H24" s="36"/>
    </row>
    <row r="25" spans="1:8" x14ac:dyDescent="0.2">
      <c r="A25" s="36"/>
      <c r="B25" s="41" t="s">
        <v>923</v>
      </c>
      <c r="C25" s="36"/>
      <c r="D25" s="36"/>
      <c r="E25" s="36"/>
      <c r="F25" s="759">
        <f>inputOth!E44</f>
        <v>999.25</v>
      </c>
      <c r="G25" s="36"/>
      <c r="H25" s="36"/>
    </row>
    <row r="26" spans="1:8" x14ac:dyDescent="0.2">
      <c r="A26" s="36"/>
      <c r="B26" s="41"/>
      <c r="C26" s="36"/>
      <c r="D26" s="36"/>
      <c r="E26" s="36"/>
      <c r="F26" s="66"/>
      <c r="G26" s="375"/>
      <c r="H26" s="36"/>
    </row>
    <row r="27" spans="1:8" x14ac:dyDescent="0.2">
      <c r="A27" s="36"/>
      <c r="B27" s="41" t="s">
        <v>848</v>
      </c>
      <c r="C27" s="36"/>
      <c r="D27" s="194">
        <f>IF(C21=0,0,D23/C21)</f>
        <v>9.7021869784832862E-2</v>
      </c>
      <c r="E27" s="36"/>
      <c r="F27" s="36"/>
      <c r="G27" s="36"/>
      <c r="H27" s="36"/>
    </row>
    <row r="28" spans="1:8" x14ac:dyDescent="0.2">
      <c r="A28" s="36"/>
      <c r="B28" s="36"/>
      <c r="C28" s="41" t="s">
        <v>849</v>
      </c>
      <c r="D28" s="36"/>
      <c r="E28" s="194">
        <f>IF(C21=0,0,E24/C21)</f>
        <v>1.3930829420159853E-3</v>
      </c>
      <c r="F28" s="36"/>
      <c r="G28" s="36"/>
      <c r="H28" s="36"/>
    </row>
    <row r="29" spans="1:8" x14ac:dyDescent="0.2">
      <c r="A29" s="36"/>
      <c r="B29" s="36"/>
      <c r="C29" s="36"/>
      <c r="D29" s="41" t="s">
        <v>924</v>
      </c>
      <c r="E29" s="36"/>
      <c r="F29" s="194">
        <f>IF(C21=0,0,F25/C21)</f>
        <v>7.5493002977850205E-4</v>
      </c>
      <c r="G29" s="36"/>
      <c r="H29" s="36"/>
    </row>
    <row r="30" spans="1:8" x14ac:dyDescent="0.2">
      <c r="A30" s="36"/>
      <c r="B30" s="36"/>
      <c r="C30" s="36"/>
      <c r="D30" s="36"/>
      <c r="E30" s="36"/>
      <c r="F30" s="36"/>
      <c r="G30" s="36"/>
      <c r="H30" s="36"/>
    </row>
    <row r="31" spans="1:8" x14ac:dyDescent="0.2">
      <c r="A31" s="36"/>
      <c r="B31" s="57"/>
      <c r="C31" s="57"/>
      <c r="D31" s="57"/>
      <c r="E31" s="57"/>
      <c r="F31" s="57"/>
      <c r="G31" s="57"/>
      <c r="H31" s="36"/>
    </row>
  </sheetData>
  <mergeCells count="2">
    <mergeCell ref="B3:F3"/>
    <mergeCell ref="D5:F5"/>
  </mergeCells>
  <phoneticPr fontId="0" type="noConversion"/>
  <printOptions horizontalCentered="1"/>
  <pageMargins left="0.5" right="0.5" top="0.5" bottom="0.5" header="0.3" footer="0.3"/>
  <pageSetup scale="97" orientation="portrait" blackAndWhite="1" horizontalDpi="120" verticalDpi="144"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zoomScaleNormal="100" workbookViewId="0">
      <selection activeCell="J24" sqref="J24"/>
    </sheetView>
  </sheetViews>
  <sheetFormatPr defaultRowHeight="15.75" x14ac:dyDescent="0.2"/>
  <cols>
    <col min="1" max="2" width="17.77734375" style="21" customWidth="1"/>
    <col min="3" max="6" width="12.77734375" style="21" customWidth="1"/>
    <col min="7" max="16384" width="8.88671875" style="21"/>
  </cols>
  <sheetData>
    <row r="1" spans="1:8" x14ac:dyDescent="0.2">
      <c r="A1" s="165" t="str">
        <f>inputPrYr!D2</f>
        <v>City of Osawatomie</v>
      </c>
      <c r="B1" s="165"/>
      <c r="C1" s="164"/>
      <c r="D1" s="164"/>
      <c r="E1" s="164"/>
      <c r="F1" s="164">
        <f>inputPrYr!$C$5</f>
        <v>2014</v>
      </c>
    </row>
    <row r="2" spans="1:8" x14ac:dyDescent="0.2">
      <c r="A2" s="164"/>
      <c r="B2" s="164"/>
      <c r="C2" s="164"/>
      <c r="D2" s="164"/>
      <c r="E2" s="164"/>
      <c r="F2" s="164"/>
    </row>
    <row r="3" spans="1:8" x14ac:dyDescent="0.2">
      <c r="A3" s="959" t="s">
        <v>976</v>
      </c>
      <c r="B3" s="959"/>
      <c r="C3" s="959"/>
      <c r="D3" s="959"/>
      <c r="E3" s="959"/>
      <c r="F3" s="959"/>
    </row>
    <row r="4" spans="1:8" x14ac:dyDescent="0.2">
      <c r="A4" s="195"/>
      <c r="B4" s="195"/>
      <c r="C4" s="195"/>
      <c r="D4" s="195"/>
      <c r="E4" s="195"/>
      <c r="F4" s="195"/>
    </row>
    <row r="5" spans="1:8" x14ac:dyDescent="0.2">
      <c r="A5" s="196" t="s">
        <v>472</v>
      </c>
      <c r="B5" s="196" t="s">
        <v>473</v>
      </c>
      <c r="C5" s="196" t="s">
        <v>872</v>
      </c>
      <c r="D5" s="196" t="s">
        <v>990</v>
      </c>
      <c r="E5" s="196" t="s">
        <v>991</v>
      </c>
      <c r="F5" s="196" t="s">
        <v>1029</v>
      </c>
    </row>
    <row r="6" spans="1:8" x14ac:dyDescent="0.2">
      <c r="A6" s="197" t="s">
        <v>474</v>
      </c>
      <c r="B6" s="197" t="s">
        <v>475</v>
      </c>
      <c r="C6" s="197" t="s">
        <v>1030</v>
      </c>
      <c r="D6" s="197" t="s">
        <v>1030</v>
      </c>
      <c r="E6" s="197" t="s">
        <v>1030</v>
      </c>
      <c r="F6" s="197" t="s">
        <v>1031</v>
      </c>
    </row>
    <row r="7" spans="1:8" ht="15" customHeight="1" x14ac:dyDescent="0.2">
      <c r="A7" s="198" t="s">
        <v>1032</v>
      </c>
      <c r="B7" s="198" t="s">
        <v>1033</v>
      </c>
      <c r="C7" s="199">
        <f>F1-2</f>
        <v>2012</v>
      </c>
      <c r="D7" s="199">
        <f>F1-1</f>
        <v>2013</v>
      </c>
      <c r="E7" s="199">
        <f>F1</f>
        <v>2014</v>
      </c>
      <c r="F7" s="198" t="s">
        <v>1034</v>
      </c>
    </row>
    <row r="8" spans="1:8" ht="14.25" customHeight="1" x14ac:dyDescent="0.25">
      <c r="A8" s="899" t="s">
        <v>89</v>
      </c>
      <c r="B8" s="899" t="s">
        <v>820</v>
      </c>
      <c r="C8" s="200">
        <v>38000</v>
      </c>
      <c r="D8" s="200">
        <v>41000</v>
      </c>
      <c r="E8" s="200">
        <v>43000</v>
      </c>
      <c r="F8" s="899" t="s">
        <v>109</v>
      </c>
    </row>
    <row r="9" spans="1:8" ht="14.25" customHeight="1" x14ac:dyDescent="0.25">
      <c r="A9" s="899" t="s">
        <v>89</v>
      </c>
      <c r="B9" s="900" t="s">
        <v>79</v>
      </c>
      <c r="C9" s="200">
        <v>27235</v>
      </c>
      <c r="D9" s="200">
        <v>59827</v>
      </c>
      <c r="E9" s="200">
        <v>59827</v>
      </c>
      <c r="F9" s="899" t="s">
        <v>109</v>
      </c>
    </row>
    <row r="10" spans="1:8" ht="15" customHeight="1" x14ac:dyDescent="0.25">
      <c r="A10" s="899" t="s">
        <v>90</v>
      </c>
      <c r="B10" s="899" t="s">
        <v>820</v>
      </c>
      <c r="C10" s="200">
        <v>186000</v>
      </c>
      <c r="D10" s="200">
        <v>136000</v>
      </c>
      <c r="E10" s="200">
        <v>137000</v>
      </c>
      <c r="F10" s="899" t="s">
        <v>109</v>
      </c>
      <c r="H10" s="924"/>
    </row>
    <row r="11" spans="1:8" ht="15" customHeight="1" x14ac:dyDescent="0.25">
      <c r="A11" s="900" t="s">
        <v>90</v>
      </c>
      <c r="B11" s="900" t="s">
        <v>108</v>
      </c>
      <c r="C11" s="203">
        <v>55000</v>
      </c>
      <c r="D11" s="203"/>
      <c r="E11" s="203"/>
      <c r="F11" s="899" t="s">
        <v>109</v>
      </c>
    </row>
    <row r="12" spans="1:8" ht="15" customHeight="1" x14ac:dyDescent="0.25">
      <c r="A12" s="900" t="s">
        <v>90</v>
      </c>
      <c r="B12" s="900" t="s">
        <v>230</v>
      </c>
      <c r="C12" s="203">
        <v>90000</v>
      </c>
      <c r="D12" s="203">
        <v>175000</v>
      </c>
      <c r="E12" s="203">
        <v>175000</v>
      </c>
      <c r="F12" s="899" t="s">
        <v>109</v>
      </c>
    </row>
    <row r="13" spans="1:8" ht="15" customHeight="1" x14ac:dyDescent="0.25">
      <c r="A13" s="900" t="s">
        <v>90</v>
      </c>
      <c r="B13" s="900" t="s">
        <v>107</v>
      </c>
      <c r="C13" s="203">
        <v>45000</v>
      </c>
      <c r="D13" s="203">
        <v>45000</v>
      </c>
      <c r="E13" s="203">
        <v>45000</v>
      </c>
      <c r="F13" s="899" t="s">
        <v>109</v>
      </c>
    </row>
    <row r="14" spans="1:8" ht="15" customHeight="1" x14ac:dyDescent="0.25">
      <c r="A14" s="900" t="s">
        <v>90</v>
      </c>
      <c r="B14" s="900" t="s">
        <v>85</v>
      </c>
      <c r="C14" s="203">
        <v>12000</v>
      </c>
      <c r="D14" s="203">
        <v>12000</v>
      </c>
      <c r="E14" s="203">
        <v>12000</v>
      </c>
      <c r="F14" s="899" t="s">
        <v>109</v>
      </c>
    </row>
    <row r="15" spans="1:8" ht="15" customHeight="1" x14ac:dyDescent="0.25">
      <c r="A15" s="900" t="s">
        <v>90</v>
      </c>
      <c r="B15" s="900" t="s">
        <v>97</v>
      </c>
      <c r="C15" s="203">
        <v>380000</v>
      </c>
      <c r="D15" s="203">
        <v>100000</v>
      </c>
      <c r="E15" s="203">
        <v>100000</v>
      </c>
      <c r="F15" s="899" t="s">
        <v>109</v>
      </c>
    </row>
    <row r="16" spans="1:8" ht="15" customHeight="1" x14ac:dyDescent="0.25">
      <c r="A16" s="900" t="s">
        <v>646</v>
      </c>
      <c r="B16" s="900" t="s">
        <v>820</v>
      </c>
      <c r="C16" s="203">
        <v>963</v>
      </c>
      <c r="D16" s="203"/>
      <c r="E16" s="203"/>
      <c r="F16" s="899" t="s">
        <v>235</v>
      </c>
    </row>
    <row r="17" spans="1:6" ht="15" customHeight="1" x14ac:dyDescent="0.25">
      <c r="A17" s="900" t="s">
        <v>488</v>
      </c>
      <c r="B17" s="900" t="s">
        <v>230</v>
      </c>
      <c r="C17" s="203">
        <v>101066</v>
      </c>
      <c r="D17" s="203">
        <v>13456</v>
      </c>
      <c r="E17" s="203">
        <v>783</v>
      </c>
      <c r="F17" s="899" t="s">
        <v>235</v>
      </c>
    </row>
    <row r="18" spans="1:6" ht="15" customHeight="1" x14ac:dyDescent="0.25">
      <c r="A18" s="900" t="s">
        <v>92</v>
      </c>
      <c r="B18" s="899" t="s">
        <v>820</v>
      </c>
      <c r="C18" s="203">
        <v>39000</v>
      </c>
      <c r="D18" s="203">
        <v>39000</v>
      </c>
      <c r="E18" s="203">
        <v>39000</v>
      </c>
      <c r="F18" s="899" t="s">
        <v>109</v>
      </c>
    </row>
    <row r="19" spans="1:6" ht="15" customHeight="1" x14ac:dyDescent="0.25">
      <c r="A19" s="900" t="s">
        <v>92</v>
      </c>
      <c r="B19" s="900" t="s">
        <v>79</v>
      </c>
      <c r="C19" s="203">
        <v>310000</v>
      </c>
      <c r="D19" s="203">
        <v>434000</v>
      </c>
      <c r="E19" s="203">
        <v>435000</v>
      </c>
      <c r="F19" s="899" t="s">
        <v>109</v>
      </c>
    </row>
    <row r="20" spans="1:6" ht="15" customHeight="1" x14ac:dyDescent="0.25">
      <c r="A20" s="900" t="s">
        <v>231</v>
      </c>
      <c r="B20" s="900" t="s">
        <v>108</v>
      </c>
      <c r="C20" s="203">
        <v>12653</v>
      </c>
      <c r="D20" s="203">
        <v>2419</v>
      </c>
      <c r="E20" s="203">
        <v>80</v>
      </c>
      <c r="F20" s="899" t="s">
        <v>234</v>
      </c>
    </row>
    <row r="21" spans="1:6" ht="15" customHeight="1" x14ac:dyDescent="0.25">
      <c r="A21" s="900" t="s">
        <v>233</v>
      </c>
      <c r="B21" s="900" t="s">
        <v>232</v>
      </c>
      <c r="C21" s="203"/>
      <c r="D21" s="203">
        <v>160970</v>
      </c>
      <c r="E21" s="203"/>
      <c r="F21" s="899" t="s">
        <v>110</v>
      </c>
    </row>
    <row r="22" spans="1:6" ht="15" customHeight="1" x14ac:dyDescent="0.2">
      <c r="A22" s="202"/>
      <c r="B22" s="202"/>
      <c r="C22" s="203"/>
      <c r="D22" s="203"/>
      <c r="E22" s="203"/>
      <c r="F22" s="201"/>
    </row>
    <row r="23" spans="1:6" ht="15" customHeight="1" x14ac:dyDescent="0.2">
      <c r="A23" s="87"/>
      <c r="B23" s="204" t="s">
        <v>838</v>
      </c>
      <c r="C23" s="205">
        <f>SUM(C8:C22)</f>
        <v>1296917</v>
      </c>
      <c r="D23" s="205">
        <f>SUM(D8:D22)</f>
        <v>1218672</v>
      </c>
      <c r="E23" s="205">
        <f>SUM(E8:E22)</f>
        <v>1046690</v>
      </c>
      <c r="F23" s="206"/>
    </row>
    <row r="24" spans="1:6" ht="15" customHeight="1" x14ac:dyDescent="0.2">
      <c r="A24" s="87"/>
      <c r="B24" s="207" t="s">
        <v>1035</v>
      </c>
      <c r="C24" s="147"/>
      <c r="D24" s="208"/>
      <c r="E24" s="208"/>
      <c r="F24" s="206"/>
    </row>
    <row r="25" spans="1:6" ht="15" customHeight="1" x14ac:dyDescent="0.2">
      <c r="A25" s="87"/>
      <c r="B25" s="204" t="s">
        <v>1036</v>
      </c>
      <c r="C25" s="205">
        <f>C23</f>
        <v>1296917</v>
      </c>
      <c r="D25" s="205">
        <f>SUM(D23-D24)</f>
        <v>1218672</v>
      </c>
      <c r="E25" s="205">
        <f>SUM(E23-E24)</f>
        <v>1046690</v>
      </c>
      <c r="F25" s="206"/>
    </row>
    <row r="26" spans="1:6" ht="15" customHeight="1" x14ac:dyDescent="0.2">
      <c r="A26" s="87"/>
      <c r="B26" s="87"/>
      <c r="C26" s="87"/>
      <c r="D26" s="87"/>
      <c r="E26" s="87"/>
      <c r="F26" s="87"/>
    </row>
    <row r="27" spans="1:6" ht="15" customHeight="1" x14ac:dyDescent="0.2">
      <c r="A27" s="87"/>
      <c r="B27" s="87"/>
      <c r="C27" s="87"/>
      <c r="D27" s="87"/>
      <c r="E27" s="87"/>
      <c r="F27" s="87"/>
    </row>
    <row r="28" spans="1:6" ht="15" customHeight="1" x14ac:dyDescent="0.2">
      <c r="A28" s="367" t="s">
        <v>471</v>
      </c>
      <c r="B28" s="368" t="str">
        <f>CONCATENATE("Adjustments are required only if the transfer is being made in ",D7," and/or ",E7," from a non-budgeted fund.")</f>
        <v>Adjustments are required only if the transfer is being made in 2013 and/or 2014 from a non-budgeted fund.</v>
      </c>
      <c r="C28" s="87"/>
      <c r="D28" s="87"/>
      <c r="E28" s="87"/>
      <c r="F28" s="87"/>
    </row>
    <row r="29" spans="1:6" ht="15" customHeight="1" x14ac:dyDescent="0.2"/>
  </sheetData>
  <mergeCells count="1">
    <mergeCell ref="A3:F3"/>
  </mergeCells>
  <phoneticPr fontId="9" type="noConversion"/>
  <printOptions horizontalCentered="1"/>
  <pageMargins left="0.5" right="0.5" top="0.5" bottom="0.5" header="0.3" footer="0.3"/>
  <pageSetup scale="92"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68"/>
  <sheetViews>
    <sheetView zoomScaleNormal="100" workbookViewId="0">
      <selection activeCell="B18" sqref="B18"/>
    </sheetView>
  </sheetViews>
  <sheetFormatPr defaultRowHeight="15" x14ac:dyDescent="0.2"/>
  <cols>
    <col min="1" max="1" width="70.5546875" style="508" customWidth="1"/>
    <col min="2" max="16384" width="8.88671875" style="508"/>
  </cols>
  <sheetData>
    <row r="1" spans="1:1" ht="18.75" x14ac:dyDescent="0.2">
      <c r="A1" s="509" t="s">
        <v>1123</v>
      </c>
    </row>
    <row r="2" spans="1:1" ht="18.75" x14ac:dyDescent="0.2">
      <c r="A2" s="509"/>
    </row>
    <row r="3" spans="1:1" ht="18.75" x14ac:dyDescent="0.2">
      <c r="A3" s="509"/>
    </row>
    <row r="4" spans="1:1" ht="51.75" customHeight="1" x14ac:dyDescent="0.25">
      <c r="A4" s="519" t="s">
        <v>603</v>
      </c>
    </row>
    <row r="5" spans="1:1" ht="18.75" x14ac:dyDescent="0.2">
      <c r="A5" s="509"/>
    </row>
    <row r="6" spans="1:1" ht="15.75" x14ac:dyDescent="0.2">
      <c r="A6" s="510"/>
    </row>
    <row r="7" spans="1:1" ht="47.25" x14ac:dyDescent="0.2">
      <c r="A7" s="511" t="s">
        <v>1124</v>
      </c>
    </row>
    <row r="8" spans="1:1" ht="15.75" x14ac:dyDescent="0.2">
      <c r="A8" s="510"/>
    </row>
    <row r="9" spans="1:1" ht="15.75" x14ac:dyDescent="0.2">
      <c r="A9" s="510"/>
    </row>
    <row r="10" spans="1:1" ht="63" x14ac:dyDescent="0.2">
      <c r="A10" s="511" t="s">
        <v>1125</v>
      </c>
    </row>
    <row r="11" spans="1:1" ht="15.75" x14ac:dyDescent="0.2">
      <c r="A11" s="512"/>
    </row>
    <row r="12" spans="1:1" ht="15.75" x14ac:dyDescent="0.2">
      <c r="A12" s="510"/>
    </row>
    <row r="13" spans="1:1" ht="47.25" x14ac:dyDescent="0.2">
      <c r="A13" s="511" t="s">
        <v>1126</v>
      </c>
    </row>
    <row r="14" spans="1:1" ht="15.75" x14ac:dyDescent="0.2">
      <c r="A14" s="512"/>
    </row>
    <row r="15" spans="1:1" ht="15.75" x14ac:dyDescent="0.2">
      <c r="A15" s="510"/>
    </row>
    <row r="16" spans="1:1" ht="47.25" x14ac:dyDescent="0.2">
      <c r="A16" s="511" t="s">
        <v>1127</v>
      </c>
    </row>
    <row r="17" spans="1:1" ht="15.75" x14ac:dyDescent="0.2">
      <c r="A17" s="512"/>
    </row>
    <row r="18" spans="1:1" ht="15.75" x14ac:dyDescent="0.2">
      <c r="A18" s="512"/>
    </row>
    <row r="19" spans="1:1" ht="47.25" x14ac:dyDescent="0.2">
      <c r="A19" s="511" t="s">
        <v>1128</v>
      </c>
    </row>
    <row r="20" spans="1:1" ht="15.75" x14ac:dyDescent="0.2">
      <c r="A20" s="512"/>
    </row>
    <row r="21" spans="1:1" ht="15.75" x14ac:dyDescent="0.2">
      <c r="A21" s="512"/>
    </row>
    <row r="22" spans="1:1" ht="47.25" x14ac:dyDescent="0.2">
      <c r="A22" s="511" t="s">
        <v>1129</v>
      </c>
    </row>
    <row r="23" spans="1:1" ht="15.75" x14ac:dyDescent="0.2">
      <c r="A23" s="512"/>
    </row>
    <row r="24" spans="1:1" ht="15.75" x14ac:dyDescent="0.2">
      <c r="A24" s="512"/>
    </row>
    <row r="25" spans="1:1" ht="31.5" x14ac:dyDescent="0.2">
      <c r="A25" s="511" t="s">
        <v>1130</v>
      </c>
    </row>
    <row r="26" spans="1:1" ht="15.75" x14ac:dyDescent="0.2">
      <c r="A26" s="510"/>
    </row>
    <row r="27" spans="1:1" ht="15.75" x14ac:dyDescent="0.2">
      <c r="A27" s="510"/>
    </row>
    <row r="28" spans="1:1" ht="60" x14ac:dyDescent="0.2">
      <c r="A28" s="513" t="s">
        <v>1131</v>
      </c>
    </row>
    <row r="29" spans="1:1" x14ac:dyDescent="0.2">
      <c r="A29" s="514"/>
    </row>
    <row r="30" spans="1:1" x14ac:dyDescent="0.2">
      <c r="A30" s="514"/>
    </row>
    <row r="31" spans="1:1" ht="47.25" x14ac:dyDescent="0.2">
      <c r="A31" s="511" t="s">
        <v>1132</v>
      </c>
    </row>
    <row r="32" spans="1:1" ht="15.75" x14ac:dyDescent="0.2">
      <c r="A32" s="510"/>
    </row>
    <row r="33" spans="1:1" ht="15.75" x14ac:dyDescent="0.2">
      <c r="A33" s="510"/>
    </row>
    <row r="34" spans="1:1" ht="66.75" customHeight="1" x14ac:dyDescent="0.25">
      <c r="A34" s="518" t="s">
        <v>604</v>
      </c>
    </row>
    <row r="35" spans="1:1" ht="15.75" x14ac:dyDescent="0.2">
      <c r="A35" s="510"/>
    </row>
    <row r="36" spans="1:1" ht="15.75" x14ac:dyDescent="0.2">
      <c r="A36" s="510"/>
    </row>
    <row r="37" spans="1:1" ht="63" x14ac:dyDescent="0.2">
      <c r="A37" s="515" t="s">
        <v>1133</v>
      </c>
    </row>
    <row r="38" spans="1:1" ht="15.75" x14ac:dyDescent="0.2">
      <c r="A38" s="512"/>
    </row>
    <row r="39" spans="1:1" ht="15.75" x14ac:dyDescent="0.2">
      <c r="A39" s="510"/>
    </row>
    <row r="40" spans="1:1" ht="63" x14ac:dyDescent="0.2">
      <c r="A40" s="511" t="s">
        <v>1134</v>
      </c>
    </row>
    <row r="41" spans="1:1" ht="15.75" x14ac:dyDescent="0.2">
      <c r="A41" s="512"/>
    </row>
    <row r="42" spans="1:1" ht="15.75" x14ac:dyDescent="0.2">
      <c r="A42" s="512"/>
    </row>
    <row r="43" spans="1:1" ht="82.5" customHeight="1" x14ac:dyDescent="0.25">
      <c r="A43" s="507" t="s">
        <v>605</v>
      </c>
    </row>
    <row r="44" spans="1:1" ht="15.75" x14ac:dyDescent="0.2">
      <c r="A44" s="512"/>
    </row>
    <row r="45" spans="1:1" ht="15.75" x14ac:dyDescent="0.2">
      <c r="A45" s="512"/>
    </row>
    <row r="46" spans="1:1" ht="69" customHeight="1" x14ac:dyDescent="0.25">
      <c r="A46" s="507" t="s">
        <v>606</v>
      </c>
    </row>
    <row r="47" spans="1:1" ht="15.75" x14ac:dyDescent="0.2">
      <c r="A47" s="512"/>
    </row>
    <row r="48" spans="1:1" ht="15.75" x14ac:dyDescent="0.2">
      <c r="A48" s="512"/>
    </row>
    <row r="49" spans="1:1" ht="69" customHeight="1" x14ac:dyDescent="0.25">
      <c r="A49" s="507" t="s">
        <v>607</v>
      </c>
    </row>
    <row r="50" spans="1:1" ht="15.75" customHeight="1" x14ac:dyDescent="0.2">
      <c r="A50" s="512"/>
    </row>
    <row r="51" spans="1:1" ht="21.75" customHeight="1" x14ac:dyDescent="0.2">
      <c r="A51" s="512"/>
    </row>
    <row r="52" spans="1:1" ht="66" customHeight="1" x14ac:dyDescent="0.25">
      <c r="A52" s="507" t="s">
        <v>751</v>
      </c>
    </row>
    <row r="53" spans="1:1" ht="15.75" x14ac:dyDescent="0.2">
      <c r="A53" s="512"/>
    </row>
    <row r="54" spans="1:1" ht="15.75" x14ac:dyDescent="0.2">
      <c r="A54" s="512"/>
    </row>
    <row r="55" spans="1:1" ht="63" x14ac:dyDescent="0.2">
      <c r="A55" s="511" t="s">
        <v>1135</v>
      </c>
    </row>
    <row r="56" spans="1:1" ht="15.75" x14ac:dyDescent="0.2">
      <c r="A56" s="512"/>
    </row>
    <row r="57" spans="1:1" ht="15.75" x14ac:dyDescent="0.2">
      <c r="A57" s="512"/>
    </row>
    <row r="58" spans="1:1" ht="63" x14ac:dyDescent="0.2">
      <c r="A58" s="511" t="s">
        <v>1136</v>
      </c>
    </row>
    <row r="59" spans="1:1" ht="15.75" x14ac:dyDescent="0.2">
      <c r="A59" s="512"/>
    </row>
    <row r="60" spans="1:1" ht="15.75" x14ac:dyDescent="0.2">
      <c r="A60" s="512"/>
    </row>
    <row r="61" spans="1:1" ht="47.25" x14ac:dyDescent="0.2">
      <c r="A61" s="511" t="s">
        <v>1137</v>
      </c>
    </row>
    <row r="62" spans="1:1" ht="15.75" x14ac:dyDescent="0.2">
      <c r="A62" s="512"/>
    </row>
    <row r="63" spans="1:1" ht="15.75" x14ac:dyDescent="0.2">
      <c r="A63" s="512"/>
    </row>
    <row r="64" spans="1:1" ht="47.25" x14ac:dyDescent="0.2">
      <c r="A64" s="511" t="s">
        <v>1138</v>
      </c>
    </row>
    <row r="65" spans="1:1" ht="15.75" x14ac:dyDescent="0.2">
      <c r="A65" s="512"/>
    </row>
    <row r="66" spans="1:1" ht="15.75" x14ac:dyDescent="0.2">
      <c r="A66" s="512"/>
    </row>
    <row r="67" spans="1:1" ht="78.75" x14ac:dyDescent="0.2">
      <c r="A67" s="511" t="s">
        <v>1139</v>
      </c>
    </row>
    <row r="68" spans="1:1" x14ac:dyDescent="0.2">
      <c r="A68" s="516"/>
    </row>
  </sheetData>
  <sheetProtection sheet="1" objects="1" scenarios="1"/>
  <phoneticPr fontId="0" type="noConversion"/>
  <printOptions horizontalCentered="1"/>
  <pageMargins left="0.5" right="0.5" top="0.5" bottom="0.5" header="0.3" footer="0.3"/>
  <pageSetup scale="37"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27</vt:i4>
      </vt:variant>
    </vt:vector>
  </HeadingPairs>
  <TitlesOfParts>
    <vt:vector size="76" baseType="lpstr">
      <vt:lpstr>Instructions</vt:lpstr>
      <vt:lpstr>inputPrYr</vt:lpstr>
      <vt:lpstr>inputOth</vt:lpstr>
      <vt:lpstr>inputBudSum</vt:lpstr>
      <vt:lpstr>cert</vt:lpstr>
      <vt:lpstr>computation</vt:lpstr>
      <vt:lpstr>mvalloc</vt:lpstr>
      <vt:lpstr>transfers</vt:lpstr>
      <vt:lpstr>TransferStatutes</vt:lpstr>
      <vt:lpstr>debt</vt:lpstr>
      <vt:lpstr>lpform</vt:lpstr>
      <vt:lpstr>Library Grant</vt:lpstr>
      <vt:lpstr>general</vt:lpstr>
      <vt:lpstr>GenDetail</vt:lpstr>
      <vt:lpstr>DebtService</vt:lpstr>
      <vt:lpstr>Library-Rec</vt:lpstr>
      <vt:lpstr>Ind-EBF</vt:lpstr>
      <vt:lpstr>PS Equip-REBF</vt:lpstr>
      <vt:lpstr>St Imp-Refuse</vt:lpstr>
      <vt:lpstr>Golf-911</vt:lpstr>
      <vt:lpstr>Tourism</vt:lpstr>
      <vt:lpstr>levy 7</vt:lpstr>
      <vt:lpstr>Levy 8</vt:lpstr>
      <vt:lpstr>levy9</vt:lpstr>
      <vt:lpstr>levy10</vt:lpstr>
      <vt:lpstr>no levy page21</vt:lpstr>
      <vt:lpstr>levy page11</vt:lpstr>
      <vt:lpstr>levy page12</vt:lpstr>
      <vt:lpstr>levy page13</vt:lpstr>
      <vt:lpstr>Water</vt:lpstr>
      <vt:lpstr>Elec</vt:lpstr>
      <vt:lpstr>Sewer</vt:lpstr>
      <vt:lpstr>SP&amp;R</vt:lpstr>
      <vt:lpstr>CIP Funds</vt:lpstr>
      <vt:lpstr>Agency Funds1</vt:lpstr>
      <vt:lpstr>Agency Funds2</vt:lpstr>
      <vt:lpstr>NonBudD</vt:lpstr>
      <vt:lpstr>NonBudFunds</vt:lpstr>
      <vt:lpstr>summ</vt:lpstr>
      <vt:lpstr>nhood</vt:lpstr>
      <vt:lpstr>ordinance</vt:lpstr>
      <vt:lpstr>Tab A</vt:lpstr>
      <vt:lpstr>Tab B</vt:lpstr>
      <vt:lpstr>Tab C</vt:lpstr>
      <vt:lpstr>Tab D</vt:lpstr>
      <vt:lpstr>Tab E</vt:lpstr>
      <vt:lpstr>Mill Rate Computation</vt:lpstr>
      <vt:lpstr>Helpful Links</vt:lpstr>
      <vt:lpstr>legend</vt:lpstr>
      <vt:lpstr>'Agency Funds1'!Print_Area</vt:lpstr>
      <vt:lpstr>'Agency Funds2'!Print_Area</vt:lpstr>
      <vt:lpstr>cert!Print_Area</vt:lpstr>
      <vt:lpstr>'CIP Funds'!Print_Area</vt:lpstr>
      <vt:lpstr>debt!Print_Area</vt:lpstr>
      <vt:lpstr>DebtService!Print_Area</vt:lpstr>
      <vt:lpstr>Elec!Print_Area</vt:lpstr>
      <vt:lpstr>general!Print_Area</vt:lpstr>
      <vt:lpstr>'Golf-911'!Print_Area</vt:lpstr>
      <vt:lpstr>'Ind-EBF'!Print_Area</vt:lpstr>
      <vt:lpstr>inputPrYr!Print_Area</vt:lpstr>
      <vt:lpstr>'levy page11'!Print_Area</vt:lpstr>
      <vt:lpstr>'levy page12'!Print_Area</vt:lpstr>
      <vt:lpstr>'levy page13'!Print_Area</vt:lpstr>
      <vt:lpstr>'Library Grant'!Print_Area</vt:lpstr>
      <vt:lpstr>'Library-Rec'!Print_Area</vt:lpstr>
      <vt:lpstr>lpform!Print_Area</vt:lpstr>
      <vt:lpstr>'Mill Rate Computation'!Print_Area</vt:lpstr>
      <vt:lpstr>mvalloc!Print_Area</vt:lpstr>
      <vt:lpstr>'PS Equip-REBF'!Print_Area</vt:lpstr>
      <vt:lpstr>Sewer!Print_Area</vt:lpstr>
      <vt:lpstr>'SP&amp;R'!Print_Area</vt:lpstr>
      <vt:lpstr>'St Imp-Refuse'!Print_Area</vt:lpstr>
      <vt:lpstr>summ!Print_Area</vt:lpstr>
      <vt:lpstr>Tourism!Print_Area</vt:lpstr>
      <vt:lpstr>transfers!Print_Area</vt:lpstr>
      <vt:lpstr>Water!Print_Area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Rbasinge</cp:lastModifiedBy>
  <cp:lastPrinted>2013-07-25T18:43:18Z</cp:lastPrinted>
  <dcterms:created xsi:type="dcterms:W3CDTF">1999-08-03T13:11:47Z</dcterms:created>
  <dcterms:modified xsi:type="dcterms:W3CDTF">2014-04-07T19:56:28Z</dcterms:modified>
</cp:coreProperties>
</file>