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228" windowWidth="9648" windowHeight="1140" tabRatio="925" firstSheet="5" activeTab="18"/>
  </bookViews>
  <sheets>
    <sheet name="inputPrYr" sheetId="1" r:id="rId1"/>
    <sheet name="inputOth" sheetId="2" r:id="rId2"/>
    <sheet name="inputBudSum" sheetId="3" r:id="rId3"/>
    <sheet name="cert" sheetId="4" r:id="rId4"/>
    <sheet name="computation" sheetId="5" r:id="rId5"/>
    <sheet name="mvalloc" sheetId="6" r:id="rId6"/>
    <sheet name="transfers" sheetId="7" r:id="rId7"/>
    <sheet name="debt" sheetId="8" r:id="rId8"/>
    <sheet name="lpform" sheetId="9" r:id="rId9"/>
    <sheet name="Library Grant " sheetId="10" r:id="rId10"/>
    <sheet name="general" sheetId="11" r:id="rId11"/>
    <sheet name="GenDetail" sheetId="12" r:id="rId12"/>
    <sheet name="DebtSvs-Library" sheetId="13" r:id="rId13"/>
    <sheet name="Special Liabilty" sheetId="14" r:id="rId14"/>
    <sheet name="Sp Hiway &amp; 911 emerg" sheetId="15" r:id="rId15"/>
    <sheet name="Water &amp; Sewer" sheetId="16" r:id="rId16"/>
    <sheet name="Electric" sheetId="17" r:id="rId17"/>
    <sheet name="NonBudA" sheetId="18" r:id="rId18"/>
    <sheet name="summ" sheetId="19" r:id="rId19"/>
  </sheets>
  <definedNames>
    <definedName name="_xlnm.Print_Area" localSheetId="12">'DebtSvs-Library'!$B$1:$E$83</definedName>
    <definedName name="_xlnm.Print_Area" localSheetId="11">'GenDetail'!$A$1:$D$64</definedName>
    <definedName name="_xlnm.Print_Area" localSheetId="10">'general'!$B$1:$E$121</definedName>
    <definedName name="_xlnm.Print_Area" localSheetId="0">'inputPrYr'!$A$1:$E$118</definedName>
    <definedName name="_xlnm.Print_Area" localSheetId="9">'Library Grant '!$A$1:$J$40</definedName>
    <definedName name="_xlnm.Print_Area" localSheetId="8">'lpform'!$B$1:$I$38</definedName>
    <definedName name="_xlnm.Print_Area" localSheetId="13">'Special Liabilty'!$A$1:$E$83</definedName>
    <definedName name="_xlnm.Print_Area" localSheetId="18">'summ'!$A$2:$H$44</definedName>
  </definedNames>
  <calcPr fullCalcOnLoad="1"/>
</workbook>
</file>

<file path=xl/sharedStrings.xml><?xml version="1.0" encoding="utf-8"?>
<sst xmlns="http://schemas.openxmlformats.org/spreadsheetml/2006/main" count="869" uniqueCount="447">
  <si>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</si>
  <si>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</si>
  <si>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</si>
  <si>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</si>
  <si>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</si>
  <si>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</si>
  <si>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</si>
  <si>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</si>
  <si>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</si>
  <si>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</si>
  <si>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</si>
  <si>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</si>
  <si>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</si>
  <si>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</si>
  <si>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</si>
  <si>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</si>
  <si>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</si>
  <si>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</si>
  <si>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</si>
  <si>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</si>
  <si>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</si>
  <si>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</si>
  <si>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</si>
  <si>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</si>
  <si>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</si>
  <si>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</si>
  <si>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</si>
  <si>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</si>
  <si>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</si>
  <si>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</si>
  <si>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</si>
  <si>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</si>
  <si>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</si>
  <si>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</si>
  <si>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</si>
  <si>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Commodities</t>
  </si>
  <si>
    <t xml:space="preserve">  Capital Outlay</t>
  </si>
  <si>
    <t>Total Expenditures</t>
  </si>
  <si>
    <t>Tax Required</t>
  </si>
  <si>
    <t>%</t>
  </si>
  <si>
    <t>Page No.</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</si>
  <si>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</si>
  <si>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</si>
  <si>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</si>
  <si>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</si>
  <si>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</si>
  <si>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</si>
  <si>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</si>
  <si>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</si>
  <si>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</si>
  <si>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</si>
  <si>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</si>
  <si>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</si>
  <si>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</si>
  <si>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</si>
  <si>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</si>
  <si>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</si>
  <si>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</si>
  <si>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</si>
  <si>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</si>
  <si>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</si>
  <si>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</si>
  <si>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</si>
  <si>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</si>
  <si>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</si>
  <si>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</si>
  <si>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</si>
  <si>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</si>
  <si>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</si>
  <si>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</si>
  <si>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</si>
  <si>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</si>
  <si>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</si>
  <si>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</si>
  <si>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</si>
  <si>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</si>
  <si>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</si>
  <si>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</si>
  <si>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</si>
  <si>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</si>
  <si>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</si>
  <si>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</si>
  <si>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</si>
  <si>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</si>
  <si>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</si>
  <si>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</si>
  <si>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</si>
  <si>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</si>
  <si>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</si>
  <si>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</si>
  <si>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</si>
  <si>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</si>
  <si>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</si>
  <si>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</si>
  <si>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</si>
  <si>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</si>
  <si>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</si>
  <si>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</si>
  <si>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</si>
  <si>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</si>
  <si>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</si>
  <si>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</si>
  <si>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</si>
  <si>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</si>
  <si>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</si>
  <si>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</si>
  <si>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</si>
  <si>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</si>
  <si>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</si>
  <si>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</si>
  <si>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</si>
  <si>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</si>
  <si>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</si>
  <si>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</si>
  <si>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</si>
  <si>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</si>
  <si>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</si>
  <si>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</si>
  <si>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</si>
  <si>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</si>
  <si>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</si>
  <si>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</si>
  <si>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</si>
  <si>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</si>
  <si>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</si>
  <si>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</si>
  <si>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</si>
  <si>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</si>
  <si>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</si>
  <si>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</si>
  <si>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</si>
  <si>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</si>
  <si>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</si>
  <si>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</si>
  <si>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</si>
  <si>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</si>
  <si>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</si>
  <si>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</si>
  <si>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</si>
  <si>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</si>
  <si>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</si>
  <si>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</si>
  <si>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</si>
  <si>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</si>
  <si>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</si>
  <si>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</si>
  <si>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</si>
  <si>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</si>
  <si>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</si>
  <si>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</si>
  <si>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</si>
  <si>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City Clerk</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</si>
  <si>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</si>
  <si>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</si>
  <si>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</si>
  <si>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</si>
  <si>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</si>
  <si>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</si>
  <si>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</si>
  <si>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</si>
  <si>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</si>
  <si>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</si>
  <si>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</si>
  <si>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</si>
  <si>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</si>
  <si>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</si>
  <si>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</si>
  <si>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</si>
  <si>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</si>
  <si>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</si>
  <si>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Amount of</t>
  </si>
  <si>
    <t>Valorem Tax</t>
  </si>
  <si>
    <t>NON-BUDGETED FUNDS (A)</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</si>
  <si>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</si>
  <si>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</si>
  <si>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</si>
  <si>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</si>
  <si>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</si>
  <si>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</si>
  <si>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</si>
  <si>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</si>
  <si>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</si>
  <si>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</si>
  <si>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</si>
  <si>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</si>
  <si>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</si>
  <si>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</si>
  <si>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</si>
  <si>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</si>
  <si>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</si>
  <si>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</si>
  <si>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</si>
  <si>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</si>
  <si>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</si>
  <si>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</si>
  <si>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Estimate</t>
  </si>
  <si>
    <t>Non-Budgeted Funds-A</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</si>
  <si>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</si>
  <si>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</si>
  <si>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</si>
  <si>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</si>
  <si>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</si>
  <si>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</si>
  <si>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</si>
  <si>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</si>
  <si>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</si>
  <si>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</si>
  <si>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Enter City Name ( City of )</t>
  </si>
  <si>
    <t>Enter County Name followed by "County"</t>
  </si>
  <si>
    <t>**</t>
  </si>
  <si>
    <t>**Note: These two block figures should agree.</t>
  </si>
  <si>
    <t>Outstanding Indebtedness, January 1:</t>
  </si>
  <si>
    <t>From the League of Municipalities' Budget Tips (Special City and County Highway Fund):</t>
  </si>
  <si>
    <t>Attest: _____________________,</t>
  </si>
  <si>
    <t>County Transfers Gas</t>
  </si>
  <si>
    <t>Funds</t>
  </si>
  <si>
    <t>Budget Authority</t>
  </si>
  <si>
    <t xml:space="preserve">expenditure amounts should reflect the amended </t>
  </si>
  <si>
    <t>expenditure amounts.</t>
  </si>
  <si>
    <t>Miscellaneous</t>
  </si>
  <si>
    <t>Neighborhood Revitalization Rebate</t>
  </si>
  <si>
    <t>Cash Balance Jan 1</t>
  </si>
  <si>
    <t>***If you are merely leasing/renting with no intent to purchase, do not list--such transactions are not lease-purchases.</t>
  </si>
  <si>
    <t>(Note: Should agree with general sub-totals.)</t>
  </si>
  <si>
    <t>General Fund - Detail Expenditures</t>
  </si>
  <si>
    <t xml:space="preserve">Ad Valorem Tax </t>
  </si>
  <si>
    <t>Fund Names:</t>
  </si>
  <si>
    <t>Statute</t>
  </si>
  <si>
    <t>General</t>
  </si>
  <si>
    <t>Total</t>
  </si>
  <si>
    <t>Motor Vehicle Tax Estimate</t>
  </si>
  <si>
    <t>Recreational Vehicle Tax Estimate</t>
  </si>
  <si>
    <t>certify that: (1) the hearing mentioned in the attached publication was held;</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</si>
  <si>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</si>
  <si>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</si>
  <si>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</si>
  <si>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</si>
  <si>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</si>
  <si>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</si>
  <si>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</si>
  <si>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</si>
  <si>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</si>
  <si>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</si>
  <si>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</si>
  <si>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</si>
  <si>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</si>
  <si>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What should I do?</t>
  </si>
  <si>
    <t>hearing and answering objections of taxpayers relating to the proposed use of all funds and the amount of ad valorem tax.</t>
  </si>
  <si>
    <t>*Note:</t>
  </si>
  <si>
    <t>Expenditure</t>
  </si>
  <si>
    <t xml:space="preserve">Fund Transferred </t>
  </si>
  <si>
    <t>Receipt</t>
  </si>
  <si>
    <t>Fund Transferred</t>
  </si>
  <si>
    <r>
      <t>Adjustments</t>
    </r>
    <r>
      <rPr>
        <b/>
        <sz val="12"/>
        <color indexed="10"/>
        <rFont val="Times New Roman"/>
        <family val="1"/>
      </rPr>
      <t>*</t>
    </r>
  </si>
  <si>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</si>
  <si>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</si>
  <si>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</si>
  <si>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</si>
  <si>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</si>
  <si>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</si>
  <si>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</si>
  <si>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</si>
  <si>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</si>
  <si>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</si>
  <si>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</si>
  <si>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</si>
  <si>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Change in Ad Valorem Tax Revenue:</t>
  </si>
  <si>
    <t>What Mill Rate Would Be Desired?</t>
  </si>
  <si>
    <t>2012 Ad Valorem Tax:</t>
  </si>
  <si>
    <t>Franchise Tax</t>
  </si>
  <si>
    <t xml:space="preserve">Totals </t>
  </si>
  <si>
    <t>Does miscellaneous exceed 10% Total Rec</t>
  </si>
  <si>
    <t>Does miscellaneous exceed 10% Total Exp</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</si>
  <si>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</si>
  <si>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</si>
  <si>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</si>
  <si>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</si>
  <si>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</si>
  <si>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</si>
  <si>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</si>
  <si>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</si>
  <si>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</si>
  <si>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</si>
  <si>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</si>
  <si>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</si>
  <si>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</si>
  <si>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</si>
  <si>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</si>
  <si>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</si>
  <si>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</si>
  <si>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</si>
  <si>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</si>
  <si>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</si>
  <si>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</si>
  <si>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</si>
  <si>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</si>
  <si>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</si>
  <si>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</si>
  <si>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</si>
  <si>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</si>
  <si>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</si>
  <si>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</si>
  <si>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</si>
  <si>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</si>
  <si>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</si>
  <si>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</si>
  <si>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</si>
  <si>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</si>
  <si>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</si>
  <si>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</si>
  <si>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</si>
  <si>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</si>
  <si>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</si>
  <si>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</si>
  <si>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</si>
  <si>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</si>
  <si>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</si>
  <si>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</si>
  <si>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</si>
  <si>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</si>
  <si>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</si>
  <si>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</si>
  <si>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</si>
  <si>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</si>
  <si>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</si>
  <si>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</si>
  <si>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</si>
  <si>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</si>
  <si>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</si>
  <si>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</si>
  <si>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</si>
  <si>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</si>
  <si>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</si>
  <si>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</si>
  <si>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</si>
  <si>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</si>
  <si>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</si>
  <si>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</si>
  <si>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</si>
  <si>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</si>
  <si>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</si>
  <si>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</si>
  <si>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</si>
  <si>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</si>
  <si>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</si>
  <si>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</si>
  <si>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</si>
  <si>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</si>
  <si>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</si>
  <si>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</si>
  <si>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</si>
  <si>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</si>
  <si>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</si>
  <si>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</si>
  <si>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</si>
  <si>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</si>
  <si>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Allocation of Motor, Recreational, 16/20M Vehicle Tax </t>
  </si>
  <si>
    <t xml:space="preserve">peter.haxton@library.ks.gov </t>
  </si>
  <si>
    <t>Is an ordinance required?</t>
  </si>
  <si>
    <t>City of Toronto</t>
  </si>
  <si>
    <t>Woodson</t>
  </si>
  <si>
    <t>G. O. Bond and Interest</t>
  </si>
  <si>
    <t>Special Liabilty</t>
  </si>
  <si>
    <t>75-6110</t>
  </si>
  <si>
    <t>911 Emergency System</t>
  </si>
  <si>
    <t>Water Utility</t>
  </si>
  <si>
    <t>Sewer Utility</t>
  </si>
  <si>
    <t>Electric Utility</t>
  </si>
  <si>
    <t>Toronto City Hall</t>
  </si>
  <si>
    <t>Philip A. Jarred</t>
  </si>
  <si>
    <t>Jarred, Gilmore &amp; Phillips, PA</t>
  </si>
  <si>
    <t>1815 S. Santa Fe, PO Box 779</t>
  </si>
  <si>
    <t>Chanute, KS   66720</t>
  </si>
  <si>
    <t>pjarred@jgppa.com</t>
  </si>
  <si>
    <t>G.O. Bond and Interest</t>
  </si>
  <si>
    <t xml:space="preserve">General </t>
  </si>
  <si>
    <t>Equipment Reserve</t>
  </si>
  <si>
    <t>KSA 12-825d</t>
  </si>
  <si>
    <t>KSA 12-1,117</t>
  </si>
  <si>
    <t>Refunding Bonds</t>
  </si>
  <si>
    <t xml:space="preserve">  Series 2009</t>
  </si>
  <si>
    <t>2.25-4.6</t>
  </si>
  <si>
    <t>3/1 9/1</t>
  </si>
  <si>
    <t xml:space="preserve"> 9/1</t>
  </si>
  <si>
    <t>None</t>
  </si>
  <si>
    <t>Local Alcoholic Liquor Tax</t>
  </si>
  <si>
    <t>Sales Tax</t>
  </si>
  <si>
    <t>Highway Connecting Links</t>
  </si>
  <si>
    <t>Charges for Services</t>
  </si>
  <si>
    <t>Licenses and Permits</t>
  </si>
  <si>
    <t>Fines, Forfeitures and Penalties</t>
  </si>
  <si>
    <t>Reimbursed Expense</t>
  </si>
  <si>
    <t>Operating Transfers from:</t>
  </si>
  <si>
    <t xml:space="preserve">     Electric Utility Fund</t>
  </si>
  <si>
    <t xml:space="preserve">     Sewer Utility Fund</t>
  </si>
  <si>
    <t>General Government</t>
  </si>
  <si>
    <t xml:space="preserve">  Personal Services</t>
  </si>
  <si>
    <t xml:space="preserve">  Contractual Services</t>
  </si>
  <si>
    <t>Fire Department</t>
  </si>
  <si>
    <t>Muncipal Court</t>
  </si>
  <si>
    <t>Highways and Streets</t>
  </si>
  <si>
    <t>Parks and Recreation</t>
  </si>
  <si>
    <t xml:space="preserve">Library Board </t>
  </si>
  <si>
    <t xml:space="preserve">  Appropriation to Library Board</t>
  </si>
  <si>
    <t>Reimbursed Expense - RWD #9</t>
  </si>
  <si>
    <t xml:space="preserve">    Water Utility Fund</t>
  </si>
  <si>
    <t xml:space="preserve">    Sewer Utility Fund</t>
  </si>
  <si>
    <t>Debt Services</t>
  </si>
  <si>
    <t xml:space="preserve">   Principal</t>
  </si>
  <si>
    <t xml:space="preserve">   Interest</t>
  </si>
  <si>
    <t>Reimbursed Expenses</t>
  </si>
  <si>
    <t>Culture and Recreation</t>
  </si>
  <si>
    <t xml:space="preserve">   Appropration to Library Board</t>
  </si>
  <si>
    <t xml:space="preserve">   Contractual Services</t>
  </si>
  <si>
    <t xml:space="preserve">     Contractual Services</t>
  </si>
  <si>
    <t>Highways &amp; Streets</t>
  </si>
  <si>
    <t>Public Safety</t>
  </si>
  <si>
    <t xml:space="preserve">    Contractual Services</t>
  </si>
  <si>
    <t xml:space="preserve">    Commodities</t>
  </si>
  <si>
    <t xml:space="preserve">     Consumer Sales</t>
  </si>
  <si>
    <t xml:space="preserve">    Consumer Sales</t>
  </si>
  <si>
    <t xml:space="preserve">    Bulk Sales</t>
  </si>
  <si>
    <t xml:space="preserve">    Connect and Reconnect Fees</t>
  </si>
  <si>
    <t>Transmission and Distribution</t>
  </si>
  <si>
    <t xml:space="preserve">    Personal Services</t>
  </si>
  <si>
    <t xml:space="preserve">    Capital Outlay</t>
  </si>
  <si>
    <t>Operating Transfers To:</t>
  </si>
  <si>
    <t xml:space="preserve">    G.O. Bond and Interest Fund</t>
  </si>
  <si>
    <t>Operating Transfers to:</t>
  </si>
  <si>
    <t xml:space="preserve">    General Fund</t>
  </si>
  <si>
    <t xml:space="preserve">    Equipment Reserve Fund</t>
  </si>
  <si>
    <t xml:space="preserve">    Penalties</t>
  </si>
  <si>
    <t>Production</t>
  </si>
  <si>
    <t>Water &amp; Sewer Surplus</t>
  </si>
  <si>
    <t>Electric Utility Fund Sec Dep</t>
  </si>
  <si>
    <t>Interest Income</t>
  </si>
  <si>
    <t xml:space="preserve">Operating Transfers </t>
  </si>
  <si>
    <t xml:space="preserve">   Sewer Utility</t>
  </si>
  <si>
    <t xml:space="preserve">   Electric Uitlity</t>
  </si>
  <si>
    <t>Security Deposits</t>
  </si>
  <si>
    <t>Security Deposits Re</t>
  </si>
  <si>
    <t>August 8, 2013</t>
  </si>
  <si>
    <t>7:30 PM</t>
  </si>
  <si>
    <t>Cash Basis Reserve</t>
  </si>
  <si>
    <t xml:space="preserve">   Capital Outlay</t>
  </si>
  <si>
    <t>See Accountants' Compilation Report</t>
  </si>
  <si>
    <t>See Accounatnts' Compilation Report</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</si>
</sst>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 numFmtId="199" formatCode="[$-409]d\-mmm;@"/>
  </numFmts>
  <fonts count="83">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8"/>
      <name val="Times New Roman"/>
      <family val="1"/>
    </font>
    <font>
      <sz val="12"/>
      <color indexed="10"/>
      <name val="Courier"/>
      <family val="3"/>
    </font>
    <font>
      <i/>
      <sz val="12"/>
      <name val="Times New Roman"/>
      <family val="1"/>
    </font>
    <font>
      <b/>
      <sz val="12"/>
      <color indexed="10"/>
      <name val="Times New Roman"/>
      <family val="1"/>
    </font>
    <font>
      <b/>
      <u val="single"/>
      <sz val="8"/>
      <color indexed="10"/>
      <name val="Times New Roman"/>
      <family val="1"/>
    </font>
    <font>
      <sz val="12"/>
      <name val="Courier New"/>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sz val="9"/>
      <color rgb="FFFF0000"/>
      <name val="Times New Roman"/>
      <family val="1"/>
    </font>
    <font>
      <sz val="12"/>
      <color rgb="FFFF0000"/>
      <name val="Times New Roman"/>
      <family val="1"/>
    </font>
    <font>
      <sz val="10"/>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6"/>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thin"/>
      <right style="thin"/>
      <top style="medium"/>
      <bottom>
        <color indexed="63"/>
      </bottom>
    </border>
    <border>
      <left style="thin"/>
      <right style="thin"/>
      <top style="medium"/>
      <bottom style="double"/>
    </border>
  </borders>
  <cellStyleXfs count="4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11"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84">
    <xf numFmtId="0" fontId="0" fillId="0" borderId="0" xfId="0" applyAlignment="1">
      <alignment/>
    </xf>
    <xf numFmtId="0" fontId="5" fillId="0" borderId="0" xfId="0" applyFont="1" applyAlignment="1">
      <alignment vertical="center"/>
    </xf>
    <xf numFmtId="0" fontId="5" fillId="33" borderId="0" xfId="0" applyFont="1" applyFill="1" applyAlignment="1">
      <alignment vertical="center"/>
    </xf>
    <xf numFmtId="37" fontId="13"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5" borderId="10" xfId="0" applyNumberFormat="1" applyFont="1" applyFill="1" applyBorder="1" applyAlignment="1" applyProtection="1">
      <alignment horizontal="left" vertical="center"/>
      <protection locked="0"/>
    </xf>
    <xf numFmtId="0" fontId="5" fillId="35" borderId="10" xfId="0" applyFont="1" applyFill="1" applyBorder="1" applyAlignment="1" applyProtection="1">
      <alignment vertical="center"/>
      <protection/>
    </xf>
    <xf numFmtId="37" fontId="5" fillId="35" borderId="11" xfId="0" applyNumberFormat="1" applyFont="1" applyFill="1" applyBorder="1" applyAlignment="1" applyProtection="1">
      <alignment horizontal="left" vertical="center"/>
      <protection locked="0"/>
    </xf>
    <xf numFmtId="0" fontId="5" fillId="35"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5"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5" fillId="34" borderId="0" xfId="0" applyNumberFormat="1" applyFont="1" applyFill="1" applyAlignment="1" applyProtection="1">
      <alignment horizontal="center" vertical="center"/>
      <protection/>
    </xf>
    <xf numFmtId="0" fontId="4" fillId="36" borderId="0" xfId="0" applyFont="1" applyFill="1" applyAlignment="1" applyProtection="1">
      <alignment vertical="center"/>
      <protection/>
    </xf>
    <xf numFmtId="0" fontId="5" fillId="36" borderId="0" xfId="0" applyFont="1" applyFill="1" applyAlignment="1" applyProtection="1">
      <alignment vertical="center"/>
      <protection/>
    </xf>
    <xf numFmtId="37" fontId="4" fillId="37" borderId="0" xfId="0" applyNumberFormat="1" applyFont="1" applyFill="1" applyAlignment="1" applyProtection="1">
      <alignment horizontal="left" vertical="center"/>
      <protection/>
    </xf>
    <xf numFmtId="0" fontId="5"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6" borderId="13" xfId="0" applyFont="1" applyFill="1" applyBorder="1" applyAlignment="1" applyProtection="1">
      <alignment horizontal="center" vertical="center"/>
      <protection locked="0"/>
    </xf>
    <xf numFmtId="0" fontId="6" fillId="38"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6" borderId="14" xfId="0" applyFont="1" applyFill="1" applyBorder="1" applyAlignment="1" applyProtection="1">
      <alignment horizontal="center" vertical="center"/>
      <protection locked="0"/>
    </xf>
    <xf numFmtId="37" fontId="5" fillId="38"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5" borderId="12" xfId="0" applyNumberFormat="1" applyFont="1" applyFill="1" applyBorder="1" applyAlignment="1" applyProtection="1">
      <alignment vertical="center"/>
      <protection locked="0"/>
    </xf>
    <xf numFmtId="3" fontId="5" fillId="35"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5"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6" borderId="0" xfId="0" applyNumberFormat="1" applyFont="1" applyFill="1" applyAlignment="1" applyProtection="1">
      <alignment horizontal="center" vertical="center"/>
      <protection/>
    </xf>
    <xf numFmtId="37" fontId="4" fillId="36" borderId="0" xfId="0" applyNumberFormat="1" applyFont="1" applyFill="1" applyAlignment="1" applyProtection="1">
      <alignment horizontal="left" vertical="center"/>
      <protection/>
    </xf>
    <xf numFmtId="0" fontId="5" fillId="36"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5"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6" borderId="10" xfId="0" applyNumberFormat="1" applyFont="1" applyFill="1" applyBorder="1" applyAlignment="1" applyProtection="1">
      <alignment horizontal="left" vertical="center"/>
      <protection/>
    </xf>
    <xf numFmtId="0" fontId="5" fillId="36"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6"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5"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3" fillId="34" borderId="0" xfId="0" applyFont="1" applyFill="1" applyBorder="1" applyAlignment="1" applyProtection="1">
      <alignment horizontal="center" vertical="center"/>
      <protection/>
    </xf>
    <xf numFmtId="178" fontId="5" fillId="35" borderId="10" xfId="0" applyNumberFormat="1" applyFont="1" applyFill="1" applyBorder="1" applyAlignment="1" applyProtection="1">
      <alignment vertical="center"/>
      <protection locked="0"/>
    </xf>
    <xf numFmtId="178" fontId="5" fillId="35"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5"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6"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3" borderId="0" xfId="0" applyNumberFormat="1"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181" fontId="5" fillId="33" borderId="0" xfId="0" applyNumberFormat="1" applyFont="1" applyFill="1" applyBorder="1" applyAlignment="1" applyProtection="1">
      <alignment vertical="center"/>
      <protection locked="0"/>
    </xf>
    <xf numFmtId="0" fontId="4" fillId="36" borderId="0" xfId="0" applyFont="1" applyFill="1" applyAlignment="1">
      <alignment vertical="center"/>
    </xf>
    <xf numFmtId="0" fontId="1" fillId="36" borderId="0" xfId="0" applyFont="1" applyFill="1" applyAlignment="1">
      <alignment vertical="center"/>
    </xf>
    <xf numFmtId="0" fontId="0" fillId="36"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3" borderId="0" xfId="0" applyFill="1" applyAlignment="1">
      <alignment vertical="center"/>
    </xf>
    <xf numFmtId="0" fontId="5" fillId="38" borderId="13" xfId="0" applyFont="1" applyFill="1" applyBorder="1" applyAlignment="1">
      <alignment horizontal="center" vertical="center"/>
    </xf>
    <xf numFmtId="0" fontId="5" fillId="38" borderId="14" xfId="0" applyFont="1" applyFill="1" applyBorder="1" applyAlignment="1">
      <alignment horizontal="center" vertical="center"/>
    </xf>
    <xf numFmtId="0" fontId="17" fillId="34" borderId="0" xfId="0" applyFont="1" applyFill="1" applyAlignment="1">
      <alignment vertical="center"/>
    </xf>
    <xf numFmtId="0" fontId="19"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3" fillId="34" borderId="19" xfId="0" applyNumberFormat="1" applyFont="1" applyFill="1" applyBorder="1" applyAlignment="1" applyProtection="1">
      <alignment horizontal="left" vertical="center"/>
      <protection/>
    </xf>
    <xf numFmtId="37" fontId="13"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479"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5" borderId="12" xfId="0" applyNumberFormat="1" applyFont="1" applyFill="1" applyBorder="1" applyAlignment="1" applyProtection="1">
      <alignment horizontal="center" vertical="center"/>
      <protection locked="0"/>
    </xf>
    <xf numFmtId="3" fontId="5" fillId="35" borderId="12" xfId="0" applyNumberFormat="1" applyFont="1" applyFill="1" applyBorder="1" applyAlignment="1" applyProtection="1">
      <alignment horizontal="center" vertical="center"/>
      <protection locked="0"/>
    </xf>
    <xf numFmtId="37" fontId="5" fillId="35" borderId="12" xfId="0" applyNumberFormat="1" applyFont="1" applyFill="1" applyBorder="1" applyAlignment="1" applyProtection="1">
      <alignment horizontal="center" vertical="center"/>
      <protection locked="0"/>
    </xf>
    <xf numFmtId="175" fontId="5" fillId="35"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5" borderId="12" xfId="0" applyFont="1" applyFill="1" applyBorder="1" applyAlignment="1" applyProtection="1">
      <alignment horizontal="center" vertical="center"/>
      <protection locked="0"/>
    </xf>
    <xf numFmtId="1" fontId="5" fillId="35"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5" xfId="0" applyNumberFormat="1" applyFont="1" applyFill="1" applyBorder="1" applyAlignment="1" applyProtection="1">
      <alignment horizontal="center" vertical="center"/>
      <protection/>
    </xf>
    <xf numFmtId="0" fontId="5" fillId="33" borderId="0" xfId="478" applyFont="1" applyFill="1" applyAlignment="1" applyProtection="1">
      <alignment vertical="center"/>
      <protection/>
    </xf>
    <xf numFmtId="0" fontId="5" fillId="33"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5" borderId="19" xfId="0" applyNumberFormat="1" applyFont="1" applyFill="1" applyBorder="1" applyAlignment="1" applyProtection="1">
      <alignment vertical="center"/>
      <protection locked="0"/>
    </xf>
    <xf numFmtId="3" fontId="5" fillId="35"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5" borderId="19"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5" borderId="12" xfId="0" applyNumberFormat="1" applyFont="1" applyFill="1" applyBorder="1" applyAlignment="1" applyProtection="1">
      <alignment vertical="center"/>
      <protection locked="0"/>
    </xf>
    <xf numFmtId="0" fontId="5" fillId="35" borderId="19" xfId="0" applyFont="1" applyFill="1" applyBorder="1" applyAlignment="1" applyProtection="1">
      <alignment horizontal="left" vertical="center"/>
      <protection locked="0"/>
    </xf>
    <xf numFmtId="37" fontId="17"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5"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5" borderId="12" xfId="0" applyFont="1" applyFill="1" applyBorder="1" applyAlignment="1" applyProtection="1">
      <alignment horizontal="left" vertical="center"/>
      <protection locked="0"/>
    </xf>
    <xf numFmtId="0" fontId="5" fillId="35" borderId="0" xfId="0" applyFont="1" applyFill="1" applyAlignment="1" applyProtection="1">
      <alignment horizontal="left" vertical="center"/>
      <protection locked="0"/>
    </xf>
    <xf numFmtId="37" fontId="4" fillId="40" borderId="2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 fontId="5" fillId="34" borderId="12" xfId="0" applyNumberFormat="1" applyFont="1" applyFill="1" applyBorder="1" applyAlignment="1" applyProtection="1">
      <alignment horizontal="fill" vertical="center"/>
      <protection/>
    </xf>
    <xf numFmtId="3" fontId="17"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5"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fill" vertical="center"/>
      <protection/>
    </xf>
    <xf numFmtId="37" fontId="5" fillId="35"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0" fillId="34" borderId="0" xfId="0" applyFont="1" applyFill="1" applyAlignment="1">
      <alignment horizontal="center" vertical="center"/>
    </xf>
    <xf numFmtId="0" fontId="5" fillId="34" borderId="17" xfId="0" applyFont="1" applyFill="1" applyBorder="1" applyAlignment="1">
      <alignment vertical="center"/>
    </xf>
    <xf numFmtId="0" fontId="14" fillId="34" borderId="13" xfId="0" applyFont="1" applyFill="1" applyBorder="1" applyAlignment="1">
      <alignment vertical="center"/>
    </xf>
    <xf numFmtId="0" fontId="14" fillId="34" borderId="17" xfId="0" applyFont="1" applyFill="1" applyBorder="1" applyAlignment="1">
      <alignment horizontal="center" vertical="center"/>
    </xf>
    <xf numFmtId="0" fontId="14" fillId="34" borderId="23" xfId="0" applyFont="1" applyFill="1" applyBorder="1" applyAlignment="1">
      <alignment vertical="center"/>
    </xf>
    <xf numFmtId="0" fontId="14"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4" fillId="34" borderId="21" xfId="0" applyFont="1" applyFill="1" applyBorder="1" applyAlignment="1">
      <alignment vertical="center"/>
    </xf>
    <xf numFmtId="3" fontId="14" fillId="35" borderId="12" xfId="0" applyNumberFormat="1" applyFont="1" applyFill="1" applyBorder="1" applyAlignment="1" applyProtection="1">
      <alignment horizontal="center" vertical="center"/>
      <protection locked="0"/>
    </xf>
    <xf numFmtId="0" fontId="14" fillId="34" borderId="10" xfId="0" applyFont="1" applyFill="1" applyBorder="1" applyAlignment="1">
      <alignment vertical="center"/>
    </xf>
    <xf numFmtId="3" fontId="14" fillId="39" borderId="12" xfId="0" applyNumberFormat="1" applyFont="1" applyFill="1" applyBorder="1" applyAlignment="1">
      <alignment horizontal="center" vertical="center"/>
    </xf>
    <xf numFmtId="0" fontId="14" fillId="34" borderId="0" xfId="0" applyFont="1" applyFill="1" applyAlignment="1">
      <alignment vertical="center"/>
    </xf>
    <xf numFmtId="3" fontId="14" fillId="34" borderId="0" xfId="0" applyNumberFormat="1" applyFont="1" applyFill="1" applyAlignment="1">
      <alignment horizontal="center" vertical="center"/>
    </xf>
    <xf numFmtId="0" fontId="14" fillId="34" borderId="0" xfId="0" applyFont="1" applyFill="1" applyAlignment="1">
      <alignment horizontal="center" vertical="center"/>
    </xf>
    <xf numFmtId="0" fontId="14" fillId="35" borderId="12" xfId="0" applyFont="1" applyFill="1" applyBorder="1" applyAlignment="1" applyProtection="1">
      <alignment vertical="center"/>
      <protection locked="0"/>
    </xf>
    <xf numFmtId="0" fontId="14" fillId="35" borderId="23" xfId="0" applyFont="1" applyFill="1" applyBorder="1" applyAlignment="1" applyProtection="1">
      <alignment vertical="center"/>
      <protection locked="0"/>
    </xf>
    <xf numFmtId="3" fontId="14" fillId="35" borderId="23" xfId="0" applyNumberFormat="1" applyFont="1" applyFill="1" applyBorder="1" applyAlignment="1" applyProtection="1">
      <alignment horizontal="center" vertical="center"/>
      <protection locked="0"/>
    </xf>
    <xf numFmtId="0" fontId="14" fillId="35" borderId="0" xfId="0" applyFont="1" applyFill="1" applyAlignment="1" applyProtection="1">
      <alignment vertical="center"/>
      <protection locked="0"/>
    </xf>
    <xf numFmtId="3" fontId="14" fillId="35" borderId="16" xfId="0" applyNumberFormat="1" applyFont="1" applyFill="1" applyBorder="1" applyAlignment="1" applyProtection="1">
      <alignment horizontal="center" vertical="center"/>
      <protection locked="0"/>
    </xf>
    <xf numFmtId="3" fontId="14" fillId="35" borderId="17" xfId="0" applyNumberFormat="1" applyFont="1" applyFill="1" applyBorder="1" applyAlignment="1" applyProtection="1">
      <alignment horizontal="center" vertical="center"/>
      <protection locked="0"/>
    </xf>
    <xf numFmtId="0" fontId="14" fillId="35" borderId="17" xfId="0" applyFont="1" applyFill="1" applyBorder="1" applyAlignment="1" applyProtection="1">
      <alignment vertical="center"/>
      <protection locked="0"/>
    </xf>
    <xf numFmtId="0" fontId="14" fillId="35" borderId="14" xfId="0" applyFont="1" applyFill="1" applyBorder="1" applyAlignment="1" applyProtection="1">
      <alignment vertical="center"/>
      <protection locked="0"/>
    </xf>
    <xf numFmtId="3" fontId="14" fillId="35" borderId="26" xfId="0" applyNumberFormat="1" applyFont="1" applyFill="1" applyBorder="1" applyAlignment="1" applyProtection="1">
      <alignment horizontal="center" vertical="center"/>
      <protection locked="0"/>
    </xf>
    <xf numFmtId="0" fontId="14" fillId="35" borderId="26" xfId="0" applyFont="1" applyFill="1" applyBorder="1" applyAlignment="1" applyProtection="1">
      <alignment vertical="center"/>
      <protection locked="0"/>
    </xf>
    <xf numFmtId="0" fontId="14" fillId="39" borderId="12" xfId="0" applyFont="1" applyFill="1" applyBorder="1" applyAlignment="1">
      <alignment horizontal="center" vertical="center"/>
    </xf>
    <xf numFmtId="0" fontId="14" fillId="39" borderId="14" xfId="0" applyFont="1" applyFill="1" applyBorder="1" applyAlignment="1">
      <alignment horizontal="center" vertical="center"/>
    </xf>
    <xf numFmtId="3" fontId="14" fillId="35" borderId="14" xfId="0" applyNumberFormat="1" applyFont="1" applyFill="1" applyBorder="1" applyAlignment="1" applyProtection="1">
      <alignment horizontal="center" vertical="center"/>
      <protection locked="0"/>
    </xf>
    <xf numFmtId="3" fontId="14" fillId="35" borderId="20" xfId="0" applyNumberFormat="1" applyFont="1" applyFill="1" applyBorder="1" applyAlignment="1" applyProtection="1">
      <alignment horizontal="center" vertical="center"/>
      <protection locked="0"/>
    </xf>
    <xf numFmtId="3" fontId="18" fillId="40" borderId="12" xfId="0" applyNumberFormat="1" applyFont="1" applyFill="1" applyBorder="1" applyAlignment="1">
      <alignment horizontal="center" vertical="center"/>
    </xf>
    <xf numFmtId="0" fontId="17"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22" fillId="40" borderId="0" xfId="0" applyNumberFormat="1" applyFont="1" applyFill="1" applyAlignment="1">
      <alignment horizontal="center" vertical="center"/>
    </xf>
    <xf numFmtId="0" fontId="5" fillId="35" borderId="10" xfId="0" applyFont="1" applyFill="1" applyBorder="1" applyAlignment="1" applyProtection="1">
      <alignment vertical="center"/>
      <protection locked="0"/>
    </xf>
    <xf numFmtId="0" fontId="5" fillId="35" borderId="11" xfId="0" applyFont="1" applyFill="1" applyBorder="1" applyAlignment="1" applyProtection="1">
      <alignment vertical="center"/>
      <protection locked="0"/>
    </xf>
    <xf numFmtId="0" fontId="72"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7" fillId="40" borderId="19" xfId="0" applyNumberFormat="1" applyFont="1" applyFill="1" applyBorder="1" applyAlignment="1" applyProtection="1">
      <alignment horizontal="center" vertical="center"/>
      <protection/>
    </xf>
    <xf numFmtId="14" fontId="5" fillId="35"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7"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37" fontId="17"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104" applyFont="1" applyFill="1" applyAlignment="1" applyProtection="1">
      <alignment horizontal="right" vertical="center"/>
      <protection/>
    </xf>
    <xf numFmtId="0" fontId="5" fillId="34" borderId="0" xfId="67"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7"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7" fillId="41" borderId="19" xfId="0" applyNumberFormat="1" applyFont="1" applyFill="1" applyBorder="1" applyAlignment="1" applyProtection="1">
      <alignment horizontal="center" vertical="center"/>
      <protection/>
    </xf>
    <xf numFmtId="37" fontId="5" fillId="35"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7" fillId="40" borderId="12" xfId="0" applyNumberFormat="1" applyFont="1" applyFill="1" applyBorder="1" applyAlignment="1" applyProtection="1">
      <alignment horizontal="center" vertical="center"/>
      <protection/>
    </xf>
    <xf numFmtId="3" fontId="17" fillId="41" borderId="12" xfId="0" applyNumberFormat="1" applyFont="1" applyFill="1" applyBorder="1" applyAlignment="1" applyProtection="1">
      <alignment horizontal="center" vertical="center"/>
      <protection/>
    </xf>
    <xf numFmtId="0" fontId="73" fillId="34" borderId="0" xfId="0" applyFont="1" applyFill="1" applyAlignment="1" applyProtection="1">
      <alignment horizontal="center" vertical="center"/>
      <protection/>
    </xf>
    <xf numFmtId="0" fontId="73"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2" borderId="0" xfId="0" applyFont="1" applyFill="1" applyAlignment="1" applyProtection="1">
      <alignment vertical="center" shrinkToFit="1"/>
      <protection/>
    </xf>
    <xf numFmtId="0" fontId="0" fillId="42" borderId="0" xfId="0" applyFill="1" applyBorder="1" applyAlignment="1" applyProtection="1">
      <alignment vertical="center"/>
      <protection/>
    </xf>
    <xf numFmtId="0" fontId="17" fillId="42" borderId="0" xfId="0" applyFont="1" applyFill="1" applyBorder="1" applyAlignment="1" applyProtection="1">
      <alignment horizontal="center" vertical="center"/>
      <protection/>
    </xf>
    <xf numFmtId="37" fontId="5" fillId="42" borderId="0" xfId="0" applyNumberFormat="1" applyFont="1" applyFill="1" applyBorder="1" applyAlignment="1" applyProtection="1">
      <alignment horizontal="left" vertical="center"/>
      <protection/>
    </xf>
    <xf numFmtId="0" fontId="5" fillId="42" borderId="0" xfId="0" applyFont="1" applyFill="1" applyBorder="1" applyAlignment="1" applyProtection="1">
      <alignment vertical="center"/>
      <protection/>
    </xf>
    <xf numFmtId="37" fontId="5" fillId="42" borderId="0" xfId="0" applyNumberFormat="1" applyFont="1" applyFill="1" applyBorder="1" applyAlignment="1" applyProtection="1">
      <alignment vertical="center"/>
      <protection/>
    </xf>
    <xf numFmtId="3" fontId="5" fillId="43" borderId="12" xfId="0" applyNumberFormat="1" applyFont="1" applyFill="1" applyBorder="1" applyAlignment="1" applyProtection="1">
      <alignment vertical="center"/>
      <protection/>
    </xf>
    <xf numFmtId="3" fontId="5" fillId="43" borderId="25" xfId="0" applyNumberFormat="1" applyFont="1" applyFill="1" applyBorder="1" applyAlignment="1" applyProtection="1">
      <alignment vertical="center"/>
      <protection/>
    </xf>
    <xf numFmtId="177" fontId="5" fillId="35" borderId="12" xfId="42" applyNumberFormat="1" applyFont="1" applyFill="1" applyBorder="1" applyAlignment="1" applyProtection="1">
      <alignment vertical="center"/>
      <protection locked="0"/>
    </xf>
    <xf numFmtId="3" fontId="14" fillId="39" borderId="14" xfId="0" applyNumberFormat="1" applyFont="1" applyFill="1" applyBorder="1" applyAlignment="1">
      <alignment horizontal="center" vertical="center"/>
    </xf>
    <xf numFmtId="164" fontId="5" fillId="43" borderId="12" xfId="0" applyNumberFormat="1" applyFont="1" applyFill="1" applyBorder="1" applyAlignment="1" applyProtection="1">
      <alignment vertical="center"/>
      <protection/>
    </xf>
    <xf numFmtId="49" fontId="5" fillId="35" borderId="12" xfId="0" applyNumberFormat="1" applyFont="1" applyFill="1" applyBorder="1" applyAlignment="1" applyProtection="1">
      <alignment vertical="center"/>
      <protection locked="0"/>
    </xf>
    <xf numFmtId="49" fontId="5" fillId="35" borderId="12" xfId="0" applyNumberFormat="1" applyFont="1" applyFill="1" applyBorder="1" applyAlignment="1" applyProtection="1">
      <alignment vertical="center"/>
      <protection locked="0"/>
    </xf>
    <xf numFmtId="0" fontId="28" fillId="0" borderId="0" xfId="0" applyFont="1" applyAlignment="1" applyProtection="1">
      <alignment vertical="center"/>
      <protection/>
    </xf>
    <xf numFmtId="0" fontId="0" fillId="42" borderId="0" xfId="0" applyFill="1" applyAlignment="1" applyProtection="1">
      <alignment vertical="center"/>
      <protection locked="0"/>
    </xf>
    <xf numFmtId="37" fontId="5" fillId="34" borderId="13" xfId="100" applyNumberFormat="1" applyFont="1" applyFill="1" applyBorder="1" applyAlignment="1" applyProtection="1">
      <alignment horizontal="center"/>
      <protection/>
    </xf>
    <xf numFmtId="37" fontId="5" fillId="34" borderId="14" xfId="100" applyNumberFormat="1" applyFont="1" applyFill="1" applyBorder="1" applyAlignment="1" applyProtection="1">
      <alignment horizontal="center"/>
      <protection/>
    </xf>
    <xf numFmtId="0" fontId="5" fillId="42" borderId="0" xfId="100" applyFont="1" applyFill="1" applyBorder="1" applyAlignment="1" applyProtection="1">
      <alignment vertical="center"/>
      <protection locked="0"/>
    </xf>
    <xf numFmtId="0" fontId="25" fillId="42" borderId="0" xfId="100" applyFont="1" applyFill="1" applyBorder="1" applyAlignment="1" applyProtection="1">
      <alignment vertical="center"/>
      <protection locked="0"/>
    </xf>
    <xf numFmtId="194" fontId="25" fillId="44" borderId="12" xfId="100" applyNumberFormat="1" applyFont="1" applyFill="1" applyBorder="1" applyAlignment="1" applyProtection="1">
      <alignment horizontal="center" vertical="center"/>
      <protection locked="0"/>
    </xf>
    <xf numFmtId="0" fontId="5" fillId="42" borderId="26" xfId="100" applyFont="1" applyFill="1" applyBorder="1" applyAlignment="1" applyProtection="1">
      <alignment vertical="center"/>
      <protection/>
    </xf>
    <xf numFmtId="194" fontId="25" fillId="42" borderId="15" xfId="100" applyNumberFormat="1" applyFont="1" applyFill="1" applyBorder="1" applyAlignment="1" applyProtection="1">
      <alignment horizontal="center" vertical="center"/>
      <protection/>
    </xf>
    <xf numFmtId="0" fontId="25" fillId="42" borderId="0" xfId="100" applyFont="1" applyFill="1" applyBorder="1" applyAlignment="1" applyProtection="1">
      <alignment horizontal="left" vertical="center"/>
      <protection/>
    </xf>
    <xf numFmtId="0" fontId="25" fillId="42" borderId="26" xfId="100" applyFont="1" applyFill="1" applyBorder="1" applyAlignment="1" applyProtection="1">
      <alignment vertical="center"/>
      <protection/>
    </xf>
    <xf numFmtId="0" fontId="25" fillId="42" borderId="0" xfId="100" applyFont="1" applyFill="1" applyBorder="1" applyAlignment="1" applyProtection="1">
      <alignment vertical="center"/>
      <protection/>
    </xf>
    <xf numFmtId="194" fontId="25" fillId="42" borderId="21" xfId="100" applyNumberFormat="1" applyFont="1" applyFill="1" applyBorder="1" applyAlignment="1" applyProtection="1">
      <alignment horizontal="center" vertical="center"/>
      <protection/>
    </xf>
    <xf numFmtId="194" fontId="25" fillId="42" borderId="15" xfId="100" applyNumberFormat="1" applyFont="1" applyFill="1" applyBorder="1" applyAlignment="1" applyProtection="1">
      <alignment vertical="center"/>
      <protection/>
    </xf>
    <xf numFmtId="0" fontId="27" fillId="45" borderId="10" xfId="100" applyFont="1" applyFill="1" applyBorder="1" applyAlignment="1" applyProtection="1">
      <alignment vertical="center"/>
      <protection/>
    </xf>
    <xf numFmtId="0" fontId="25" fillId="45" borderId="16" xfId="100" applyFont="1" applyFill="1" applyBorder="1" applyAlignment="1" applyProtection="1">
      <alignment vertical="center"/>
      <protection/>
    </xf>
    <xf numFmtId="0" fontId="5" fillId="45" borderId="16" xfId="100" applyFont="1" applyFill="1" applyBorder="1" applyAlignment="1" applyProtection="1">
      <alignment vertical="center"/>
      <protection/>
    </xf>
    <xf numFmtId="0" fontId="25" fillId="42" borderId="15" xfId="100" applyFont="1" applyFill="1" applyBorder="1" applyAlignment="1" applyProtection="1">
      <alignment horizontal="left" vertical="center"/>
      <protection/>
    </xf>
    <xf numFmtId="194" fontId="27" fillId="45" borderId="21" xfId="100" applyNumberFormat="1" applyFont="1" applyFill="1" applyBorder="1" applyAlignment="1" applyProtection="1">
      <alignment horizontal="center" vertical="center"/>
      <protection/>
    </xf>
    <xf numFmtId="178" fontId="5" fillId="43" borderId="12" xfId="0" applyNumberFormat="1" applyFont="1" applyFill="1" applyBorder="1" applyAlignment="1" applyProtection="1">
      <alignment vertical="center"/>
      <protection/>
    </xf>
    <xf numFmtId="37" fontId="15"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4" fillId="45" borderId="21" xfId="100" applyNumberFormat="1" applyFont="1" applyFill="1" applyBorder="1" applyAlignment="1" applyProtection="1">
      <alignment horizontal="center" vertical="center"/>
      <protection/>
    </xf>
    <xf numFmtId="0" fontId="14" fillId="45" borderId="10" xfId="100" applyFont="1" applyFill="1" applyBorder="1" applyAlignment="1" applyProtection="1">
      <alignment vertical="center"/>
      <protection/>
    </xf>
    <xf numFmtId="182" fontId="25" fillId="42" borderId="17" xfId="100" applyNumberFormat="1" applyFont="1" applyFill="1" applyBorder="1" applyAlignment="1" applyProtection="1">
      <alignment horizontal="center" vertical="center"/>
      <protection locked="0"/>
    </xf>
    <xf numFmtId="0" fontId="5" fillId="42" borderId="0" xfId="100" applyFont="1" applyFill="1" applyBorder="1" applyAlignment="1" applyProtection="1">
      <alignment vertical="center"/>
      <protection/>
    </xf>
    <xf numFmtId="0" fontId="5" fillId="42" borderId="15" xfId="100" applyFont="1" applyFill="1" applyBorder="1" applyAlignment="1" applyProtection="1">
      <alignment vertical="center"/>
      <protection/>
    </xf>
    <xf numFmtId="0" fontId="5" fillId="42" borderId="26" xfId="100" applyFont="1" applyFill="1" applyBorder="1" applyAlignment="1" applyProtection="1">
      <alignment vertical="center"/>
      <protection/>
    </xf>
    <xf numFmtId="0" fontId="5" fillId="45" borderId="16" xfId="100" applyFont="1" applyFill="1" applyBorder="1" applyAlignment="1" applyProtection="1">
      <alignment vertical="center"/>
      <protection/>
    </xf>
    <xf numFmtId="0" fontId="25" fillId="42" borderId="15" xfId="100" applyFont="1" applyFill="1" applyBorder="1" applyAlignment="1" applyProtection="1">
      <alignment vertical="center"/>
      <protection/>
    </xf>
    <xf numFmtId="194" fontId="14" fillId="42" borderId="15" xfId="100" applyNumberFormat="1" applyFont="1" applyFill="1" applyBorder="1" applyAlignment="1" applyProtection="1">
      <alignment horizontal="center" vertical="center"/>
      <protection/>
    </xf>
    <xf numFmtId="0" fontId="14" fillId="42" borderId="0" xfId="100" applyFont="1" applyFill="1" applyBorder="1" applyAlignment="1" applyProtection="1">
      <alignment horizontal="left" vertical="center"/>
      <protection/>
    </xf>
    <xf numFmtId="0" fontId="14" fillId="42" borderId="0" xfId="100" applyFont="1" applyFill="1" applyBorder="1" applyAlignment="1" applyProtection="1">
      <alignment vertical="center"/>
      <protection/>
    </xf>
    <xf numFmtId="194" fontId="14" fillId="42" borderId="21" xfId="100" applyNumberFormat="1" applyFont="1" applyFill="1" applyBorder="1" applyAlignment="1" applyProtection="1">
      <alignment horizontal="center" vertical="center"/>
      <protection/>
    </xf>
    <xf numFmtId="194" fontId="14" fillId="42" borderId="15" xfId="100" applyNumberFormat="1" applyFont="1" applyFill="1" applyBorder="1" applyAlignment="1" applyProtection="1">
      <alignment vertical="center"/>
      <protection/>
    </xf>
    <xf numFmtId="0" fontId="74" fillId="0" borderId="0" xfId="0" applyFont="1" applyAlignment="1">
      <alignment vertical="center"/>
    </xf>
    <xf numFmtId="182" fontId="5" fillId="44" borderId="26" xfId="101" applyNumberFormat="1" applyFont="1" applyFill="1" applyBorder="1" applyAlignment="1" applyProtection="1">
      <alignment horizontal="center"/>
      <protection locked="0"/>
    </xf>
    <xf numFmtId="0" fontId="25" fillId="42" borderId="15" xfId="101" applyFont="1" applyFill="1" applyBorder="1" applyProtection="1">
      <alignment/>
      <protection/>
    </xf>
    <xf numFmtId="0" fontId="5" fillId="42" borderId="0" xfId="101" applyFont="1" applyFill="1" applyBorder="1" applyProtection="1">
      <alignment/>
      <protection/>
    </xf>
    <xf numFmtId="194" fontId="5" fillId="42" borderId="26" xfId="101" applyNumberFormat="1" applyFont="1" applyFill="1" applyBorder="1" applyAlignment="1" applyProtection="1">
      <alignment horizontal="center"/>
      <protection/>
    </xf>
    <xf numFmtId="194" fontId="5" fillId="45" borderId="16" xfId="101" applyNumberFormat="1" applyFont="1" applyFill="1" applyBorder="1" applyAlignment="1" applyProtection="1">
      <alignment horizontal="center"/>
      <protection/>
    </xf>
    <xf numFmtId="0" fontId="5" fillId="0" borderId="0" xfId="101" applyFont="1" applyFill="1" applyBorder="1" applyProtection="1">
      <alignment/>
      <protection/>
    </xf>
    <xf numFmtId="0" fontId="5" fillId="42" borderId="15" xfId="101" applyFont="1" applyFill="1" applyBorder="1" applyProtection="1">
      <alignment/>
      <protection/>
    </xf>
    <xf numFmtId="0" fontId="5" fillId="42" borderId="26" xfId="101" applyFont="1" applyFill="1" applyBorder="1" applyProtection="1">
      <alignment/>
      <protection/>
    </xf>
    <xf numFmtId="178" fontId="5" fillId="42" borderId="26" xfId="101" applyNumberFormat="1" applyFont="1" applyFill="1" applyBorder="1" applyAlignment="1" applyProtection="1">
      <alignment horizontal="center"/>
      <protection/>
    </xf>
    <xf numFmtId="0" fontId="5" fillId="45" borderId="21" xfId="101" applyFont="1" applyFill="1" applyBorder="1" applyProtection="1">
      <alignment/>
      <protection/>
    </xf>
    <xf numFmtId="0" fontId="5" fillId="45" borderId="10" xfId="101" applyFont="1" applyFill="1" applyBorder="1" applyProtection="1">
      <alignment/>
      <protection/>
    </xf>
    <xf numFmtId="0" fontId="5" fillId="0" borderId="0" xfId="101" applyFont="1" applyProtection="1">
      <alignment/>
      <protection/>
    </xf>
    <xf numFmtId="194" fontId="5" fillId="42" borderId="16" xfId="101" applyNumberFormat="1" applyFont="1" applyFill="1" applyBorder="1" applyAlignment="1" applyProtection="1">
      <alignment horizontal="center"/>
      <protection/>
    </xf>
    <xf numFmtId="3" fontId="5" fillId="43" borderId="25" xfId="0" applyNumberFormat="1" applyFont="1" applyFill="1" applyBorder="1" applyAlignment="1" applyProtection="1">
      <alignment horizontal="center" vertical="center"/>
      <protection/>
    </xf>
    <xf numFmtId="37" fontId="5" fillId="35" borderId="19" xfId="91" applyNumberFormat="1" applyFont="1" applyFill="1" applyBorder="1" applyAlignment="1" applyProtection="1">
      <alignment vertical="center"/>
      <protection locked="0"/>
    </xf>
    <xf numFmtId="0" fontId="0" fillId="40" borderId="14" xfId="0" applyFill="1" applyBorder="1" applyAlignment="1" applyProtection="1">
      <alignment vertical="center"/>
      <protection/>
    </xf>
    <xf numFmtId="0" fontId="17" fillId="40"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5" borderId="14" xfId="42" applyNumberFormat="1" applyFont="1" applyFill="1" applyBorder="1" applyAlignment="1" applyProtection="1">
      <alignment horizontal="right" vertical="center"/>
      <protection locked="0"/>
    </xf>
    <xf numFmtId="3" fontId="5" fillId="35"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0" fontId="5" fillId="45" borderId="21" xfId="0" applyFont="1" applyFill="1" applyBorder="1" applyAlignment="1">
      <alignment vertical="center"/>
    </xf>
    <xf numFmtId="0" fontId="5" fillId="45" borderId="10" xfId="0" applyFont="1" applyFill="1" applyBorder="1" applyAlignment="1">
      <alignment vertical="center"/>
    </xf>
    <xf numFmtId="194" fontId="5" fillId="45" borderId="16" xfId="0" applyNumberFormat="1" applyFont="1" applyFill="1" applyBorder="1" applyAlignment="1">
      <alignment horizontal="center" vertical="center"/>
    </xf>
    <xf numFmtId="0" fontId="9" fillId="38" borderId="12" xfId="0" applyFont="1" applyFill="1" applyBorder="1" applyAlignment="1" applyProtection="1">
      <alignment vertical="center" shrinkToFit="1"/>
      <protection/>
    </xf>
    <xf numFmtId="0" fontId="5" fillId="42" borderId="0" xfId="0" applyFont="1" applyFill="1" applyAlignment="1" applyProtection="1">
      <alignment vertical="center"/>
      <protection locked="0"/>
    </xf>
    <xf numFmtId="37" fontId="5" fillId="42"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42" borderId="0" xfId="0" applyFill="1" applyBorder="1" applyAlignment="1" applyProtection="1">
      <alignment vertical="center" wrapText="1"/>
      <protection/>
    </xf>
    <xf numFmtId="177" fontId="5" fillId="42" borderId="0" xfId="42" applyNumberFormat="1" applyFont="1" applyFill="1" applyBorder="1" applyAlignment="1" applyProtection="1">
      <alignment vertical="center"/>
      <protection/>
    </xf>
    <xf numFmtId="0" fontId="9" fillId="42" borderId="0" xfId="0" applyFont="1" applyFill="1" applyBorder="1" applyAlignment="1" applyProtection="1">
      <alignment vertical="center" wrapText="1" shrinkToFit="1"/>
      <protection/>
    </xf>
    <xf numFmtId="178" fontId="5" fillId="34" borderId="12" xfId="0" applyNumberFormat="1" applyFont="1" applyFill="1" applyBorder="1" applyAlignment="1" applyProtection="1">
      <alignment horizontal="right" vertical="center"/>
      <protection/>
    </xf>
    <xf numFmtId="196" fontId="5" fillId="34" borderId="12" xfId="0" applyNumberFormat="1" applyFont="1" applyFill="1" applyBorder="1" applyAlignment="1" applyProtection="1">
      <alignment horizontal="right" vertical="center"/>
      <protection/>
    </xf>
    <xf numFmtId="182" fontId="5" fillId="39" borderId="27" xfId="0" applyNumberFormat="1" applyFont="1" applyFill="1" applyBorder="1" applyAlignment="1" applyProtection="1">
      <alignment horizontal="right" vertical="center"/>
      <protection/>
    </xf>
    <xf numFmtId="3" fontId="5" fillId="43" borderId="28"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right" vertical="center"/>
      <protection/>
    </xf>
    <xf numFmtId="3" fontId="5" fillId="34" borderId="12" xfId="91" applyNumberFormat="1" applyFont="1" applyFill="1" applyBorder="1" applyAlignment="1" applyProtection="1">
      <alignment vertical="center"/>
      <protection/>
    </xf>
    <xf numFmtId="0" fontId="5" fillId="34" borderId="13" xfId="91" applyFont="1" applyFill="1" applyBorder="1" applyAlignment="1" applyProtection="1">
      <alignment horizontal="center" vertical="center"/>
      <protection/>
    </xf>
    <xf numFmtId="0" fontId="5" fillId="34" borderId="14" xfId="91"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2" borderId="10" xfId="0" applyFont="1" applyFill="1" applyBorder="1" applyAlignment="1" applyProtection="1">
      <alignment vertical="center"/>
      <protection locked="0"/>
    </xf>
    <xf numFmtId="0" fontId="27" fillId="45" borderId="15" xfId="100" applyFont="1" applyFill="1" applyBorder="1" applyAlignment="1" applyProtection="1">
      <alignment vertical="center"/>
      <protection locked="0"/>
    </xf>
    <xf numFmtId="0" fontId="5" fillId="45" borderId="0" xfId="100" applyFont="1" applyFill="1" applyBorder="1" applyAlignment="1" applyProtection="1">
      <alignment vertical="center"/>
      <protection locked="0"/>
    </xf>
    <xf numFmtId="0" fontId="25" fillId="45" borderId="0" xfId="100" applyFont="1" applyFill="1" applyBorder="1" applyAlignment="1" applyProtection="1">
      <alignment vertical="center"/>
      <protection locked="0"/>
    </xf>
    <xf numFmtId="194" fontId="27" fillId="45" borderId="17" xfId="100" applyNumberFormat="1" applyFont="1" applyFill="1" applyBorder="1" applyAlignment="1" applyProtection="1">
      <alignment horizontal="center" vertical="center"/>
      <protection locked="0"/>
    </xf>
    <xf numFmtId="0" fontId="5" fillId="45" borderId="16" xfId="0" applyFont="1" applyFill="1" applyBorder="1" applyAlignment="1" applyProtection="1">
      <alignment vertical="center"/>
      <protection locked="0"/>
    </xf>
    <xf numFmtId="37" fontId="5" fillId="34" borderId="0" xfId="0" applyNumberFormat="1" applyFont="1" applyFill="1" applyAlignment="1" applyProtection="1">
      <alignment vertical="center"/>
      <protection locked="0"/>
    </xf>
    <xf numFmtId="0" fontId="5" fillId="34" borderId="26" xfId="67" applyNumberFormat="1" applyFont="1" applyFill="1" applyBorder="1" applyAlignment="1" applyProtection="1">
      <alignment horizontal="right" vertical="center"/>
      <protection/>
    </xf>
    <xf numFmtId="0" fontId="75" fillId="0" borderId="0" xfId="0" applyFont="1" applyAlignment="1" applyProtection="1">
      <alignment vertical="center"/>
      <protection locked="0"/>
    </xf>
    <xf numFmtId="0" fontId="5" fillId="42" borderId="0" xfId="0" applyFont="1" applyFill="1" applyBorder="1" applyAlignment="1" applyProtection="1">
      <alignment vertical="center"/>
      <protection/>
    </xf>
    <xf numFmtId="194" fontId="25" fillId="44" borderId="12" xfId="0" applyNumberFormat="1" applyFont="1" applyFill="1" applyBorder="1" applyAlignment="1" applyProtection="1">
      <alignment horizontal="center" vertical="center"/>
      <protection locked="0"/>
    </xf>
    <xf numFmtId="0" fontId="25" fillId="42" borderId="0" xfId="0" applyFont="1" applyFill="1" applyBorder="1" applyAlignment="1" applyProtection="1">
      <alignment vertical="center"/>
      <protection/>
    </xf>
    <xf numFmtId="0" fontId="25" fillId="42" borderId="15" xfId="0" applyFont="1" applyFill="1" applyBorder="1" applyAlignment="1" applyProtection="1">
      <alignment horizontal="left" vertical="center"/>
      <protection/>
    </xf>
    <xf numFmtId="3" fontId="5" fillId="35" borderId="19" xfId="0" applyNumberFormat="1" applyFont="1" applyFill="1" applyBorder="1" applyAlignment="1" applyProtection="1">
      <alignment horizontal="right" vertical="center"/>
      <protection locked="0"/>
    </xf>
    <xf numFmtId="0" fontId="25" fillId="42" borderId="15" xfId="0" applyFont="1" applyFill="1" applyBorder="1" applyAlignment="1" applyProtection="1">
      <alignment vertical="center"/>
      <protection/>
    </xf>
    <xf numFmtId="194" fontId="25" fillId="42" borderId="26" xfId="0" applyNumberFormat="1" applyFont="1" applyFill="1" applyBorder="1" applyAlignment="1" applyProtection="1">
      <alignment horizontal="center" vertical="center"/>
      <protection/>
    </xf>
    <xf numFmtId="194" fontId="27" fillId="45" borderId="17" xfId="0" applyNumberFormat="1" applyFont="1" applyFill="1" applyBorder="1" applyAlignment="1" applyProtection="1">
      <alignment horizontal="center" vertical="center"/>
      <protection/>
    </xf>
    <xf numFmtId="0" fontId="5" fillId="45" borderId="0" xfId="0" applyFont="1" applyFill="1" applyBorder="1" applyAlignment="1" applyProtection="1">
      <alignment vertical="center"/>
      <protection/>
    </xf>
    <xf numFmtId="0" fontId="25" fillId="45" borderId="0" xfId="0" applyFont="1" applyFill="1" applyBorder="1" applyAlignment="1" applyProtection="1">
      <alignment vertical="center"/>
      <protection/>
    </xf>
    <xf numFmtId="0" fontId="27" fillId="45" borderId="15" xfId="0" applyFont="1" applyFill="1" applyBorder="1" applyAlignment="1" applyProtection="1">
      <alignment vertical="center"/>
      <protection/>
    </xf>
    <xf numFmtId="194" fontId="27" fillId="45" borderId="16" xfId="0" applyNumberFormat="1" applyFont="1" applyFill="1" applyBorder="1" applyAlignment="1" applyProtection="1">
      <alignment horizontal="center" vertical="center"/>
      <protection locked="0"/>
    </xf>
    <xf numFmtId="197" fontId="5" fillId="35" borderId="12" xfId="0" applyNumberFormat="1" applyFont="1" applyFill="1" applyBorder="1" applyAlignment="1" applyProtection="1">
      <alignment vertical="center"/>
      <protection locked="0"/>
    </xf>
    <xf numFmtId="197" fontId="5" fillId="35" borderId="12" xfId="0" applyNumberFormat="1" applyFont="1" applyFill="1" applyBorder="1" applyAlignment="1" applyProtection="1">
      <alignment vertical="center"/>
      <protection locked="0"/>
    </xf>
    <xf numFmtId="37" fontId="25" fillId="34" borderId="21" xfId="0" applyNumberFormat="1" applyFont="1" applyFill="1" applyBorder="1" applyAlignment="1" applyProtection="1">
      <alignment horizontal="left" vertical="center"/>
      <protection/>
    </xf>
    <xf numFmtId="0" fontId="30" fillId="42" borderId="10" xfId="0" applyFont="1" applyFill="1" applyBorder="1" applyAlignment="1">
      <alignment horizontal="left" vertical="center"/>
    </xf>
    <xf numFmtId="197" fontId="5" fillId="34" borderId="0" xfId="0" applyNumberFormat="1" applyFont="1" applyFill="1" applyAlignment="1" applyProtection="1">
      <alignment horizontal="center" vertical="center"/>
      <protection/>
    </xf>
    <xf numFmtId="0" fontId="76" fillId="0" borderId="0" xfId="0" applyFont="1" applyAlignment="1" applyProtection="1">
      <alignment vertical="center"/>
      <protection locked="0"/>
    </xf>
    <xf numFmtId="3" fontId="5" fillId="35" borderId="19" xfId="0" applyNumberFormat="1" applyFont="1" applyFill="1" applyBorder="1" applyAlignment="1" applyProtection="1">
      <alignment vertical="center"/>
      <protection locked="0"/>
    </xf>
    <xf numFmtId="182" fontId="27" fillId="42" borderId="17" xfId="86" applyNumberFormat="1" applyFont="1" applyFill="1" applyBorder="1" applyAlignment="1" applyProtection="1">
      <alignment horizontal="center" vertical="center"/>
      <protection/>
    </xf>
    <xf numFmtId="0" fontId="5" fillId="42" borderId="0" xfId="86" applyFont="1" applyFill="1" applyBorder="1" applyAlignment="1" applyProtection="1">
      <alignment vertical="center"/>
      <protection/>
    </xf>
    <xf numFmtId="194" fontId="25" fillId="44" borderId="12" xfId="86" applyNumberFormat="1" applyFont="1" applyFill="1" applyBorder="1" applyAlignment="1" applyProtection="1">
      <alignment horizontal="center" vertical="center"/>
      <protection locked="0"/>
    </xf>
    <xf numFmtId="0" fontId="25" fillId="42" borderId="0" xfId="86" applyFont="1" applyFill="1" applyBorder="1" applyAlignment="1" applyProtection="1">
      <alignment vertical="center"/>
      <protection/>
    </xf>
    <xf numFmtId="0" fontId="25" fillId="42" borderId="15" xfId="86" applyFont="1" applyFill="1" applyBorder="1" applyAlignment="1" applyProtection="1">
      <alignment horizontal="left" vertical="center"/>
      <protection/>
    </xf>
    <xf numFmtId="0" fontId="25" fillId="42" borderId="15" xfId="86" applyFont="1" applyFill="1" applyBorder="1" applyAlignment="1" applyProtection="1">
      <alignment vertical="center"/>
      <protection/>
    </xf>
    <xf numFmtId="194" fontId="25" fillId="42" borderId="26" xfId="86" applyNumberFormat="1" applyFont="1" applyFill="1" applyBorder="1" applyAlignment="1" applyProtection="1">
      <alignment horizontal="center" vertical="center"/>
      <protection/>
    </xf>
    <xf numFmtId="194" fontId="27" fillId="45" borderId="17" xfId="86" applyNumberFormat="1" applyFont="1" applyFill="1" applyBorder="1" applyAlignment="1" applyProtection="1">
      <alignment horizontal="center" vertical="center"/>
      <protection/>
    </xf>
    <xf numFmtId="0" fontId="5" fillId="45" borderId="0" xfId="86" applyFont="1" applyFill="1" applyBorder="1" applyAlignment="1" applyProtection="1">
      <alignment vertical="center"/>
      <protection/>
    </xf>
    <xf numFmtId="0" fontId="25" fillId="45" borderId="0" xfId="86" applyFont="1" applyFill="1" applyBorder="1" applyAlignment="1" applyProtection="1">
      <alignment vertical="center"/>
      <protection/>
    </xf>
    <xf numFmtId="0" fontId="27" fillId="45" borderId="15" xfId="86" applyFont="1" applyFill="1" applyBorder="1" applyAlignment="1" applyProtection="1">
      <alignment vertical="center"/>
      <protection/>
    </xf>
    <xf numFmtId="194" fontId="27" fillId="45" borderId="16" xfId="86" applyNumberFormat="1" applyFont="1" applyFill="1" applyBorder="1" applyAlignment="1" applyProtection="1">
      <alignment horizontal="center" vertical="center"/>
      <protection locked="0"/>
    </xf>
    <xf numFmtId="37" fontId="25" fillId="34" borderId="21" xfId="86" applyNumberFormat="1" applyFont="1" applyFill="1" applyBorder="1" applyAlignment="1" applyProtection="1">
      <alignment horizontal="left" vertical="center"/>
      <protection/>
    </xf>
    <xf numFmtId="182" fontId="27" fillId="42" borderId="17" xfId="86" applyNumberFormat="1" applyFont="1" applyFill="1" applyBorder="1" applyAlignment="1" applyProtection="1">
      <alignment horizontal="center" vertical="center"/>
      <protection/>
    </xf>
    <xf numFmtId="0" fontId="30" fillId="42" borderId="10" xfId="86" applyFont="1" applyFill="1" applyBorder="1" applyAlignment="1">
      <alignment horizontal="left" vertical="center"/>
      <protection/>
    </xf>
    <xf numFmtId="0" fontId="5" fillId="42" borderId="0" xfId="86" applyFont="1" applyFill="1" applyBorder="1" applyAlignment="1" applyProtection="1">
      <alignment vertical="center"/>
      <protection/>
    </xf>
    <xf numFmtId="0" fontId="5" fillId="42" borderId="15" xfId="86" applyFont="1" applyFill="1" applyBorder="1" applyAlignment="1" applyProtection="1">
      <alignment vertical="center"/>
      <protection/>
    </xf>
    <xf numFmtId="0" fontId="5" fillId="42" borderId="26" xfId="86" applyFont="1" applyFill="1" applyBorder="1" applyAlignment="1" applyProtection="1">
      <alignment vertical="center"/>
      <protection/>
    </xf>
    <xf numFmtId="194" fontId="25" fillId="42" borderId="15" xfId="86" applyNumberFormat="1" applyFont="1" applyFill="1" applyBorder="1" applyAlignment="1" applyProtection="1">
      <alignment horizontal="center" vertical="center"/>
      <protection/>
    </xf>
    <xf numFmtId="0" fontId="25" fillId="42" borderId="0" xfId="86" applyFont="1" applyFill="1" applyBorder="1" applyAlignment="1" applyProtection="1">
      <alignment horizontal="left" vertical="center"/>
      <protection/>
    </xf>
    <xf numFmtId="0" fontId="25" fillId="42" borderId="26" xfId="86" applyFont="1" applyFill="1" applyBorder="1" applyAlignment="1" applyProtection="1">
      <alignment vertical="center"/>
      <protection/>
    </xf>
    <xf numFmtId="0" fontId="25" fillId="42" borderId="0" xfId="86" applyFont="1" applyFill="1" applyBorder="1" applyAlignment="1" applyProtection="1">
      <alignment vertical="center"/>
      <protection/>
    </xf>
    <xf numFmtId="194" fontId="25" fillId="42" borderId="21" xfId="86" applyNumberFormat="1" applyFont="1" applyFill="1" applyBorder="1" applyAlignment="1" applyProtection="1">
      <alignment horizontal="center" vertical="center"/>
      <protection/>
    </xf>
    <xf numFmtId="0" fontId="5" fillId="45" borderId="16" xfId="86" applyFont="1" applyFill="1" applyBorder="1" applyAlignment="1" applyProtection="1">
      <alignment vertical="center"/>
      <protection/>
    </xf>
    <xf numFmtId="194" fontId="14" fillId="42" borderId="15" xfId="86" applyNumberFormat="1" applyFont="1" applyFill="1" applyBorder="1" applyAlignment="1" applyProtection="1">
      <alignment horizontal="center" vertical="center"/>
      <protection/>
    </xf>
    <xf numFmtId="0" fontId="14" fillId="42" borderId="0" xfId="86" applyFont="1" applyFill="1" applyBorder="1" applyAlignment="1" applyProtection="1">
      <alignment vertical="center"/>
      <protection/>
    </xf>
    <xf numFmtId="194" fontId="14" fillId="42" borderId="21" xfId="86" applyNumberFormat="1" applyFont="1" applyFill="1" applyBorder="1" applyAlignment="1" applyProtection="1">
      <alignment horizontal="center" vertical="center"/>
      <protection/>
    </xf>
    <xf numFmtId="194" fontId="14" fillId="42" borderId="15" xfId="86" applyNumberFormat="1" applyFont="1" applyFill="1" applyBorder="1" applyAlignment="1" applyProtection="1">
      <alignment vertical="center"/>
      <protection/>
    </xf>
    <xf numFmtId="194" fontId="14" fillId="45" borderId="21" xfId="86" applyNumberFormat="1" applyFont="1" applyFill="1" applyBorder="1" applyAlignment="1" applyProtection="1">
      <alignment horizontal="center" vertical="center"/>
      <protection/>
    </xf>
    <xf numFmtId="0" fontId="14" fillId="45" borderId="10" xfId="86" applyFont="1" applyFill="1" applyBorder="1" applyAlignment="1" applyProtection="1">
      <alignment vertical="center"/>
      <protection/>
    </xf>
    <xf numFmtId="0" fontId="5" fillId="42" borderId="0" xfId="91" applyFont="1" applyFill="1">
      <alignment/>
      <protection/>
    </xf>
    <xf numFmtId="0" fontId="0" fillId="0" borderId="0" xfId="91">
      <alignment/>
      <protection/>
    </xf>
    <xf numFmtId="0" fontId="5" fillId="42" borderId="0" xfId="91" applyFont="1" applyFill="1" applyAlignment="1">
      <alignment vertical="center"/>
      <protection/>
    </xf>
    <xf numFmtId="37" fontId="5" fillId="42" borderId="0" xfId="91" applyNumberFormat="1" applyFont="1" applyFill="1" applyAlignment="1">
      <alignment vertical="center"/>
      <protection/>
    </xf>
    <xf numFmtId="0" fontId="5" fillId="42" borderId="10" xfId="91" applyFont="1" applyFill="1" applyBorder="1" applyAlignment="1">
      <alignment vertical="center"/>
      <protection/>
    </xf>
    <xf numFmtId="0" fontId="5" fillId="42" borderId="0" xfId="91" applyFont="1" applyFill="1" applyAlignment="1">
      <alignment horizontal="center" vertical="center"/>
      <protection/>
    </xf>
    <xf numFmtId="0" fontId="6" fillId="42" borderId="0" xfId="91" applyFont="1" applyFill="1" applyAlignment="1">
      <alignment horizontal="center" vertical="center"/>
      <protection/>
    </xf>
    <xf numFmtId="194" fontId="5" fillId="42" borderId="0" xfId="91" applyNumberFormat="1" applyFont="1" applyFill="1" applyAlignment="1">
      <alignment vertical="center"/>
      <protection/>
    </xf>
    <xf numFmtId="194" fontId="5" fillId="42" borderId="18" xfId="91" applyNumberFormat="1" applyFont="1" applyFill="1" applyBorder="1" applyAlignment="1">
      <alignment vertical="center"/>
      <protection/>
    </xf>
    <xf numFmtId="6" fontId="5" fillId="42" borderId="0" xfId="91" applyNumberFormat="1" applyFont="1" applyFill="1" applyBorder="1" applyAlignment="1">
      <alignment vertical="center"/>
      <protection/>
    </xf>
    <xf numFmtId="194" fontId="5" fillId="42" borderId="0" xfId="91" applyNumberFormat="1" applyFont="1" applyFill="1" applyBorder="1" applyAlignment="1">
      <alignment vertical="center"/>
      <protection/>
    </xf>
    <xf numFmtId="0" fontId="75" fillId="45" borderId="0" xfId="91" applyFont="1" applyFill="1" applyAlignment="1">
      <alignment vertical="center"/>
      <protection/>
    </xf>
    <xf numFmtId="0" fontId="75" fillId="42" borderId="0" xfId="91" applyFont="1" applyFill="1" applyAlignment="1">
      <alignment horizontal="center" vertical="center"/>
      <protection/>
    </xf>
    <xf numFmtId="0" fontId="75" fillId="45" borderId="0" xfId="91" applyFont="1" applyFill="1" applyAlignment="1">
      <alignment horizontal="center" vertical="center"/>
      <protection/>
    </xf>
    <xf numFmtId="0" fontId="5" fillId="42" borderId="0" xfId="86" applyFont="1" applyFill="1">
      <alignment/>
      <protection/>
    </xf>
    <xf numFmtId="0" fontId="0" fillId="42" borderId="0" xfId="91" applyFill="1">
      <alignment/>
      <protection/>
    </xf>
    <xf numFmtId="0" fontId="4" fillId="42" borderId="0" xfId="86" applyFont="1" applyFill="1">
      <alignment/>
      <protection/>
    </xf>
    <xf numFmtId="0" fontId="0" fillId="42" borderId="0" xfId="86" applyFill="1">
      <alignment/>
      <protection/>
    </xf>
    <xf numFmtId="0" fontId="5" fillId="42" borderId="0" xfId="91" applyFont="1" applyFill="1" applyAlignment="1">
      <alignment horizontal="left" vertical="center"/>
      <protection/>
    </xf>
    <xf numFmtId="0" fontId="5" fillId="42" borderId="0" xfId="91" applyFont="1" applyFill="1" applyAlignment="1">
      <alignment horizontal="right" vertical="center"/>
      <protection/>
    </xf>
    <xf numFmtId="182" fontId="5" fillId="42" borderId="0" xfId="91" applyNumberFormat="1" applyFont="1" applyFill="1" applyAlignment="1">
      <alignment horizontal="center" vertical="center"/>
      <protection/>
    </xf>
    <xf numFmtId="198" fontId="75" fillId="42" borderId="0" xfId="91" applyNumberFormat="1" applyFont="1" applyFill="1" applyAlignment="1">
      <alignment horizontal="center" vertical="center"/>
      <protection/>
    </xf>
    <xf numFmtId="0" fontId="77" fillId="45" borderId="0" xfId="91" applyFont="1" applyFill="1" applyAlignment="1">
      <alignment horizontal="center" vertical="center"/>
      <protection/>
    </xf>
    <xf numFmtId="0" fontId="10" fillId="0" borderId="0" xfId="67" applyAlignment="1" applyProtection="1">
      <alignment/>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182" fontId="5" fillId="42" borderId="0" xfId="0" applyNumberFormat="1" applyFont="1" applyFill="1" applyBorder="1" applyAlignment="1" applyProtection="1">
      <alignment horizontal="right" vertical="center"/>
      <protection locked="0"/>
    </xf>
    <xf numFmtId="182" fontId="25" fillId="42" borderId="1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6"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182" fontId="25" fillId="42" borderId="19" xfId="0" applyNumberFormat="1" applyFont="1" applyFill="1" applyBorder="1" applyAlignment="1" applyProtection="1">
      <alignment horizontal="center" vertical="center"/>
      <protection/>
    </xf>
    <xf numFmtId="182" fontId="25" fillId="45" borderId="19" xfId="0" applyNumberFormat="1" applyFont="1" applyFill="1" applyBorder="1" applyAlignment="1" applyProtection="1">
      <alignment horizontal="center" vertical="center"/>
      <protection/>
    </xf>
    <xf numFmtId="0" fontId="25" fillId="42" borderId="10" xfId="0" applyFont="1" applyFill="1" applyBorder="1" applyAlignment="1" applyProtection="1">
      <alignment horizontal="left" vertical="center"/>
      <protection/>
    </xf>
    <xf numFmtId="0" fontId="26"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49" fontId="5" fillId="34" borderId="0" xfId="0" applyNumberFormat="1" applyFont="1" applyFill="1" applyAlignment="1" applyProtection="1">
      <alignment horizontal="center" vertical="center"/>
      <protection/>
    </xf>
    <xf numFmtId="0" fontId="75" fillId="0" borderId="0" xfId="453" applyFont="1" applyAlignment="1">
      <alignment horizontal="left" vertical="center"/>
      <protection/>
    </xf>
    <xf numFmtId="0" fontId="5" fillId="0" borderId="0" xfId="84" applyFont="1">
      <alignment/>
      <protection/>
    </xf>
    <xf numFmtId="0" fontId="78" fillId="0" borderId="0" xfId="84" applyFont="1">
      <alignment/>
      <protection/>
    </xf>
    <xf numFmtId="0" fontId="0" fillId="0" borderId="0" xfId="84">
      <alignment/>
      <protection/>
    </xf>
    <xf numFmtId="0" fontId="5" fillId="0" borderId="0" xfId="0" applyFont="1" applyAlignment="1" applyProtection="1">
      <alignment/>
      <protection locked="0"/>
    </xf>
    <xf numFmtId="0" fontId="5" fillId="35" borderId="12" xfId="0" applyFont="1" applyFill="1" applyBorder="1" applyAlignment="1" applyProtection="1">
      <alignment vertical="center"/>
      <protection locked="0"/>
    </xf>
    <xf numFmtId="164" fontId="5" fillId="35" borderId="12" xfId="0" applyNumberFormat="1" applyFont="1" applyFill="1" applyBorder="1" applyAlignment="1" applyProtection="1">
      <alignment vertical="center"/>
      <protection locked="0"/>
    </xf>
    <xf numFmtId="0" fontId="5" fillId="34" borderId="26" xfId="0" applyFont="1" applyFill="1" applyBorder="1" applyAlignment="1" applyProtection="1">
      <alignment vertical="center"/>
      <protection/>
    </xf>
    <xf numFmtId="0" fontId="23" fillId="0" borderId="0" xfId="453">
      <alignment/>
      <protection/>
    </xf>
    <xf numFmtId="187" fontId="14" fillId="0" borderId="0" xfId="453" applyNumberFormat="1" applyFont="1" applyAlignment="1">
      <alignment horizontal="left" vertical="center"/>
      <protection/>
    </xf>
    <xf numFmtId="49" fontId="5" fillId="0" borderId="0" xfId="453" applyNumberFormat="1" applyFont="1" applyAlignment="1">
      <alignment horizontal="left" vertical="center"/>
      <protection/>
    </xf>
    <xf numFmtId="0" fontId="14" fillId="0" borderId="0" xfId="453" applyFont="1" applyAlignment="1">
      <alignment horizontal="left" vertical="center"/>
      <protection/>
    </xf>
    <xf numFmtId="188" fontId="14" fillId="0" borderId="0" xfId="453" applyNumberFormat="1" applyFont="1" applyAlignment="1">
      <alignment horizontal="left" vertical="center"/>
      <protection/>
    </xf>
    <xf numFmtId="0" fontId="23" fillId="35" borderId="0" xfId="453" applyFill="1" applyAlignment="1" applyProtection="1">
      <alignment horizontal="left" vertical="center"/>
      <protection locked="0"/>
    </xf>
    <xf numFmtId="0" fontId="5" fillId="42" borderId="0" xfId="0" applyFont="1" applyFill="1" applyBorder="1" applyAlignment="1" applyProtection="1">
      <alignment vertical="center"/>
      <protection/>
    </xf>
    <xf numFmtId="194" fontId="25" fillId="44" borderId="12" xfId="0" applyNumberFormat="1" applyFont="1" applyFill="1" applyBorder="1" applyAlignment="1" applyProtection="1">
      <alignment horizontal="center" vertical="center"/>
      <protection locked="0"/>
    </xf>
    <xf numFmtId="0" fontId="5" fillId="42" borderId="15" xfId="0" applyFont="1" applyFill="1" applyBorder="1" applyAlignment="1" applyProtection="1">
      <alignment vertical="center"/>
      <protection/>
    </xf>
    <xf numFmtId="0" fontId="5" fillId="42" borderId="26" xfId="0" applyFont="1" applyFill="1" applyBorder="1" applyAlignment="1" applyProtection="1">
      <alignment vertical="center"/>
      <protection/>
    </xf>
    <xf numFmtId="194" fontId="25" fillId="42" borderId="1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26" xfId="0" applyFont="1" applyFill="1" applyBorder="1" applyAlignment="1" applyProtection="1">
      <alignment vertical="center"/>
      <protection/>
    </xf>
    <xf numFmtId="0" fontId="25" fillId="42" borderId="0" xfId="0" applyFont="1" applyFill="1" applyBorder="1" applyAlignment="1" applyProtection="1">
      <alignment vertical="center"/>
      <protection/>
    </xf>
    <xf numFmtId="194" fontId="25" fillId="42" borderId="21" xfId="0" applyNumberFormat="1" applyFont="1" applyFill="1" applyBorder="1" applyAlignment="1" applyProtection="1">
      <alignment horizontal="center" vertical="center"/>
      <protection/>
    </xf>
    <xf numFmtId="194" fontId="25" fillId="42" borderId="15" xfId="0" applyNumberFormat="1" applyFont="1" applyFill="1" applyBorder="1" applyAlignment="1" applyProtection="1">
      <alignment vertical="center"/>
      <protection/>
    </xf>
    <xf numFmtId="0" fontId="25" fillId="45" borderId="16" xfId="0" applyFont="1" applyFill="1" applyBorder="1" applyAlignment="1" applyProtection="1">
      <alignment vertical="center"/>
      <protection/>
    </xf>
    <xf numFmtId="0" fontId="5" fillId="45" borderId="16" xfId="0" applyFont="1" applyFill="1" applyBorder="1" applyAlignment="1" applyProtection="1">
      <alignment vertical="center"/>
      <protection/>
    </xf>
    <xf numFmtId="0" fontId="25" fillId="42" borderId="15" xfId="0" applyFont="1" applyFill="1" applyBorder="1" applyAlignment="1" applyProtection="1">
      <alignment horizontal="left" vertical="center"/>
      <protection/>
    </xf>
    <xf numFmtId="0" fontId="25" fillId="42" borderId="15" xfId="0" applyFont="1" applyFill="1" applyBorder="1" applyAlignment="1" applyProtection="1">
      <alignment vertical="center"/>
      <protection/>
    </xf>
    <xf numFmtId="194" fontId="25" fillId="42" borderId="26" xfId="0" applyNumberFormat="1" applyFont="1" applyFill="1" applyBorder="1" applyAlignment="1" applyProtection="1">
      <alignment horizontal="center" vertical="center"/>
      <protection/>
    </xf>
    <xf numFmtId="194" fontId="14" fillId="42" borderId="15" xfId="0" applyNumberFormat="1" applyFont="1" applyFill="1" applyBorder="1" applyAlignment="1" applyProtection="1">
      <alignment horizontal="center" vertical="center"/>
      <protection/>
    </xf>
    <xf numFmtId="0" fontId="14" fillId="42" borderId="0" xfId="0" applyFont="1" applyFill="1" applyBorder="1" applyAlignment="1" applyProtection="1">
      <alignment vertical="center"/>
      <protection/>
    </xf>
    <xf numFmtId="194" fontId="14" fillId="42" borderId="21" xfId="0" applyNumberFormat="1" applyFont="1" applyFill="1" applyBorder="1" applyAlignment="1" applyProtection="1">
      <alignment horizontal="center" vertical="center"/>
      <protection/>
    </xf>
    <xf numFmtId="194" fontId="14" fillId="42" borderId="15" xfId="0" applyNumberFormat="1" applyFont="1" applyFill="1" applyBorder="1" applyAlignment="1" applyProtection="1">
      <alignment vertical="center"/>
      <protection/>
    </xf>
    <xf numFmtId="194" fontId="14" fillId="45" borderId="21" xfId="0" applyNumberFormat="1" applyFont="1" applyFill="1" applyBorder="1" applyAlignment="1" applyProtection="1">
      <alignment horizontal="center" vertical="center"/>
      <protection/>
    </xf>
    <xf numFmtId="0" fontId="14" fillId="45" borderId="10" xfId="0" applyFont="1" applyFill="1" applyBorder="1" applyAlignment="1" applyProtection="1">
      <alignment vertical="center"/>
      <protection/>
    </xf>
    <xf numFmtId="0" fontId="5" fillId="0" borderId="0" xfId="453" applyFont="1" applyAlignment="1">
      <alignment horizontal="left" vertical="center"/>
      <protection/>
    </xf>
    <xf numFmtId="49" fontId="5" fillId="35" borderId="0" xfId="453" applyNumberFormat="1" applyFont="1" applyFill="1" applyAlignment="1" applyProtection="1">
      <alignment horizontal="left" vertical="center"/>
      <protection locked="0"/>
    </xf>
    <xf numFmtId="0" fontId="5" fillId="35" borderId="0" xfId="453" applyFont="1" applyFill="1" applyAlignment="1" applyProtection="1">
      <alignment horizontal="left" vertical="center"/>
      <protection locked="0"/>
    </xf>
    <xf numFmtId="0" fontId="79" fillId="0" borderId="0" xfId="453" applyFont="1">
      <alignment/>
      <protection/>
    </xf>
    <xf numFmtId="187" fontId="80" fillId="0" borderId="0" xfId="453" applyNumberFormat="1" applyFont="1" applyAlignment="1">
      <alignment horizontal="left" vertical="center"/>
      <protection/>
    </xf>
    <xf numFmtId="0" fontId="80" fillId="0" borderId="0" xfId="453" applyNumberFormat="1" applyFont="1" applyAlignment="1">
      <alignment horizontal="left" vertical="center"/>
      <protection/>
    </xf>
    <xf numFmtId="1" fontId="80" fillId="0" borderId="0" xfId="453" applyNumberFormat="1" applyFont="1" applyAlignment="1">
      <alignment horizontal="left" vertical="center"/>
      <protection/>
    </xf>
    <xf numFmtId="0" fontId="81" fillId="0" borderId="0" xfId="453" applyFont="1" applyAlignment="1">
      <alignment horizontal="left" vertical="center"/>
      <protection/>
    </xf>
    <xf numFmtId="49" fontId="5" fillId="0" borderId="0" xfId="453" applyNumberFormat="1" applyFont="1" applyFill="1" applyAlignment="1" applyProtection="1">
      <alignment horizontal="left" vertical="center"/>
      <protection locked="0"/>
    </xf>
    <xf numFmtId="0" fontId="25" fillId="42" borderId="10" xfId="0" applyFont="1" applyFill="1" applyBorder="1" applyAlignment="1" applyProtection="1">
      <alignment horizontal="left" vertical="center"/>
      <protection/>
    </xf>
    <xf numFmtId="0" fontId="26"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194" fontId="27" fillId="45" borderId="17"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0" fontId="5" fillId="45" borderId="0" xfId="0" applyFont="1" applyFill="1" applyBorder="1" applyAlignment="1" applyProtection="1">
      <alignment vertical="center"/>
      <protection/>
    </xf>
    <xf numFmtId="0" fontId="25" fillId="45" borderId="0" xfId="0" applyFont="1" applyFill="1" applyBorder="1" applyAlignment="1" applyProtection="1">
      <alignment vertical="center"/>
      <protection/>
    </xf>
    <xf numFmtId="0" fontId="27" fillId="45" borderId="15" xfId="0" applyFont="1" applyFill="1" applyBorder="1" applyAlignment="1" applyProtection="1">
      <alignment vertical="center"/>
      <protection/>
    </xf>
    <xf numFmtId="194" fontId="27" fillId="45" borderId="16" xfId="0" applyNumberFormat="1" applyFont="1" applyFill="1" applyBorder="1" applyAlignment="1" applyProtection="1">
      <alignment horizontal="center" vertical="center"/>
      <protection locked="0"/>
    </xf>
    <xf numFmtId="37" fontId="5" fillId="34" borderId="26" xfId="0" applyNumberFormat="1" applyFont="1" applyFill="1" applyBorder="1" applyAlignment="1" applyProtection="1">
      <alignment horizontal="right" vertical="center"/>
      <protection/>
    </xf>
    <xf numFmtId="182" fontId="27" fillId="42" borderId="17" xfId="0" applyNumberFormat="1" applyFont="1" applyFill="1" applyBorder="1" applyAlignment="1" applyProtection="1">
      <alignment horizontal="center" vertical="center"/>
      <protection/>
    </xf>
    <xf numFmtId="194" fontId="25" fillId="45" borderId="21" xfId="0" applyNumberFormat="1" applyFont="1" applyFill="1" applyBorder="1" applyAlignment="1" applyProtection="1">
      <alignment horizontal="center" vertical="center"/>
      <protection/>
    </xf>
    <xf numFmtId="0" fontId="25" fillId="45" borderId="10" xfId="0" applyFont="1" applyFill="1" applyBorder="1" applyAlignment="1" applyProtection="1">
      <alignment vertical="center"/>
      <protection/>
    </xf>
    <xf numFmtId="0" fontId="30" fillId="42" borderId="10" xfId="0" applyFont="1" applyFill="1" applyBorder="1" applyAlignment="1">
      <alignment horizontal="left" vertical="center"/>
    </xf>
    <xf numFmtId="0" fontId="76" fillId="0" borderId="0" xfId="0" applyFont="1" applyAlignment="1" applyProtection="1">
      <alignment/>
      <protection locked="0"/>
    </xf>
    <xf numFmtId="182" fontId="25" fillId="42" borderId="15" xfId="0" applyNumberFormat="1" applyFont="1" applyFill="1" applyBorder="1" applyAlignment="1" applyProtection="1">
      <alignment horizontal="center" vertical="center"/>
      <protection/>
    </xf>
    <xf numFmtId="182" fontId="25" fillId="42" borderId="19" xfId="0" applyNumberFormat="1" applyFont="1" applyFill="1" applyBorder="1" applyAlignment="1" applyProtection="1">
      <alignment horizontal="center" vertical="center"/>
      <protection/>
    </xf>
    <xf numFmtId="182" fontId="25" fillId="45" borderId="21" xfId="0" applyNumberFormat="1" applyFont="1" applyFill="1" applyBorder="1" applyAlignment="1" applyProtection="1">
      <alignment horizontal="center" vertical="center"/>
      <protection/>
    </xf>
    <xf numFmtId="182" fontId="25" fillId="45" borderId="19" xfId="0" applyNumberFormat="1" applyFont="1" applyFill="1" applyBorder="1" applyAlignment="1" applyProtection="1">
      <alignment horizontal="center" vertical="center"/>
      <protection/>
    </xf>
    <xf numFmtId="0" fontId="5" fillId="42" borderId="26" xfId="0" applyFont="1" applyFill="1" applyBorder="1" applyAlignment="1" applyProtection="1">
      <alignment/>
      <protection locked="0"/>
    </xf>
    <xf numFmtId="0" fontId="5" fillId="45" borderId="16" xfId="0" applyFont="1" applyFill="1" applyBorder="1" applyAlignment="1" applyProtection="1">
      <alignment/>
      <protection locked="0"/>
    </xf>
    <xf numFmtId="0" fontId="5" fillId="42" borderId="26" xfId="0" applyFont="1" applyFill="1" applyBorder="1" applyAlignment="1" applyProtection="1">
      <alignment vertical="center"/>
      <protection locked="0"/>
    </xf>
    <xf numFmtId="197" fontId="5" fillId="35" borderId="12" xfId="91" applyNumberFormat="1" applyFont="1" applyFill="1" applyBorder="1" applyAlignment="1" applyProtection="1">
      <alignment vertical="center"/>
      <protection locked="0"/>
    </xf>
    <xf numFmtId="0" fontId="31" fillId="0" borderId="0" xfId="0" applyFont="1" applyAlignment="1" applyProtection="1">
      <alignment vertical="center"/>
      <protection/>
    </xf>
    <xf numFmtId="0" fontId="0" fillId="32" borderId="0" xfId="91" applyFill="1">
      <alignment/>
      <protection/>
    </xf>
    <xf numFmtId="0" fontId="0" fillId="32" borderId="0" xfId="86" applyFill="1">
      <alignment/>
      <protection/>
    </xf>
    <xf numFmtId="0" fontId="10" fillId="32" borderId="0" xfId="67" applyFill="1" applyAlignment="1" applyProtection="1">
      <alignment/>
      <protection/>
    </xf>
    <xf numFmtId="0" fontId="82"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82"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82"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82"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82" fillId="42" borderId="17" xfId="0" applyFont="1" applyFill="1" applyBorder="1" applyAlignment="1">
      <alignment horizontal="center" vertical="center"/>
    </xf>
    <xf numFmtId="0" fontId="4" fillId="42" borderId="11" xfId="0" applyFont="1" applyFill="1" applyBorder="1" applyAlignment="1">
      <alignment horizontal="centerContinuous" vertical="center"/>
    </xf>
    <xf numFmtId="0" fontId="27" fillId="42" borderId="19" xfId="0" applyFont="1" applyFill="1" applyBorder="1" applyAlignment="1">
      <alignment horizontal="centerContinuous" vertical="center"/>
    </xf>
    <xf numFmtId="0" fontId="10" fillId="35" borderId="11" xfId="67" applyFill="1" applyBorder="1" applyAlignment="1" applyProtection="1">
      <alignment vertical="center"/>
      <protection locked="0"/>
    </xf>
    <xf numFmtId="0" fontId="5" fillId="35" borderId="14" xfId="0" applyFont="1" applyFill="1" applyBorder="1" applyAlignment="1" applyProtection="1">
      <alignment horizontal="center"/>
      <protection locked="0"/>
    </xf>
    <xf numFmtId="0" fontId="5" fillId="35" borderId="12" xfId="0" applyFont="1" applyFill="1" applyBorder="1" applyAlignment="1" applyProtection="1">
      <alignment horizontal="center"/>
      <protection locked="0"/>
    </xf>
    <xf numFmtId="37" fontId="5" fillId="35" borderId="19" xfId="0" applyNumberFormat="1" applyFont="1" applyFill="1" applyBorder="1" applyAlignment="1" applyProtection="1">
      <alignment/>
      <protection locked="0"/>
    </xf>
    <xf numFmtId="0" fontId="5" fillId="35" borderId="12" xfId="0" applyFont="1" applyFill="1" applyBorder="1" applyAlignment="1" applyProtection="1">
      <alignment horizontal="left"/>
      <protection locked="0"/>
    </xf>
    <xf numFmtId="0" fontId="5" fillId="35" borderId="12" xfId="0" applyFont="1" applyFill="1" applyBorder="1" applyAlignment="1" applyProtection="1">
      <alignment horizontal="left"/>
      <protection locked="0"/>
    </xf>
    <xf numFmtId="0" fontId="5" fillId="35" borderId="0" xfId="0" applyFont="1" applyFill="1" applyAlignment="1" applyProtection="1">
      <alignment horizontal="left"/>
      <protection locked="0"/>
    </xf>
    <xf numFmtId="0" fontId="5" fillId="35" borderId="19" xfId="0" applyNumberFormat="1" applyFont="1" applyFill="1" applyBorder="1" applyAlignment="1" applyProtection="1">
      <alignment horizontal="left"/>
      <protection locked="0"/>
    </xf>
    <xf numFmtId="0" fontId="5" fillId="35" borderId="19" xfId="0" applyFont="1" applyFill="1" applyBorder="1" applyAlignment="1" applyProtection="1">
      <alignment/>
      <protection locked="0"/>
    </xf>
    <xf numFmtId="37" fontId="5" fillId="35" borderId="0" xfId="0" applyNumberFormat="1" applyFont="1" applyFill="1" applyAlignment="1" applyProtection="1">
      <alignment horizontal="center" vertical="center"/>
      <protection locked="0"/>
    </xf>
    <xf numFmtId="0" fontId="5" fillId="35" borderId="0" xfId="0" applyFont="1" applyFill="1" applyAlignment="1" applyProtection="1">
      <alignment horizontal="center" vertical="center"/>
      <protection locked="0"/>
    </xf>
    <xf numFmtId="0" fontId="5" fillId="35" borderId="12" xfId="0" applyFont="1" applyFill="1" applyBorder="1" applyAlignment="1" applyProtection="1">
      <alignment/>
      <protection locked="0"/>
    </xf>
    <xf numFmtId="0" fontId="0" fillId="0" borderId="18" xfId="0" applyBorder="1" applyAlignment="1">
      <alignment vertical="center"/>
    </xf>
    <xf numFmtId="0" fontId="0" fillId="0" borderId="18" xfId="0" applyBorder="1" applyAlignment="1">
      <alignment horizontal="center" vertical="center"/>
    </xf>
    <xf numFmtId="0" fontId="5" fillId="34" borderId="0" xfId="0" applyFont="1" applyFill="1" applyBorder="1" applyAlignment="1" applyProtection="1">
      <alignment horizontal="left" vertical="center"/>
      <protection/>
    </xf>
    <xf numFmtId="37" fontId="4" fillId="40" borderId="0" xfId="0" applyNumberFormat="1" applyFont="1" applyFill="1" applyBorder="1" applyAlignment="1" applyProtection="1">
      <alignment vertical="center"/>
      <protection/>
    </xf>
    <xf numFmtId="37" fontId="6" fillId="35" borderId="12" xfId="0" applyNumberFormat="1" applyFont="1" applyFill="1" applyBorder="1" applyAlignment="1" applyProtection="1">
      <alignment vertical="center"/>
      <protection locked="0"/>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19" fillId="0" borderId="0" xfId="0" applyFont="1" applyAlignment="1">
      <alignment vertical="center"/>
    </xf>
    <xf numFmtId="37" fontId="13"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3" borderId="18" xfId="0" applyFont="1" applyFill="1" applyBorder="1" applyAlignment="1">
      <alignment vertical="center" wrapText="1"/>
    </xf>
    <xf numFmtId="0" fontId="0" fillId="0" borderId="18" xfId="0" applyBorder="1" applyAlignment="1">
      <alignment vertical="center" wrapText="1"/>
    </xf>
    <xf numFmtId="0" fontId="4"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5" fillId="0" borderId="0" xfId="453" applyFont="1" applyAlignment="1">
      <alignment horizontal="left" vertical="center" wrapText="1"/>
      <protection/>
    </xf>
    <xf numFmtId="0" fontId="23" fillId="0" borderId="0" xfId="453" applyAlignment="1">
      <alignment horizontal="left" vertical="center" wrapText="1"/>
      <protection/>
    </xf>
    <xf numFmtId="0" fontId="13" fillId="0" borderId="0" xfId="453" applyFont="1" applyAlignment="1">
      <alignment horizontal="left" vertical="center"/>
      <protection/>
    </xf>
    <xf numFmtId="37" fontId="13"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8"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7" xfId="0" applyBorder="1" applyAlignment="1">
      <alignment horizontal="center"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5" fillId="0" borderId="18" xfId="0" applyFont="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4" fillId="42" borderId="0" xfId="91" applyFont="1" applyFill="1" applyAlignment="1">
      <alignment horizontal="center" vertical="center"/>
      <protection/>
    </xf>
    <xf numFmtId="0" fontId="13" fillId="42" borderId="0" xfId="91" applyFont="1" applyFill="1" applyAlignment="1">
      <alignment horizontal="center" vertical="center"/>
      <protection/>
    </xf>
    <xf numFmtId="0" fontId="5" fillId="42" borderId="0" xfId="91" applyFont="1" applyFill="1" applyAlignment="1">
      <alignment vertical="center" wrapText="1"/>
      <protection/>
    </xf>
    <xf numFmtId="0" fontId="13" fillId="42" borderId="0" xfId="470" applyFont="1" applyFill="1" applyAlignment="1">
      <alignment horizontal="center"/>
      <protection/>
    </xf>
    <xf numFmtId="0" fontId="0" fillId="42" borderId="0" xfId="91" applyFill="1" applyAlignment="1">
      <alignment horizontal="center"/>
      <protection/>
    </xf>
    <xf numFmtId="0" fontId="5" fillId="0" borderId="0" xfId="0" applyFont="1" applyBorder="1" applyAlignment="1">
      <alignment horizontal="center" vertical="center"/>
    </xf>
    <xf numFmtId="0" fontId="26" fillId="42" borderId="24" xfId="100" applyFont="1" applyFill="1" applyBorder="1" applyAlignment="1" applyProtection="1">
      <alignment horizontal="center" vertical="center"/>
      <protection/>
    </xf>
    <xf numFmtId="0" fontId="26" fillId="42" borderId="18" xfId="100" applyFont="1" applyFill="1" applyBorder="1" applyAlignment="1" applyProtection="1">
      <alignment horizontal="center" vertical="center"/>
      <protection/>
    </xf>
    <xf numFmtId="0" fontId="0" fillId="0" borderId="23" xfId="100" applyBorder="1" applyAlignment="1" applyProtection="1">
      <alignment vertical="center"/>
      <protection/>
    </xf>
    <xf numFmtId="3" fontId="5" fillId="34" borderId="18"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5" fillId="34" borderId="0" xfId="104" applyFont="1" applyFill="1" applyAlignment="1" applyProtection="1">
      <alignment horizontal="right" vertical="center"/>
      <protection/>
    </xf>
    <xf numFmtId="0" fontId="5" fillId="0" borderId="26" xfId="104"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0" xfId="0" applyBorder="1" applyAlignment="1">
      <alignment horizontal="right" vertical="center"/>
    </xf>
    <xf numFmtId="0" fontId="0" fillId="0" borderId="23" xfId="0" applyBorder="1" applyAlignment="1">
      <alignment vertical="center"/>
    </xf>
    <xf numFmtId="182" fontId="26" fillId="42" borderId="24" xfId="0" applyNumberFormat="1" applyFont="1" applyFill="1" applyBorder="1" applyAlignment="1" applyProtection="1">
      <alignment horizontal="center"/>
      <protection/>
    </xf>
    <xf numFmtId="0" fontId="16" fillId="0" borderId="18" xfId="0" applyFont="1" applyBorder="1" applyAlignment="1">
      <alignment/>
    </xf>
    <xf numFmtId="0" fontId="16" fillId="0" borderId="23" xfId="0" applyFont="1" applyBorder="1" applyAlignment="1">
      <alignment/>
    </xf>
    <xf numFmtId="0" fontId="26" fillId="42" borderId="24" xfId="0" applyFont="1" applyFill="1" applyBorder="1" applyAlignment="1" applyProtection="1">
      <alignment horizontal="center" vertical="center"/>
      <protection/>
    </xf>
    <xf numFmtId="0" fontId="26" fillId="42" borderId="24" xfId="86" applyFont="1" applyFill="1" applyBorder="1" applyAlignment="1" applyProtection="1">
      <alignment horizontal="center" vertical="center"/>
      <protection/>
    </xf>
    <xf numFmtId="0" fontId="0" fillId="0" borderId="18" xfId="86" applyBorder="1" applyAlignment="1">
      <alignment vertical="center"/>
      <protection/>
    </xf>
    <xf numFmtId="0" fontId="0" fillId="0" borderId="23" xfId="86" applyBorder="1" applyAlignment="1">
      <alignment vertical="center"/>
      <protection/>
    </xf>
    <xf numFmtId="0" fontId="5" fillId="34" borderId="0" xfId="67" applyNumberFormat="1" applyFont="1" applyFill="1" applyBorder="1" applyAlignment="1" applyProtection="1">
      <alignment horizontal="right" vertical="center"/>
      <protection/>
    </xf>
    <xf numFmtId="0" fontId="5" fillId="0" borderId="0" xfId="67" applyFont="1" applyAlignment="1" applyProtection="1">
      <alignment horizontal="right" vertical="center"/>
      <protection/>
    </xf>
    <xf numFmtId="0" fontId="29" fillId="42" borderId="24" xfId="100" applyFont="1" applyFill="1" applyBorder="1" applyAlignment="1" applyProtection="1">
      <alignment horizontal="center" vertical="center"/>
      <protection/>
    </xf>
    <xf numFmtId="0" fontId="30" fillId="0" borderId="18" xfId="86" applyFont="1" applyBorder="1" applyAlignment="1">
      <alignment horizontal="center" vertical="center"/>
      <protection/>
    </xf>
    <xf numFmtId="0" fontId="0" fillId="0" borderId="23" xfId="0" applyBorder="1" applyAlignment="1">
      <alignment/>
    </xf>
    <xf numFmtId="0" fontId="30" fillId="0" borderId="18" xfId="0" applyFont="1" applyBorder="1" applyAlignment="1">
      <alignment horizontal="center"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0" fontId="0" fillId="0" borderId="0" xfId="0" applyBorder="1" applyAlignment="1">
      <alignment horizontal="center" vertical="center"/>
    </xf>
    <xf numFmtId="37" fontId="5" fillId="42" borderId="0" xfId="126" applyNumberFormat="1" applyFont="1" applyFill="1" applyAlignment="1" applyProtection="1">
      <alignment horizontal="center"/>
      <protection/>
    </xf>
    <xf numFmtId="0" fontId="13" fillId="42" borderId="24" xfId="101"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101" applyBorder="1" applyAlignment="1" applyProtection="1">
      <alignment horizontal="center"/>
      <protection/>
    </xf>
    <xf numFmtId="0" fontId="0" fillId="0" borderId="23" xfId="101" applyBorder="1" applyAlignment="1" applyProtection="1">
      <alignment horizontal="center"/>
      <protection/>
    </xf>
    <xf numFmtId="0" fontId="13" fillId="42" borderId="18" xfId="101" applyFont="1" applyFill="1" applyBorder="1" applyAlignment="1" applyProtection="1">
      <alignment horizontal="center"/>
      <protection/>
    </xf>
    <xf numFmtId="0" fontId="13" fillId="42" borderId="23" xfId="101" applyFont="1" applyFill="1" applyBorder="1" applyAlignment="1" applyProtection="1">
      <alignment horizontal="center"/>
      <protection/>
    </xf>
    <xf numFmtId="49" fontId="4" fillId="34" borderId="10" xfId="0" applyNumberFormat="1" applyFont="1" applyFill="1" applyBorder="1" applyAlignment="1" applyProtection="1">
      <alignment horizontal="center" vertical="center"/>
      <protection locked="0"/>
    </xf>
    <xf numFmtId="0" fontId="4" fillId="34" borderId="10" xfId="0" applyNumberFormat="1" applyFont="1" applyFill="1" applyBorder="1" applyAlignment="1" applyProtection="1">
      <alignment horizontal="center" vertical="center"/>
      <protection locked="0"/>
    </xf>
    <xf numFmtId="37" fontId="5" fillId="42" borderId="0" xfId="0" applyNumberFormat="1" applyFont="1" applyFill="1" applyAlignment="1" applyProtection="1">
      <alignment horizontal="center" vertical="center"/>
      <protection/>
    </xf>
  </cellXfs>
  <cellStyles count="4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5" xfId="53"/>
    <cellStyle name="Comma 6" xfId="54"/>
    <cellStyle name="Comma 7" xfId="55"/>
    <cellStyle name="Comma 7 2" xfId="56"/>
    <cellStyle name="Comma 7 3"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3" xfId="70"/>
    <cellStyle name="Hyperlink 3 2" xfId="71"/>
    <cellStyle name="Hyperlink 3 3" xfId="72"/>
    <cellStyle name="Hyperlink 4" xfId="73"/>
    <cellStyle name="Hyperlink 4 2" xfId="74"/>
    <cellStyle name="Hyperlink 5" xfId="75"/>
    <cellStyle name="Hyperlink 6" xfId="76"/>
    <cellStyle name="Hyperlink 7" xfId="77"/>
    <cellStyle name="Hyperlink 7 2" xfId="78"/>
    <cellStyle name="Hyperlink 8" xfId="79"/>
    <cellStyle name="Hyperlink 8 2" xfId="80"/>
    <cellStyle name="Input" xfId="81"/>
    <cellStyle name="Linked Cell" xfId="82"/>
    <cellStyle name="Neutral" xfId="83"/>
    <cellStyle name="Normal 10" xfId="84"/>
    <cellStyle name="Normal 10 2" xfId="85"/>
    <cellStyle name="Normal 10 2 2" xfId="86"/>
    <cellStyle name="Normal 10 2 2 2" xfId="87"/>
    <cellStyle name="Normal 10 2 2 3" xfId="88"/>
    <cellStyle name="Normal 10 3" xfId="89"/>
    <cellStyle name="Normal 10 4" xfId="90"/>
    <cellStyle name="Normal 10 5" xfId="91"/>
    <cellStyle name="Normal 10 6" xfId="92"/>
    <cellStyle name="Normal 10 7" xfId="93"/>
    <cellStyle name="Normal 11" xfId="94"/>
    <cellStyle name="Normal 11 2" xfId="95"/>
    <cellStyle name="Normal 11 2 2" xfId="96"/>
    <cellStyle name="Normal 11 3" xfId="97"/>
    <cellStyle name="Normal 11 4" xfId="98"/>
    <cellStyle name="Normal 11 5"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6" xfId="137"/>
    <cellStyle name="Normal 16 2" xfId="138"/>
    <cellStyle name="Normal 16 3" xfId="139"/>
    <cellStyle name="Normal 16 4" xfId="140"/>
    <cellStyle name="Normal 17" xfId="141"/>
    <cellStyle name="Normal 17 2" xfId="142"/>
    <cellStyle name="Normal 17 3" xfId="143"/>
    <cellStyle name="Normal 17 4" xfId="144"/>
    <cellStyle name="Normal 18" xfId="145"/>
    <cellStyle name="Normal 18 2" xfId="146"/>
    <cellStyle name="Normal 18 2 2" xfId="147"/>
    <cellStyle name="Normal 18 2 3" xfId="148"/>
    <cellStyle name="Normal 18 3" xfId="149"/>
    <cellStyle name="Normal 18 4" xfId="150"/>
    <cellStyle name="Normal 18 5" xfId="151"/>
    <cellStyle name="Normal 18 6" xfId="152"/>
    <cellStyle name="Normal 18 7" xfId="153"/>
    <cellStyle name="Normal 18 8"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2" xfId="164"/>
    <cellStyle name="Normal 2 10" xfId="165"/>
    <cellStyle name="Normal 2 10 10" xfId="166"/>
    <cellStyle name="Normal 2 10 11" xfId="167"/>
    <cellStyle name="Normal 2 10 2" xfId="168"/>
    <cellStyle name="Normal 2 10 2 2" xfId="169"/>
    <cellStyle name="Normal 2 10 3" xfId="170"/>
    <cellStyle name="Normal 2 10 3 2" xfId="171"/>
    <cellStyle name="Normal 2 10 4" xfId="172"/>
    <cellStyle name="Normal 2 10 4 2" xfId="173"/>
    <cellStyle name="Normal 2 10 5" xfId="174"/>
    <cellStyle name="Normal 2 10 5 2" xfId="175"/>
    <cellStyle name="Normal 2 10 6" xfId="176"/>
    <cellStyle name="Normal 2 10 6 2" xfId="177"/>
    <cellStyle name="Normal 2 10 7" xfId="178"/>
    <cellStyle name="Normal 2 10 7 2" xfId="179"/>
    <cellStyle name="Normal 2 10 8" xfId="180"/>
    <cellStyle name="Normal 2 10 8 2" xfId="181"/>
    <cellStyle name="Normal 2 10 9" xfId="182"/>
    <cellStyle name="Normal 2 11" xfId="183"/>
    <cellStyle name="Normal 2 11 10" xfId="184"/>
    <cellStyle name="Normal 2 11 11" xfId="185"/>
    <cellStyle name="Normal 2 11 2" xfId="186"/>
    <cellStyle name="Normal 2 11 2 2" xfId="187"/>
    <cellStyle name="Normal 2 11 3" xfId="188"/>
    <cellStyle name="Normal 2 11 3 2" xfId="189"/>
    <cellStyle name="Normal 2 11 4" xfId="190"/>
    <cellStyle name="Normal 2 11 4 2" xfId="191"/>
    <cellStyle name="Normal 2 11 5" xfId="192"/>
    <cellStyle name="Normal 2 11 5 2" xfId="193"/>
    <cellStyle name="Normal 2 11 6" xfId="194"/>
    <cellStyle name="Normal 2 11 6 2" xfId="195"/>
    <cellStyle name="Normal 2 11 7" xfId="196"/>
    <cellStyle name="Normal 2 11 7 2" xfId="197"/>
    <cellStyle name="Normal 2 11 8" xfId="198"/>
    <cellStyle name="Normal 2 11 8 2" xfId="199"/>
    <cellStyle name="Normal 2 11 9" xfId="200"/>
    <cellStyle name="Normal 2 12" xfId="201"/>
    <cellStyle name="Normal 2 13" xfId="202"/>
    <cellStyle name="Normal 2 14" xfId="203"/>
    <cellStyle name="Normal 2 15" xfId="204"/>
    <cellStyle name="Normal 2 16" xfId="205"/>
    <cellStyle name="Normal 2 2" xfId="206"/>
    <cellStyle name="Normal 2 2 10" xfId="207"/>
    <cellStyle name="Normal 2 2 10 2" xfId="208"/>
    <cellStyle name="Normal 2 2 11" xfId="209"/>
    <cellStyle name="Normal 2 2 11 2" xfId="210"/>
    <cellStyle name="Normal 2 2 12" xfId="211"/>
    <cellStyle name="Normal 2 2 12 2" xfId="212"/>
    <cellStyle name="Normal 2 2 12 2 2" xfId="213"/>
    <cellStyle name="Normal 2 2 12 2 3" xfId="214"/>
    <cellStyle name="Normal 2 2 12 3" xfId="215"/>
    <cellStyle name="Normal 2 2 12 4" xfId="216"/>
    <cellStyle name="Normal 2 2 13" xfId="217"/>
    <cellStyle name="Normal 2 2 13 2" xfId="218"/>
    <cellStyle name="Normal 2 2 13 2 2" xfId="219"/>
    <cellStyle name="Normal 2 2 13 2 3" xfId="220"/>
    <cellStyle name="Normal 2 2 13 3" xfId="221"/>
    <cellStyle name="Normal 2 2 13 4" xfId="222"/>
    <cellStyle name="Normal 2 2 14" xfId="223"/>
    <cellStyle name="Normal 2 2 14 2" xfId="224"/>
    <cellStyle name="Normal 2 2 15" xfId="225"/>
    <cellStyle name="Normal 2 2 15 2" xfId="226"/>
    <cellStyle name="Normal 2 2 16" xfId="227"/>
    <cellStyle name="Normal 2 2 16 2" xfId="228"/>
    <cellStyle name="Normal 2 2 16 3" xfId="229"/>
    <cellStyle name="Normal 2 2 17" xfId="230"/>
    <cellStyle name="Normal 2 2 18" xfId="231"/>
    <cellStyle name="Normal 2 2 19" xfId="232"/>
    <cellStyle name="Normal 2 2 2" xfId="233"/>
    <cellStyle name="Normal 2 2 2 2" xfId="234"/>
    <cellStyle name="Normal 2 2 2 2 2" xfId="235"/>
    <cellStyle name="Normal 2 2 2 2 3" xfId="236"/>
    <cellStyle name="Normal 2 2 2 3" xfId="237"/>
    <cellStyle name="Normal 2 2 2 3 2" xfId="238"/>
    <cellStyle name="Normal 2 2 2 4" xfId="239"/>
    <cellStyle name="Normal 2 2 2 4 2" xfId="240"/>
    <cellStyle name="Normal 2 2 2 5" xfId="241"/>
    <cellStyle name="Normal 2 2 2 5 2" xfId="242"/>
    <cellStyle name="Normal 2 2 2 6" xfId="243"/>
    <cellStyle name="Normal 2 2 2 6 2" xfId="244"/>
    <cellStyle name="Normal 2 2 2 7" xfId="245"/>
    <cellStyle name="Normal 2 2 2 8" xfId="246"/>
    <cellStyle name="Normal 2 2 20" xfId="247"/>
    <cellStyle name="Normal 2 2 21"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2 5" xfId="276"/>
    <cellStyle name="Normal 2 3 3" xfId="277"/>
    <cellStyle name="Normal 2 3 3 2" xfId="278"/>
    <cellStyle name="Normal 2 3 3 3" xfId="279"/>
    <cellStyle name="Normal 2 3 4" xfId="280"/>
    <cellStyle name="Normal 2 3 5" xfId="281"/>
    <cellStyle name="Normal 2 3 6" xfId="282"/>
    <cellStyle name="Normal 2 3 7" xfId="283"/>
    <cellStyle name="Normal 2 3 8" xfId="284"/>
    <cellStyle name="Normal 2 3 9" xfId="285"/>
    <cellStyle name="Normal 2 4" xfId="286"/>
    <cellStyle name="Normal 2 4 10" xfId="287"/>
    <cellStyle name="Normal 2 4 11" xfId="288"/>
    <cellStyle name="Normal 2 4 12" xfId="289"/>
    <cellStyle name="Normal 2 4 13" xfId="290"/>
    <cellStyle name="Normal 2 4 2" xfId="291"/>
    <cellStyle name="Normal 2 4 2 2" xfId="292"/>
    <cellStyle name="Normal 2 4 2 2 2" xfId="293"/>
    <cellStyle name="Normal 2 4 2 2 3" xfId="294"/>
    <cellStyle name="Normal 2 4 2 3" xfId="295"/>
    <cellStyle name="Normal 2 4 2 4" xfId="296"/>
    <cellStyle name="Normal 2 4 2 5"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2" xfId="338"/>
    <cellStyle name="Normal 2 7 2 2" xfId="339"/>
    <cellStyle name="Normal 2 7 2 3" xfId="340"/>
    <cellStyle name="Normal 2 7 3" xfId="341"/>
    <cellStyle name="Normal 2 7 3 2" xfId="342"/>
    <cellStyle name="Normal 2 7 4" xfId="343"/>
    <cellStyle name="Normal 2 7 4 2" xfId="344"/>
    <cellStyle name="Normal 2 7 5" xfId="345"/>
    <cellStyle name="Normal 2 7 5 2" xfId="346"/>
    <cellStyle name="Normal 2 7 6" xfId="347"/>
    <cellStyle name="Normal 2 7 6 2" xfId="348"/>
    <cellStyle name="Normal 2 7 7" xfId="349"/>
    <cellStyle name="Normal 2 7 7 2" xfId="350"/>
    <cellStyle name="Normal 2 7 8" xfId="351"/>
    <cellStyle name="Normal 2 7 8 2" xfId="352"/>
    <cellStyle name="Normal 2 7 9" xfId="353"/>
    <cellStyle name="Normal 2 8" xfId="354"/>
    <cellStyle name="Normal 2 8 10" xfId="355"/>
    <cellStyle name="Normal 2 8 11" xfId="356"/>
    <cellStyle name="Normal 2 8 2" xfId="357"/>
    <cellStyle name="Normal 2 8 2 2" xfId="358"/>
    <cellStyle name="Normal 2 8 3" xfId="359"/>
    <cellStyle name="Normal 2 8 3 2" xfId="360"/>
    <cellStyle name="Normal 2 8 4" xfId="361"/>
    <cellStyle name="Normal 2 8 4 2" xfId="362"/>
    <cellStyle name="Normal 2 8 5" xfId="363"/>
    <cellStyle name="Normal 2 8 5 2" xfId="364"/>
    <cellStyle name="Normal 2 8 6" xfId="365"/>
    <cellStyle name="Normal 2 8 6 2" xfId="366"/>
    <cellStyle name="Normal 2 8 7" xfId="367"/>
    <cellStyle name="Normal 2 8 7 2" xfId="368"/>
    <cellStyle name="Normal 2 8 8" xfId="369"/>
    <cellStyle name="Normal 2 8 8 2" xfId="370"/>
    <cellStyle name="Normal 2 8 9" xfId="371"/>
    <cellStyle name="Normal 2 9" xfId="372"/>
    <cellStyle name="Normal 2 9 10" xfId="373"/>
    <cellStyle name="Normal 2 9 11" xfId="374"/>
    <cellStyle name="Normal 2 9 2" xfId="375"/>
    <cellStyle name="Normal 2 9 2 2" xfId="376"/>
    <cellStyle name="Normal 2 9 3" xfId="377"/>
    <cellStyle name="Normal 2 9 3 2" xfId="378"/>
    <cellStyle name="Normal 2 9 4" xfId="379"/>
    <cellStyle name="Normal 2 9 4 2" xfId="380"/>
    <cellStyle name="Normal 2 9 5" xfId="381"/>
    <cellStyle name="Normal 2 9 5 2" xfId="382"/>
    <cellStyle name="Normal 2 9 6" xfId="383"/>
    <cellStyle name="Normal 2 9 6 2" xfId="384"/>
    <cellStyle name="Normal 2 9 7" xfId="385"/>
    <cellStyle name="Normal 2 9 7 2" xfId="386"/>
    <cellStyle name="Normal 2 9 8" xfId="387"/>
    <cellStyle name="Normal 2 9 8 2" xfId="388"/>
    <cellStyle name="Normal 2 9 9" xfId="389"/>
    <cellStyle name="Normal 20" xfId="390"/>
    <cellStyle name="Normal 20 2" xfId="391"/>
    <cellStyle name="Normal 20 3" xfId="392"/>
    <cellStyle name="Normal 21" xfId="393"/>
    <cellStyle name="Normal 21 2"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26" xfId="407"/>
    <cellStyle name="Normal 3" xfId="408"/>
    <cellStyle name="Normal 3 2" xfId="409"/>
    <cellStyle name="Normal 3 2 2" xfId="410"/>
    <cellStyle name="Normal 3 2 2 2" xfId="411"/>
    <cellStyle name="Normal 3 2 2 3" xfId="412"/>
    <cellStyle name="Normal 3 2 3" xfId="413"/>
    <cellStyle name="Normal 3 2 4" xfId="414"/>
    <cellStyle name="Normal 3 2 5" xfId="415"/>
    <cellStyle name="Normal 3 3" xfId="416"/>
    <cellStyle name="Normal 3 3 2" xfId="417"/>
    <cellStyle name="Normal 3 3 2 2" xfId="418"/>
    <cellStyle name="Normal 3 3 2 3" xfId="419"/>
    <cellStyle name="Normal 3 3 3" xfId="420"/>
    <cellStyle name="Normal 3 3 4" xfId="421"/>
    <cellStyle name="Normal 3 4" xfId="422"/>
    <cellStyle name="Normal 3 5" xfId="423"/>
    <cellStyle name="Normal 3 6" xfId="424"/>
    <cellStyle name="Normal 3 7" xfId="425"/>
    <cellStyle name="Normal 3 8" xfId="426"/>
    <cellStyle name="Normal 3 9" xfId="427"/>
    <cellStyle name="Normal 4" xfId="428"/>
    <cellStyle name="Normal 4 2" xfId="429"/>
    <cellStyle name="Normal 4 2 2" xfId="430"/>
    <cellStyle name="Normal 4 2 2 2" xfId="431"/>
    <cellStyle name="Normal 4 2 3" xfId="432"/>
    <cellStyle name="Normal 4 2 4"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2 5" xfId="458"/>
    <cellStyle name="Normal 7 3" xfId="459"/>
    <cellStyle name="Normal 7 4" xfId="460"/>
    <cellStyle name="Normal 7 4 2" xfId="461"/>
    <cellStyle name="Normal 7 4 3" xfId="462"/>
    <cellStyle name="Normal 7 5" xfId="463"/>
    <cellStyle name="Normal 7 5 2" xfId="464"/>
    <cellStyle name="Normal 7 5 3" xfId="465"/>
    <cellStyle name="Normal 7 5 4" xfId="466"/>
    <cellStyle name="Normal 7 6" xfId="467"/>
    <cellStyle name="Normal 7 7" xfId="468"/>
    <cellStyle name="Normal 8" xfId="469"/>
    <cellStyle name="Normal 8 2" xfId="470"/>
    <cellStyle name="Normal 9" xfId="471"/>
    <cellStyle name="Normal 9 2" xfId="472"/>
    <cellStyle name="Normal 9 2 2" xfId="473"/>
    <cellStyle name="Normal 9 3" xfId="474"/>
    <cellStyle name="Normal 9 4" xfId="475"/>
    <cellStyle name="Normal 9 5" xfId="476"/>
    <cellStyle name="Normal 9 6" xfId="477"/>
    <cellStyle name="Normal_debt" xfId="478"/>
    <cellStyle name="Normal_lpform" xfId="479"/>
    <cellStyle name="Note" xfId="480"/>
    <cellStyle name="Output" xfId="481"/>
    <cellStyle name="Percent" xfId="482"/>
    <cellStyle name="Title" xfId="483"/>
    <cellStyle name="Total" xfId="484"/>
    <cellStyle name="Warning Text" xfId="485"/>
  </cellStyles>
  <dxfs count="10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jarred@jgppa.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93"/>
  <sheetViews>
    <sheetView zoomScale="90" zoomScaleNormal="90" zoomScalePageLayoutView="0" workbookViewId="0" topLeftCell="A1">
      <selection activeCell="E81" sqref="E81"/>
    </sheetView>
  </sheetViews>
  <sheetFormatPr defaultColWidth="8.8984375" defaultRowHeight="15"/>
  <cols>
    <col min="1" max="1" width="15.69921875" style="5" customWidth="1"/>
    <col min="2" max="2" width="20.69921875" style="5" customWidth="1"/>
    <col min="3" max="3" width="9.69921875" style="5" customWidth="1"/>
    <col min="4" max="4" width="15.09765625" style="5" customWidth="1"/>
    <col min="5" max="5" width="15.69921875" style="5" customWidth="1"/>
    <col min="6" max="6" width="1.8984375" style="5" customWidth="1"/>
    <col min="7" max="7" width="18.69921875" style="5" customWidth="1"/>
    <col min="8" max="16384" width="8.8984375" style="5" customWidth="1"/>
  </cols>
  <sheetData>
    <row r="1" spans="1:5" ht="15">
      <c r="A1" s="3" t="s">
        <v>194</v>
      </c>
      <c r="B1" s="4"/>
      <c r="C1" s="4"/>
      <c r="D1" s="4"/>
      <c r="E1" s="4"/>
    </row>
    <row r="2" spans="1:5" ht="15">
      <c r="A2" s="6" t="s">
        <v>207</v>
      </c>
      <c r="B2" s="4"/>
      <c r="C2" s="4"/>
      <c r="D2" s="7" t="s">
        <v>359</v>
      </c>
      <c r="E2" s="8"/>
    </row>
    <row r="3" spans="1:5" ht="15">
      <c r="A3" s="6" t="s">
        <v>208</v>
      </c>
      <c r="B3" s="4"/>
      <c r="C3" s="4"/>
      <c r="D3" s="9" t="s">
        <v>360</v>
      </c>
      <c r="E3" s="10"/>
    </row>
    <row r="4" spans="1:5" ht="15">
      <c r="A4" s="11"/>
      <c r="B4" s="4"/>
      <c r="C4" s="4"/>
      <c r="D4" s="12"/>
      <c r="E4" s="4"/>
    </row>
    <row r="5" spans="1:5" ht="15">
      <c r="A5" s="6" t="s">
        <v>161</v>
      </c>
      <c r="B5" s="4"/>
      <c r="C5" s="13">
        <v>2014</v>
      </c>
      <c r="D5" s="12"/>
      <c r="E5" s="4"/>
    </row>
    <row r="6" spans="1:5" ht="15">
      <c r="A6" s="4"/>
      <c r="B6" s="4"/>
      <c r="C6" s="4"/>
      <c r="D6" s="4"/>
      <c r="E6" s="4"/>
    </row>
    <row r="7" spans="1:5" ht="15">
      <c r="A7" s="14" t="s">
        <v>234</v>
      </c>
      <c r="B7" s="15"/>
      <c r="C7" s="15"/>
      <c r="D7" s="15"/>
      <c r="E7" s="15"/>
    </row>
    <row r="8" spans="1:8" ht="15.75" customHeight="1">
      <c r="A8" s="14" t="s">
        <v>233</v>
      </c>
      <c r="B8" s="15"/>
      <c r="C8" s="15"/>
      <c r="D8" s="15"/>
      <c r="E8" s="15"/>
      <c r="F8" s="389"/>
      <c r="G8" s="602" t="s">
        <v>355</v>
      </c>
      <c r="H8" s="603"/>
    </row>
    <row r="9" spans="1:8" ht="15">
      <c r="A9" s="16"/>
      <c r="B9" s="15"/>
      <c r="C9" s="15"/>
      <c r="D9" s="15"/>
      <c r="E9" s="15"/>
      <c r="F9" s="389"/>
      <c r="G9" s="604"/>
      <c r="H9" s="603"/>
    </row>
    <row r="10" spans="1:8" ht="15">
      <c r="A10" s="600" t="s">
        <v>203</v>
      </c>
      <c r="B10" s="601"/>
      <c r="C10" s="601"/>
      <c r="D10" s="601"/>
      <c r="E10" s="601"/>
      <c r="F10" s="389"/>
      <c r="G10" s="604"/>
      <c r="H10" s="603"/>
    </row>
    <row r="11" spans="1:8" ht="15">
      <c r="A11" s="17"/>
      <c r="B11" s="17"/>
      <c r="C11" s="17"/>
      <c r="D11" s="17"/>
      <c r="E11" s="17"/>
      <c r="F11" s="389"/>
      <c r="G11" s="604"/>
      <c r="H11" s="603"/>
    </row>
    <row r="12" spans="1:8" ht="15">
      <c r="A12" s="18" t="s">
        <v>204</v>
      </c>
      <c r="B12" s="19"/>
      <c r="C12" s="4"/>
      <c r="D12" s="4"/>
      <c r="E12" s="4"/>
      <c r="F12" s="389"/>
      <c r="G12" s="604"/>
      <c r="H12" s="603"/>
    </row>
    <row r="13" spans="1:8" ht="15">
      <c r="A13" s="20" t="str">
        <f>CONCATENATE("the ",C5-1," Budget, Certificate Page:")</f>
        <v>the 2013 Budget, Certificate Page:</v>
      </c>
      <c r="B13" s="21"/>
      <c r="C13" s="22"/>
      <c r="D13" s="4"/>
      <c r="E13" s="4"/>
      <c r="F13" s="389"/>
      <c r="G13" s="604"/>
      <c r="H13" s="603"/>
    </row>
    <row r="14" spans="1:8" ht="15">
      <c r="A14" s="20" t="s">
        <v>236</v>
      </c>
      <c r="B14" s="21"/>
      <c r="C14" s="22"/>
      <c r="D14" s="4"/>
      <c r="E14" s="4"/>
      <c r="F14" s="389"/>
      <c r="G14" s="389"/>
      <c r="H14" s="4"/>
    </row>
    <row r="15" spans="1:8" ht="15">
      <c r="A15" s="23"/>
      <c r="B15" s="4"/>
      <c r="C15" s="4"/>
      <c r="D15" s="24">
        <f>C5-1</f>
        <v>2013</v>
      </c>
      <c r="E15" s="25">
        <f>$C$5-2</f>
        <v>2012</v>
      </c>
      <c r="G15" s="402" t="s">
        <v>275</v>
      </c>
      <c r="H15" s="119" t="s">
        <v>39</v>
      </c>
    </row>
    <row r="16" spans="1:8" ht="15">
      <c r="A16" s="11" t="s">
        <v>226</v>
      </c>
      <c r="B16" s="4"/>
      <c r="C16" s="26" t="s">
        <v>227</v>
      </c>
      <c r="D16" s="27" t="s">
        <v>235</v>
      </c>
      <c r="E16" s="28" t="s">
        <v>225</v>
      </c>
      <c r="G16" s="403" t="str">
        <f>CONCATENATE("",E15," Ad Valorem Tax")</f>
        <v>2012 Ad Valorem Tax</v>
      </c>
      <c r="H16" s="567">
        <v>0.1</v>
      </c>
    </row>
    <row r="17" spans="1:7" ht="15">
      <c r="A17" s="4"/>
      <c r="B17" s="29" t="s">
        <v>228</v>
      </c>
      <c r="C17" s="119" t="s">
        <v>145</v>
      </c>
      <c r="D17" s="31">
        <v>145056</v>
      </c>
      <c r="E17" s="32">
        <v>27760</v>
      </c>
      <c r="G17" s="401">
        <f>IF(H16&gt;0,ROUND(E17-(E17*H$16),0),0)</f>
        <v>24984</v>
      </c>
    </row>
    <row r="18" spans="1:7" ht="15">
      <c r="A18" s="4"/>
      <c r="B18" s="29" t="s">
        <v>361</v>
      </c>
      <c r="C18" s="119" t="s">
        <v>162</v>
      </c>
      <c r="D18" s="31">
        <v>91990</v>
      </c>
      <c r="E18" s="32">
        <v>21034</v>
      </c>
      <c r="G18" s="401">
        <f>IF(H16&gt;0,ROUND(E18-(E18*H16),0),0)</f>
        <v>18931</v>
      </c>
    </row>
    <row r="19" spans="1:7" ht="15">
      <c r="A19" s="4"/>
      <c r="B19" s="29" t="s">
        <v>274</v>
      </c>
      <c r="C19" s="119" t="s">
        <v>273</v>
      </c>
      <c r="D19" s="31">
        <v>3432</v>
      </c>
      <c r="E19" s="32">
        <v>2404</v>
      </c>
      <c r="G19" s="401">
        <f>IF(H$16&gt;0,ROUND(E19-(E19*H$16),0),0)</f>
        <v>2164</v>
      </c>
    </row>
    <row r="20" spans="1:5" ht="15">
      <c r="A20" s="11" t="s">
        <v>202</v>
      </c>
      <c r="B20" s="4"/>
      <c r="C20" s="4"/>
      <c r="D20" s="33"/>
      <c r="E20" s="34"/>
    </row>
    <row r="21" spans="1:7" ht="15">
      <c r="A21" s="4"/>
      <c r="B21" s="505" t="s">
        <v>362</v>
      </c>
      <c r="C21" s="322" t="s">
        <v>363</v>
      </c>
      <c r="D21" s="32">
        <v>14586</v>
      </c>
      <c r="E21" s="32">
        <v>2404</v>
      </c>
      <c r="G21" s="401">
        <f aca="true" t="shared" si="0" ref="G21:G30">IF(H$16&gt;0,ROUND(E21-(E21*H$16),0),0)</f>
        <v>2164</v>
      </c>
    </row>
    <row r="22" spans="1:7" ht="15">
      <c r="A22" s="4"/>
      <c r="B22" s="35"/>
      <c r="C22" s="323"/>
      <c r="D22" s="32"/>
      <c r="E22" s="32"/>
      <c r="G22" s="401">
        <f t="shared" si="0"/>
        <v>0</v>
      </c>
    </row>
    <row r="23" spans="1:7" ht="15">
      <c r="A23" s="4"/>
      <c r="B23" s="35"/>
      <c r="C23" s="323"/>
      <c r="D23" s="32"/>
      <c r="E23" s="32"/>
      <c r="G23" s="401">
        <f t="shared" si="0"/>
        <v>0</v>
      </c>
    </row>
    <row r="24" spans="1:7" ht="15">
      <c r="A24" s="4"/>
      <c r="B24" s="35"/>
      <c r="C24" s="323"/>
      <c r="D24" s="32"/>
      <c r="E24" s="32"/>
      <c r="G24" s="401">
        <f t="shared" si="0"/>
        <v>0</v>
      </c>
    </row>
    <row r="25" spans="1:7" ht="15">
      <c r="A25" s="4"/>
      <c r="B25" s="35"/>
      <c r="C25" s="323"/>
      <c r="D25" s="32"/>
      <c r="E25" s="32"/>
      <c r="G25" s="401">
        <f t="shared" si="0"/>
        <v>0</v>
      </c>
    </row>
    <row r="26" spans="1:7" ht="15">
      <c r="A26" s="4"/>
      <c r="B26" s="35"/>
      <c r="C26" s="323"/>
      <c r="D26" s="32"/>
      <c r="E26" s="32"/>
      <c r="G26" s="401">
        <f t="shared" si="0"/>
        <v>0</v>
      </c>
    </row>
    <row r="27" spans="1:7" ht="15">
      <c r="A27" s="4"/>
      <c r="B27" s="35"/>
      <c r="C27" s="323"/>
      <c r="D27" s="32"/>
      <c r="E27" s="32"/>
      <c r="G27" s="401">
        <f t="shared" si="0"/>
        <v>0</v>
      </c>
    </row>
    <row r="28" spans="1:7" ht="15">
      <c r="A28" s="4"/>
      <c r="B28" s="35"/>
      <c r="C28" s="323"/>
      <c r="D28" s="32"/>
      <c r="E28" s="32"/>
      <c r="G28" s="401">
        <f t="shared" si="0"/>
        <v>0</v>
      </c>
    </row>
    <row r="29" spans="1:7" ht="15">
      <c r="A29" s="4"/>
      <c r="B29" s="35"/>
      <c r="C29" s="323"/>
      <c r="D29" s="32"/>
      <c r="E29" s="32"/>
      <c r="G29" s="401">
        <f t="shared" si="0"/>
        <v>0</v>
      </c>
    </row>
    <row r="30" spans="1:7" ht="15">
      <c r="A30" s="4"/>
      <c r="B30" s="35"/>
      <c r="C30" s="323"/>
      <c r="D30" s="32"/>
      <c r="E30" s="32"/>
      <c r="G30" s="401">
        <f t="shared" si="0"/>
        <v>0</v>
      </c>
    </row>
    <row r="31" spans="1:5" ht="15">
      <c r="A31" s="36" t="str">
        <f>CONCATENATE("Total Tax Levy Funds for ",C5-1," Budgeted Year")</f>
        <v>Total Tax Levy Funds for 2013 Budgeted Year</v>
      </c>
      <c r="B31" s="37"/>
      <c r="C31" s="37"/>
      <c r="D31" s="38"/>
      <c r="E31" s="39">
        <f>SUM(E17:E30)</f>
        <v>53602</v>
      </c>
    </row>
    <row r="32" spans="1:5" ht="15">
      <c r="A32" s="11"/>
      <c r="B32" s="4"/>
      <c r="C32" s="4"/>
      <c r="D32" s="40"/>
      <c r="E32" s="34"/>
    </row>
    <row r="33" spans="1:5" ht="15">
      <c r="A33" s="11" t="s">
        <v>163</v>
      </c>
      <c r="B33" s="4"/>
      <c r="C33" s="4"/>
      <c r="D33" s="4"/>
      <c r="E33" s="4"/>
    </row>
    <row r="34" spans="1:5" ht="15">
      <c r="A34" s="4"/>
      <c r="B34" s="41" t="s">
        <v>121</v>
      </c>
      <c r="C34" s="42"/>
      <c r="D34" s="31">
        <v>26075</v>
      </c>
      <c r="E34" s="42"/>
    </row>
    <row r="35" spans="1:5" ht="15">
      <c r="A35" s="4"/>
      <c r="B35" s="506" t="s">
        <v>364</v>
      </c>
      <c r="C35" s="42"/>
      <c r="D35" s="31">
        <v>4457</v>
      </c>
      <c r="E35" s="42"/>
    </row>
    <row r="36" spans="1:5" ht="15">
      <c r="A36" s="4"/>
      <c r="B36" s="506" t="s">
        <v>365</v>
      </c>
      <c r="C36" s="42"/>
      <c r="D36" s="31">
        <v>134195</v>
      </c>
      <c r="E36" s="42"/>
    </row>
    <row r="37" spans="1:5" ht="15">
      <c r="A37" s="4"/>
      <c r="B37" s="506" t="s">
        <v>366</v>
      </c>
      <c r="C37" s="42"/>
      <c r="D37" s="31">
        <v>98242</v>
      </c>
      <c r="E37" s="42"/>
    </row>
    <row r="38" spans="1:5" ht="15">
      <c r="A38" s="4"/>
      <c r="B38" s="506" t="s">
        <v>367</v>
      </c>
      <c r="C38" s="42"/>
      <c r="D38" s="31">
        <v>479623</v>
      </c>
      <c r="E38" s="42"/>
    </row>
    <row r="39" spans="1:5" ht="15">
      <c r="A39" s="4"/>
      <c r="B39" s="506"/>
      <c r="C39" s="42"/>
      <c r="D39" s="31"/>
      <c r="E39" s="42"/>
    </row>
    <row r="40" spans="1:5" ht="15">
      <c r="A40" s="43"/>
      <c r="B40" s="505"/>
      <c r="C40" s="44"/>
      <c r="D40" s="31"/>
      <c r="E40" s="45"/>
    </row>
    <row r="41" spans="1:5" ht="15">
      <c r="A41" s="43"/>
      <c r="B41" s="505"/>
      <c r="C41" s="42"/>
      <c r="D41" s="31"/>
      <c r="E41" s="45"/>
    </row>
    <row r="42" spans="1:5" ht="15">
      <c r="A42" s="43"/>
      <c r="B42" s="45"/>
      <c r="C42" s="42"/>
      <c r="D42" s="45"/>
      <c r="E42" s="45"/>
    </row>
    <row r="43" spans="1:5" ht="15">
      <c r="A43" s="43" t="s">
        <v>198</v>
      </c>
      <c r="B43" s="42"/>
      <c r="C43" s="42"/>
      <c r="D43" s="42"/>
      <c r="E43" s="45"/>
    </row>
    <row r="44" spans="1:5" ht="15">
      <c r="A44" s="46">
        <v>1</v>
      </c>
      <c r="B44" s="505"/>
      <c r="C44" s="42"/>
      <c r="D44" s="31"/>
      <c r="E44" s="45"/>
    </row>
    <row r="45" spans="1:5" ht="15">
      <c r="A45" s="46">
        <v>2</v>
      </c>
      <c r="B45" s="505"/>
      <c r="C45" s="42"/>
      <c r="D45" s="31"/>
      <c r="E45" s="45"/>
    </row>
    <row r="46" spans="1:5" ht="15">
      <c r="A46" s="46">
        <v>3</v>
      </c>
      <c r="B46" s="505"/>
      <c r="C46" s="42"/>
      <c r="D46" s="31"/>
      <c r="E46" s="45"/>
    </row>
    <row r="47" spans="1:5" ht="15">
      <c r="A47" s="46">
        <v>4</v>
      </c>
      <c r="B47" s="505"/>
      <c r="C47" s="42"/>
      <c r="D47" s="31"/>
      <c r="E47" s="45"/>
    </row>
    <row r="48" spans="1:5" ht="15">
      <c r="A48" s="36" t="str">
        <f>CONCATENATE("Total Expenditures for ",C5-1," Budgeted Year")</f>
        <v>Total Expenditures for 2013 Budgeted Year</v>
      </c>
      <c r="B48" s="37"/>
      <c r="C48" s="37"/>
      <c r="D48" s="39">
        <f>SUM(D17:D19,D21:D30,D34:D41,D44:D47)</f>
        <v>997656</v>
      </c>
      <c r="E48" s="4"/>
    </row>
    <row r="49" spans="1:5" ht="15">
      <c r="A49" s="43"/>
      <c r="B49" s="42"/>
      <c r="C49" s="42"/>
      <c r="D49" s="4"/>
      <c r="E49" s="4"/>
    </row>
    <row r="50" spans="1:5" ht="15">
      <c r="A50" s="43" t="s">
        <v>199</v>
      </c>
      <c r="B50" s="42"/>
      <c r="C50" s="42"/>
      <c r="D50" s="42"/>
      <c r="E50" s="4"/>
    </row>
    <row r="51" spans="1:5" ht="15">
      <c r="A51" s="46">
        <v>1</v>
      </c>
      <c r="B51" s="594" t="s">
        <v>376</v>
      </c>
      <c r="C51" s="42"/>
      <c r="D51" s="42"/>
      <c r="E51" s="4"/>
    </row>
    <row r="52" spans="1:5" ht="15">
      <c r="A52" s="46">
        <v>2</v>
      </c>
      <c r="B52" s="594" t="s">
        <v>433</v>
      </c>
      <c r="C52" s="42"/>
      <c r="D52" s="42"/>
      <c r="E52" s="4"/>
    </row>
    <row r="53" spans="1:5" ht="15">
      <c r="A53" s="46">
        <v>3</v>
      </c>
      <c r="B53" s="594" t="s">
        <v>434</v>
      </c>
      <c r="C53" s="42"/>
      <c r="D53" s="42"/>
      <c r="E53" s="4"/>
    </row>
    <row r="54" spans="1:5" ht="15">
      <c r="A54" s="46">
        <v>4</v>
      </c>
      <c r="B54" s="505"/>
      <c r="C54" s="42"/>
      <c r="D54" s="42"/>
      <c r="E54" s="4"/>
    </row>
    <row r="55" spans="1:5" ht="15">
      <c r="A55" s="46">
        <v>5</v>
      </c>
      <c r="B55" s="505"/>
      <c r="C55" s="42"/>
      <c r="D55" s="42"/>
      <c r="E55" s="4"/>
    </row>
    <row r="56" spans="1:5" ht="15">
      <c r="A56" s="43" t="s">
        <v>173</v>
      </c>
      <c r="B56" s="42"/>
      <c r="C56" s="42"/>
      <c r="D56" s="42"/>
      <c r="E56" s="4"/>
    </row>
    <row r="57" spans="1:5" ht="15">
      <c r="A57" s="46">
        <v>1</v>
      </c>
      <c r="B57" s="505"/>
      <c r="C57" s="42"/>
      <c r="D57" s="42"/>
      <c r="E57" s="4"/>
    </row>
    <row r="58" spans="1:5" ht="15">
      <c r="A58" s="46">
        <v>2</v>
      </c>
      <c r="B58" s="505"/>
      <c r="C58" s="42"/>
      <c r="D58" s="42"/>
      <c r="E58" s="4"/>
    </row>
    <row r="59" spans="1:5" ht="15">
      <c r="A59" s="46">
        <v>3</v>
      </c>
      <c r="B59" s="505"/>
      <c r="C59" s="42"/>
      <c r="D59" s="42"/>
      <c r="E59" s="4"/>
    </row>
    <row r="60" spans="1:5" ht="15">
      <c r="A60" s="46">
        <v>4</v>
      </c>
      <c r="B60" s="505"/>
      <c r="C60" s="42"/>
      <c r="D60" s="42"/>
      <c r="E60" s="4"/>
    </row>
    <row r="61" spans="1:5" ht="18" customHeight="1">
      <c r="A61" s="46">
        <v>5</v>
      </c>
      <c r="B61" s="505"/>
      <c r="C61" s="4"/>
      <c r="D61" s="4"/>
      <c r="E61" s="4"/>
    </row>
    <row r="62" spans="1:5" ht="15">
      <c r="A62" s="4"/>
      <c r="B62" s="4"/>
      <c r="C62" s="4"/>
      <c r="D62" s="47" t="str">
        <f>CONCATENATE("",C5-3," Tax Rate")</f>
        <v>2011 Tax Rate</v>
      </c>
      <c r="E62" s="4"/>
    </row>
    <row r="63" spans="1:5" ht="15">
      <c r="A63" s="48" t="str">
        <f>CONCATENATE("From the ",C5-1," Budget, Budget Summary Page")</f>
        <v>From the 2013 Budget, Budget Summary Page</v>
      </c>
      <c r="B63" s="19"/>
      <c r="C63" s="4"/>
      <c r="D63" s="49" t="str">
        <f>CONCATENATE("(",C5-2," Column)")</f>
        <v>(2012 Column)</v>
      </c>
      <c r="E63" s="4"/>
    </row>
    <row r="64" spans="1:5" ht="15">
      <c r="A64" s="4"/>
      <c r="B64" s="50" t="str">
        <f>B17</f>
        <v>General</v>
      </c>
      <c r="C64" s="51"/>
      <c r="D64" s="52">
        <v>46.866</v>
      </c>
      <c r="E64" s="4"/>
    </row>
    <row r="65" spans="1:5" ht="15">
      <c r="A65" s="4"/>
      <c r="B65" s="50" t="str">
        <f>B18</f>
        <v>G. O. Bond and Interest</v>
      </c>
      <c r="C65" s="51"/>
      <c r="D65" s="52">
        <v>34.999</v>
      </c>
      <c r="E65" s="4"/>
    </row>
    <row r="66" spans="1:5" ht="15">
      <c r="A66" s="4"/>
      <c r="B66" s="50" t="str">
        <f>B19</f>
        <v>Library</v>
      </c>
      <c r="C66" s="30"/>
      <c r="D66" s="52">
        <v>4</v>
      </c>
      <c r="E66" s="4"/>
    </row>
    <row r="67" spans="1:5" ht="15">
      <c r="A67" s="4"/>
      <c r="B67" s="50" t="str">
        <f aca="true" t="shared" si="1" ref="B67:B76">B21</f>
        <v>Special Liabilty</v>
      </c>
      <c r="C67" s="30"/>
      <c r="D67" s="52">
        <v>4</v>
      </c>
      <c r="E67" s="4"/>
    </row>
    <row r="68" spans="1:5" ht="15">
      <c r="A68" s="4"/>
      <c r="B68" s="50">
        <f t="shared" si="1"/>
        <v>0</v>
      </c>
      <c r="C68" s="30"/>
      <c r="D68" s="52"/>
      <c r="E68" s="4"/>
    </row>
    <row r="69" spans="1:5" ht="15">
      <c r="A69" s="4"/>
      <c r="B69" s="50">
        <f t="shared" si="1"/>
        <v>0</v>
      </c>
      <c r="C69" s="30"/>
      <c r="D69" s="52"/>
      <c r="E69" s="4"/>
    </row>
    <row r="70" spans="1:5" ht="15">
      <c r="A70" s="4"/>
      <c r="B70" s="50">
        <f t="shared" si="1"/>
        <v>0</v>
      </c>
      <c r="C70" s="30"/>
      <c r="D70" s="52"/>
      <c r="E70" s="4"/>
    </row>
    <row r="71" spans="1:5" ht="15">
      <c r="A71" s="4"/>
      <c r="B71" s="50">
        <f t="shared" si="1"/>
        <v>0</v>
      </c>
      <c r="C71" s="30"/>
      <c r="D71" s="52"/>
      <c r="E71" s="4"/>
    </row>
    <row r="72" spans="1:5" ht="15">
      <c r="A72" s="4"/>
      <c r="B72" s="50">
        <f t="shared" si="1"/>
        <v>0</v>
      </c>
      <c r="C72" s="30"/>
      <c r="D72" s="52"/>
      <c r="E72" s="4"/>
    </row>
    <row r="73" spans="1:5" ht="15">
      <c r="A73" s="4"/>
      <c r="B73" s="50">
        <f t="shared" si="1"/>
        <v>0</v>
      </c>
      <c r="C73" s="30"/>
      <c r="D73" s="52"/>
      <c r="E73" s="4"/>
    </row>
    <row r="74" spans="1:5" ht="15">
      <c r="A74" s="4"/>
      <c r="B74" s="50">
        <f t="shared" si="1"/>
        <v>0</v>
      </c>
      <c r="C74" s="30"/>
      <c r="D74" s="52"/>
      <c r="E74" s="4"/>
    </row>
    <row r="75" spans="1:5" ht="15">
      <c r="A75" s="4"/>
      <c r="B75" s="50">
        <f t="shared" si="1"/>
        <v>0</v>
      </c>
      <c r="C75" s="30"/>
      <c r="D75" s="52"/>
      <c r="E75" s="4"/>
    </row>
    <row r="76" spans="1:5" ht="15">
      <c r="A76" s="4"/>
      <c r="B76" s="50">
        <f t="shared" si="1"/>
        <v>0</v>
      </c>
      <c r="C76" s="30"/>
      <c r="D76" s="52"/>
      <c r="E76" s="4"/>
    </row>
    <row r="77" spans="1:5" ht="15">
      <c r="A77" s="11" t="s">
        <v>229</v>
      </c>
      <c r="B77" s="4"/>
      <c r="C77" s="4"/>
      <c r="D77" s="53">
        <f>SUM(D64:D76)</f>
        <v>89.86500000000001</v>
      </c>
      <c r="E77" s="4"/>
    </row>
    <row r="78" spans="1:5" ht="15">
      <c r="A78" s="4"/>
      <c r="B78" s="4"/>
      <c r="C78" s="4"/>
      <c r="D78" s="4"/>
      <c r="E78" s="4"/>
    </row>
    <row r="79" spans="1:5" ht="15">
      <c r="A79" s="54" t="str">
        <f>CONCATENATE("Total Tax Levied (",C5-2," budget column)")</f>
        <v>Total Tax Levied (2012 budget column)</v>
      </c>
      <c r="B79" s="55"/>
      <c r="C79" s="37"/>
      <c r="D79" s="56"/>
      <c r="E79" s="32">
        <v>53019</v>
      </c>
    </row>
    <row r="80" spans="1:5" ht="15">
      <c r="A80" s="54" t="str">
        <f>CONCATENATE("Assessed Valuation  (",C5-2," budget column)")</f>
        <v>Assessed Valuation  (2012 budget column)</v>
      </c>
      <c r="B80" s="57"/>
      <c r="C80" s="58"/>
      <c r="D80" s="59"/>
      <c r="E80" s="32">
        <v>589984</v>
      </c>
    </row>
    <row r="81" spans="1:5" ht="15">
      <c r="A81" s="4"/>
      <c r="B81" s="4"/>
      <c r="C81" s="4"/>
      <c r="D81" s="22"/>
      <c r="E81" s="33"/>
    </row>
    <row r="82" spans="1:5" ht="15">
      <c r="A82" s="19" t="s">
        <v>211</v>
      </c>
      <c r="B82" s="19"/>
      <c r="C82" s="60"/>
      <c r="D82" s="61">
        <f>C5-3</f>
        <v>2011</v>
      </c>
      <c r="E82" s="62">
        <f>C5-2</f>
        <v>2012</v>
      </c>
    </row>
    <row r="83" spans="1:5" ht="15">
      <c r="A83" s="55" t="s">
        <v>164</v>
      </c>
      <c r="B83" s="55"/>
      <c r="C83" s="63"/>
      <c r="D83" s="31">
        <v>525000</v>
      </c>
      <c r="E83" s="31">
        <v>490000</v>
      </c>
    </row>
    <row r="84" spans="1:5" ht="15">
      <c r="A84" s="57" t="s">
        <v>165</v>
      </c>
      <c r="B84" s="57"/>
      <c r="C84" s="64"/>
      <c r="D84" s="31"/>
      <c r="E84" s="31"/>
    </row>
    <row r="85" spans="1:5" ht="15">
      <c r="A85" s="57" t="s">
        <v>166</v>
      </c>
      <c r="B85" s="57"/>
      <c r="C85" s="64"/>
      <c r="D85" s="31"/>
      <c r="E85" s="31"/>
    </row>
    <row r="86" spans="1:5" ht="15">
      <c r="A86" s="57" t="s">
        <v>167</v>
      </c>
      <c r="B86" s="57"/>
      <c r="C86" s="64"/>
      <c r="D86" s="31"/>
      <c r="E86" s="31"/>
    </row>
    <row r="93" spans="1:5" s="65" customFormat="1" ht="15">
      <c r="A93" s="5"/>
      <c r="B93" s="5"/>
      <c r="C93" s="5"/>
      <c r="D93" s="5"/>
      <c r="E93" s="5"/>
    </row>
  </sheetData>
  <sheetProtection/>
  <mergeCells count="2">
    <mergeCell ref="A10:E10"/>
    <mergeCell ref="G8:H13"/>
  </mergeCells>
  <printOptions/>
  <pageMargins left="0.5" right="0.5" top="1" bottom="0.5" header="0.5" footer="0.25"/>
  <pageSetup blackAndWhite="1" fitToHeight="2" fitToWidth="1" horizontalDpi="600" verticalDpi="600" orientation="portrait" scale="83" r:id="rId1"/>
</worksheet>
</file>

<file path=xl/worksheets/sheet1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0">
      <selection activeCell="B40" sqref="B40"/>
    </sheetView>
  </sheetViews>
  <sheetFormatPr defaultColWidth="8.8984375" defaultRowHeight="15"/>
  <cols>
    <col min="1" max="1" width="2.59765625" style="464" customWidth="1"/>
    <col min="2" max="4" width="8.8984375" style="464" customWidth="1"/>
    <col min="5" max="5" width="9.69921875" style="464" customWidth="1"/>
    <col min="6" max="6" width="8.8984375" style="464" customWidth="1"/>
    <col min="7" max="7" width="9.69921875" style="464" customWidth="1"/>
    <col min="8" max="16384" width="8.8984375" style="464" customWidth="1"/>
  </cols>
  <sheetData>
    <row r="1" spans="2:9" ht="15">
      <c r="B1" s="463"/>
      <c r="C1" s="463"/>
      <c r="D1" s="463"/>
      <c r="E1" s="463"/>
      <c r="F1" s="463"/>
      <c r="G1" s="463"/>
      <c r="H1" s="463"/>
      <c r="I1" s="463"/>
    </row>
    <row r="2" spans="2:9" ht="15">
      <c r="B2" s="640" t="s">
        <v>286</v>
      </c>
      <c r="C2" s="640"/>
      <c r="D2" s="640"/>
      <c r="E2" s="640"/>
      <c r="F2" s="640"/>
      <c r="G2" s="640"/>
      <c r="H2" s="640"/>
      <c r="I2" s="640"/>
    </row>
    <row r="3" spans="2:9" ht="15">
      <c r="B3" s="640" t="s">
        <v>287</v>
      </c>
      <c r="C3" s="640"/>
      <c r="D3" s="640"/>
      <c r="E3" s="640"/>
      <c r="F3" s="640"/>
      <c r="G3" s="640"/>
      <c r="H3" s="640"/>
      <c r="I3" s="640"/>
    </row>
    <row r="4" spans="2:9" ht="15">
      <c r="B4" s="465"/>
      <c r="C4" s="465"/>
      <c r="D4" s="465"/>
      <c r="E4" s="465"/>
      <c r="F4" s="465"/>
      <c r="G4" s="465"/>
      <c r="H4" s="465"/>
      <c r="I4" s="465"/>
    </row>
    <row r="5" spans="2:9" ht="15">
      <c r="B5" s="641" t="str">
        <f>CONCATENATE("Budgeted Year: ",inputPrYr!C5,"")</f>
        <v>Budgeted Year: 2014</v>
      </c>
      <c r="C5" s="641"/>
      <c r="D5" s="641"/>
      <c r="E5" s="641"/>
      <c r="F5" s="641"/>
      <c r="G5" s="641"/>
      <c r="H5" s="641"/>
      <c r="I5" s="641"/>
    </row>
    <row r="6" spans="2:9" ht="15">
      <c r="B6" s="466"/>
      <c r="C6" s="465"/>
      <c r="D6" s="465"/>
      <c r="E6" s="465"/>
      <c r="F6" s="465"/>
      <c r="G6" s="465"/>
      <c r="H6" s="465"/>
      <c r="I6" s="465"/>
    </row>
    <row r="7" spans="2:9" ht="15">
      <c r="B7" s="466" t="str">
        <f>CONCATENATE("Library found in: ",inputPrYr!D2,"")</f>
        <v>Library found in: City of Toronto</v>
      </c>
      <c r="C7" s="465"/>
      <c r="D7" s="465"/>
      <c r="E7" s="465"/>
      <c r="F7" s="465"/>
      <c r="G7" s="465"/>
      <c r="H7" s="465"/>
      <c r="I7" s="465"/>
    </row>
    <row r="8" spans="2:9" ht="15">
      <c r="B8" s="466" t="str">
        <f>inputPrYr!D3</f>
        <v>Woodson</v>
      </c>
      <c r="C8" s="465"/>
      <c r="D8" s="465"/>
      <c r="E8" s="465"/>
      <c r="F8" s="465"/>
      <c r="G8" s="465"/>
      <c r="H8" s="465"/>
      <c r="I8" s="465"/>
    </row>
    <row r="9" spans="2:9" ht="15">
      <c r="B9" s="465"/>
      <c r="C9" s="465"/>
      <c r="D9" s="465"/>
      <c r="E9" s="465"/>
      <c r="F9" s="465"/>
      <c r="G9" s="465"/>
      <c r="H9" s="465"/>
      <c r="I9" s="465"/>
    </row>
    <row r="10" spans="2:9" ht="39" customHeight="1">
      <c r="B10" s="642" t="s">
        <v>288</v>
      </c>
      <c r="C10" s="642"/>
      <c r="D10" s="642"/>
      <c r="E10" s="642"/>
      <c r="F10" s="642"/>
      <c r="G10" s="642"/>
      <c r="H10" s="642"/>
      <c r="I10" s="642"/>
    </row>
    <row r="11" spans="2:9" ht="15">
      <c r="B11" s="465"/>
      <c r="C11" s="465"/>
      <c r="D11" s="465"/>
      <c r="E11" s="465"/>
      <c r="F11" s="465"/>
      <c r="G11" s="465"/>
      <c r="H11" s="465"/>
      <c r="I11" s="465"/>
    </row>
    <row r="12" spans="2:9" ht="15">
      <c r="B12" s="467" t="s">
        <v>289</v>
      </c>
      <c r="C12" s="465"/>
      <c r="D12" s="465"/>
      <c r="E12" s="465"/>
      <c r="F12" s="465"/>
      <c r="G12" s="465"/>
      <c r="H12" s="465"/>
      <c r="I12" s="465"/>
    </row>
    <row r="13" spans="2:9" ht="15">
      <c r="B13" s="465"/>
      <c r="C13" s="465"/>
      <c r="D13" s="465"/>
      <c r="E13" s="468" t="s">
        <v>280</v>
      </c>
      <c r="F13" s="465"/>
      <c r="G13" s="468" t="s">
        <v>290</v>
      </c>
      <c r="H13" s="465"/>
      <c r="I13" s="465"/>
    </row>
    <row r="14" spans="2:9" ht="15">
      <c r="B14" s="465"/>
      <c r="C14" s="465"/>
      <c r="D14" s="465"/>
      <c r="E14" s="469">
        <f>inputPrYr!C5-1</f>
        <v>2013</v>
      </c>
      <c r="F14" s="465"/>
      <c r="G14" s="469">
        <f>inputPrYr!C5</f>
        <v>2014</v>
      </c>
      <c r="H14" s="465"/>
      <c r="I14" s="465"/>
    </row>
    <row r="15" spans="2:9" ht="15">
      <c r="B15" s="466" t="str">
        <f>'DebtSvs-Library'!B48</f>
        <v>Ad Valorem Tax</v>
      </c>
      <c r="C15" s="465"/>
      <c r="D15" s="465"/>
      <c r="E15" s="470">
        <f>'DebtSvs-Library'!D48</f>
        <v>2164</v>
      </c>
      <c r="F15" s="465"/>
      <c r="G15" s="470">
        <f>'DebtSvs-Library'!E80</f>
        <v>2465</v>
      </c>
      <c r="H15" s="465"/>
      <c r="I15" s="465"/>
    </row>
    <row r="16" spans="2:9" ht="15">
      <c r="B16" s="466" t="str">
        <f>'DebtSvs-Library'!B49</f>
        <v>Delinquent Tax</v>
      </c>
      <c r="C16" s="465"/>
      <c r="D16" s="465"/>
      <c r="E16" s="470">
        <f>'DebtSvs-Library'!D49</f>
        <v>240</v>
      </c>
      <c r="F16" s="465"/>
      <c r="G16" s="470">
        <f>'DebtSvs-Library'!E49</f>
        <v>240</v>
      </c>
      <c r="H16" s="465"/>
      <c r="I16" s="465"/>
    </row>
    <row r="17" spans="2:9" ht="15">
      <c r="B17" s="466" t="str">
        <f>'DebtSvs-Library'!B50</f>
        <v>Motor Vehicle Tax</v>
      </c>
      <c r="C17" s="465"/>
      <c r="D17" s="465"/>
      <c r="E17" s="470">
        <f>'DebtSvs-Library'!D50</f>
        <v>476</v>
      </c>
      <c r="F17" s="465"/>
      <c r="G17" s="470">
        <f>'DebtSvs-Library'!E50</f>
        <v>324</v>
      </c>
      <c r="H17" s="465"/>
      <c r="I17" s="465"/>
    </row>
    <row r="18" spans="2:9" ht="15">
      <c r="B18" s="466" t="str">
        <f>'DebtSvs-Library'!B51</f>
        <v>Recreational Vehicle Tax</v>
      </c>
      <c r="C18" s="465"/>
      <c r="D18" s="465"/>
      <c r="E18" s="470">
        <f>'DebtSvs-Library'!D51</f>
        <v>9</v>
      </c>
      <c r="F18" s="465"/>
      <c r="G18" s="470">
        <f>'DebtSvs-Library'!E51</f>
        <v>9</v>
      </c>
      <c r="H18" s="465"/>
      <c r="I18" s="465"/>
    </row>
    <row r="19" spans="2:9" ht="15">
      <c r="B19" s="466" t="str">
        <f>'DebtSvs-Library'!B52</f>
        <v>16/20M Vehicle Tax</v>
      </c>
      <c r="C19" s="465"/>
      <c r="D19" s="465"/>
      <c r="E19" s="470">
        <f>'DebtSvs-Library'!D52</f>
        <v>60</v>
      </c>
      <c r="F19" s="465"/>
      <c r="G19" s="470">
        <f>'DebtSvs-Library'!E52</f>
        <v>60</v>
      </c>
      <c r="H19" s="465"/>
      <c r="I19" s="465"/>
    </row>
    <row r="20" spans="2:9" ht="15">
      <c r="B20" s="465" t="s">
        <v>158</v>
      </c>
      <c r="C20" s="465"/>
      <c r="D20" s="465"/>
      <c r="E20" s="470">
        <v>0</v>
      </c>
      <c r="F20" s="465"/>
      <c r="G20" s="470">
        <v>0</v>
      </c>
      <c r="H20" s="465"/>
      <c r="I20" s="465"/>
    </row>
    <row r="21" spans="2:9" ht="15">
      <c r="B21" s="465"/>
      <c r="C21" s="465"/>
      <c r="D21" s="465"/>
      <c r="E21" s="470">
        <v>0</v>
      </c>
      <c r="F21" s="465"/>
      <c r="G21" s="470">
        <v>0</v>
      </c>
      <c r="H21" s="465"/>
      <c r="I21" s="465"/>
    </row>
    <row r="22" spans="2:9" ht="15">
      <c r="B22" s="465" t="s">
        <v>291</v>
      </c>
      <c r="C22" s="465"/>
      <c r="D22" s="465"/>
      <c r="E22" s="471">
        <f>SUM(E15:E21)</f>
        <v>2949</v>
      </c>
      <c r="F22" s="465"/>
      <c r="G22" s="471">
        <f>SUM(G15:G21)</f>
        <v>3098</v>
      </c>
      <c r="H22" s="465"/>
      <c r="I22" s="465"/>
    </row>
    <row r="23" spans="2:9" ht="15">
      <c r="B23" s="465" t="s">
        <v>292</v>
      </c>
      <c r="C23" s="465"/>
      <c r="D23" s="465"/>
      <c r="E23" s="472">
        <f>G22-E22</f>
        <v>149</v>
      </c>
      <c r="F23" s="465"/>
      <c r="G23" s="473"/>
      <c r="H23" s="465"/>
      <c r="I23" s="465"/>
    </row>
    <row r="24" spans="2:9" ht="15">
      <c r="B24" s="465" t="s">
        <v>293</v>
      </c>
      <c r="C24" s="465"/>
      <c r="D24" s="474" t="str">
        <f>IF((G22-E22)&gt;0,"Qualify","Not Qualify")</f>
        <v>Qualify</v>
      </c>
      <c r="E24" s="465"/>
      <c r="F24" s="465"/>
      <c r="G24" s="465"/>
      <c r="H24" s="465"/>
      <c r="I24" s="465"/>
    </row>
    <row r="25" spans="2:9" ht="15">
      <c r="B25" s="465"/>
      <c r="C25" s="465"/>
      <c r="D25" s="465"/>
      <c r="E25" s="465"/>
      <c r="F25" s="465"/>
      <c r="G25" s="465"/>
      <c r="H25" s="465"/>
      <c r="I25" s="465"/>
    </row>
    <row r="26" spans="2:9" ht="15">
      <c r="B26" s="467" t="s">
        <v>294</v>
      </c>
      <c r="C26" s="465"/>
      <c r="D26" s="465"/>
      <c r="E26" s="465"/>
      <c r="F26" s="465"/>
      <c r="G26" s="465"/>
      <c r="H26" s="465"/>
      <c r="I26" s="465"/>
    </row>
    <row r="27" spans="2:9" ht="15">
      <c r="B27" s="465" t="s">
        <v>295</v>
      </c>
      <c r="C27" s="465"/>
      <c r="D27" s="465"/>
      <c r="E27" s="470">
        <f>summ!D31</f>
        <v>600989</v>
      </c>
      <c r="F27" s="465"/>
      <c r="G27" s="470">
        <f>summ!F31</f>
        <v>616274</v>
      </c>
      <c r="H27" s="465"/>
      <c r="I27" s="465"/>
    </row>
    <row r="28" spans="2:9" ht="15">
      <c r="B28" s="465" t="s">
        <v>296</v>
      </c>
      <c r="C28" s="465"/>
      <c r="D28" s="465"/>
      <c r="E28" s="475" t="str">
        <f>IF(G27-E27&gt;=0,"No","Yes")</f>
        <v>No</v>
      </c>
      <c r="F28" s="465"/>
      <c r="G28" s="465"/>
      <c r="H28" s="465"/>
      <c r="I28" s="465"/>
    </row>
    <row r="29" spans="2:9" ht="15">
      <c r="B29" s="465" t="s">
        <v>297</v>
      </c>
      <c r="C29" s="465"/>
      <c r="D29" s="465"/>
      <c r="E29" s="468">
        <f>summ!E18</f>
        <v>4</v>
      </c>
      <c r="F29" s="465"/>
      <c r="G29" s="483">
        <f>summ!H18</f>
        <v>4</v>
      </c>
      <c r="H29" s="465"/>
      <c r="I29" s="465"/>
    </row>
    <row r="30" spans="2:9" ht="15">
      <c r="B30" s="465" t="s">
        <v>298</v>
      </c>
      <c r="C30" s="465"/>
      <c r="D30" s="465"/>
      <c r="E30" s="484">
        <f>G29-E29</f>
        <v>0</v>
      </c>
      <c r="F30" s="465"/>
      <c r="G30" s="465"/>
      <c r="H30" s="465"/>
      <c r="I30" s="465"/>
    </row>
    <row r="31" spans="2:9" ht="15">
      <c r="B31" s="465" t="s">
        <v>293</v>
      </c>
      <c r="C31" s="465"/>
      <c r="D31" s="476" t="str">
        <f>IF(E30&gt;=0,"Qualify","Not Qualify")</f>
        <v>Qualify</v>
      </c>
      <c r="E31" s="465"/>
      <c r="F31" s="465"/>
      <c r="G31" s="465"/>
      <c r="H31" s="465"/>
      <c r="I31" s="465"/>
    </row>
    <row r="32" spans="2:9" ht="15">
      <c r="B32" s="465"/>
      <c r="C32" s="465"/>
      <c r="D32" s="465"/>
      <c r="E32" s="465"/>
      <c r="F32" s="465"/>
      <c r="G32" s="465"/>
      <c r="H32" s="465"/>
      <c r="I32" s="465"/>
    </row>
    <row r="33" spans="2:9" ht="15">
      <c r="B33" s="465" t="s">
        <v>299</v>
      </c>
      <c r="C33" s="465"/>
      <c r="D33" s="465"/>
      <c r="E33" s="465"/>
      <c r="F33" s="485" t="str">
        <f>IF(D24="Not Qualify",IF(D31="Not Qualify",IF(D31="Not Qualify","Not Qualify","Qualify"),"Qualify"),"Qualify")</f>
        <v>Qualify</v>
      </c>
      <c r="G33" s="465"/>
      <c r="H33" s="465"/>
      <c r="I33" s="465"/>
    </row>
    <row r="34" spans="2:9" ht="15">
      <c r="B34" s="465"/>
      <c r="C34" s="465"/>
      <c r="D34" s="465"/>
      <c r="E34" s="465"/>
      <c r="F34" s="465"/>
      <c r="G34" s="465"/>
      <c r="H34" s="465"/>
      <c r="I34" s="465"/>
    </row>
    <row r="35" spans="2:9" ht="15">
      <c r="B35" s="465"/>
      <c r="C35" s="465"/>
      <c r="D35" s="465"/>
      <c r="E35" s="465"/>
      <c r="F35" s="465"/>
      <c r="G35" s="465"/>
      <c r="H35" s="465"/>
      <c r="I35" s="465"/>
    </row>
    <row r="36" spans="2:9" ht="37.5" customHeight="1">
      <c r="B36" s="642" t="s">
        <v>300</v>
      </c>
      <c r="C36" s="642"/>
      <c r="D36" s="642"/>
      <c r="E36" s="642"/>
      <c r="F36" s="642"/>
      <c r="G36" s="642"/>
      <c r="H36" s="642"/>
      <c r="I36" s="642"/>
    </row>
    <row r="37" spans="2:9" ht="15">
      <c r="B37" s="465"/>
      <c r="C37" s="465"/>
      <c r="D37" s="465"/>
      <c r="E37" s="465"/>
      <c r="F37" s="465"/>
      <c r="G37" s="465"/>
      <c r="H37" s="465"/>
      <c r="I37" s="465"/>
    </row>
    <row r="38" spans="2:9" ht="15">
      <c r="B38" s="465"/>
      <c r="C38" s="465"/>
      <c r="D38" s="465"/>
      <c r="E38" s="465"/>
      <c r="F38" s="465"/>
      <c r="G38" s="465"/>
      <c r="H38" s="465"/>
      <c r="I38" s="465"/>
    </row>
    <row r="39" spans="2:9" ht="15">
      <c r="B39" s="645" t="s">
        <v>445</v>
      </c>
      <c r="C39" s="645"/>
      <c r="D39" s="645"/>
      <c r="E39" s="645"/>
      <c r="F39" s="645"/>
      <c r="G39" s="645"/>
      <c r="H39" s="645"/>
      <c r="I39" s="645"/>
    </row>
    <row r="40" spans="2:9" ht="15">
      <c r="B40" s="465"/>
      <c r="C40" s="465"/>
      <c r="D40" s="465"/>
      <c r="E40" s="482" t="s">
        <v>33</v>
      </c>
      <c r="F40" s="481">
        <v>7</v>
      </c>
      <c r="G40" s="465"/>
      <c r="H40" s="465"/>
      <c r="I40" s="465"/>
    </row>
    <row r="41" spans="2:9" ht="15">
      <c r="B41" s="465"/>
      <c r="C41" s="465"/>
      <c r="D41" s="465"/>
      <c r="E41" s="465"/>
      <c r="F41" s="465"/>
      <c r="G41" s="465"/>
      <c r="H41" s="465"/>
      <c r="I41" s="465"/>
    </row>
    <row r="42" spans="2:9" ht="15">
      <c r="B42" s="465"/>
      <c r="C42" s="465"/>
      <c r="D42" s="465"/>
      <c r="E42" s="465"/>
      <c r="F42" s="465"/>
      <c r="G42" s="465"/>
      <c r="H42" s="465"/>
      <c r="I42" s="465"/>
    </row>
    <row r="43" spans="2:9" ht="15">
      <c r="B43" s="643" t="s">
        <v>301</v>
      </c>
      <c r="C43" s="644"/>
      <c r="D43" s="644"/>
      <c r="E43" s="644"/>
      <c r="F43" s="644"/>
      <c r="G43" s="644"/>
      <c r="H43" s="644"/>
      <c r="I43" s="644"/>
    </row>
    <row r="44" spans="2:9" ht="15">
      <c r="B44" s="465"/>
      <c r="C44" s="465"/>
      <c r="D44" s="465"/>
      <c r="E44" s="465"/>
      <c r="F44" s="465"/>
      <c r="G44" s="465"/>
      <c r="H44" s="465"/>
      <c r="I44" s="465"/>
    </row>
    <row r="45" spans="2:9" ht="15">
      <c r="B45" s="477" t="s">
        <v>302</v>
      </c>
      <c r="C45" s="465"/>
      <c r="D45" s="465"/>
      <c r="E45" s="465"/>
      <c r="F45" s="465"/>
      <c r="G45" s="465"/>
      <c r="H45" s="465"/>
      <c r="I45" s="465"/>
    </row>
    <row r="46" spans="2:9" ht="15">
      <c r="B46" s="477" t="str">
        <f>CONCATENATE("sources in your ",G14," library fund is not equal to or greater than the amount from the same")</f>
        <v>sources in your 2014 library fund is not equal to or greater than the amount from the same</v>
      </c>
      <c r="C46" s="465"/>
      <c r="D46" s="465"/>
      <c r="E46" s="465"/>
      <c r="F46" s="465"/>
      <c r="G46" s="465"/>
      <c r="H46" s="465"/>
      <c r="I46" s="465"/>
    </row>
    <row r="47" spans="2:9" ht="15">
      <c r="B47" s="477" t="str">
        <f>CONCATENATE("sources in ",E14,".")</f>
        <v>sources in 2013.</v>
      </c>
      <c r="C47" s="463"/>
      <c r="D47" s="463"/>
      <c r="E47" s="463"/>
      <c r="F47" s="463"/>
      <c r="G47" s="463"/>
      <c r="H47" s="463"/>
      <c r="I47" s="463"/>
    </row>
    <row r="48" spans="2:9" ht="15">
      <c r="B48" s="463"/>
      <c r="C48" s="463"/>
      <c r="D48" s="463"/>
      <c r="E48" s="463"/>
      <c r="F48" s="463"/>
      <c r="G48" s="463"/>
      <c r="H48" s="463"/>
      <c r="I48" s="463"/>
    </row>
    <row r="49" spans="2:9" ht="15">
      <c r="B49" s="477" t="s">
        <v>303</v>
      </c>
      <c r="C49" s="477"/>
      <c r="D49" s="478"/>
      <c r="E49" s="478"/>
      <c r="F49" s="478"/>
      <c r="G49" s="478"/>
      <c r="H49" s="478"/>
      <c r="I49" s="478"/>
    </row>
    <row r="50" spans="2:9" ht="15">
      <c r="B50" s="477" t="s">
        <v>304</v>
      </c>
      <c r="C50" s="477"/>
      <c r="D50" s="478"/>
      <c r="E50" s="478"/>
      <c r="F50" s="478"/>
      <c r="G50" s="478"/>
      <c r="H50" s="478"/>
      <c r="I50" s="478"/>
    </row>
    <row r="51" spans="2:9" ht="15">
      <c r="B51" s="477" t="s">
        <v>305</v>
      </c>
      <c r="C51" s="477"/>
      <c r="D51" s="478"/>
      <c r="E51" s="478"/>
      <c r="F51" s="478"/>
      <c r="G51" s="478"/>
      <c r="H51" s="478"/>
      <c r="I51" s="478"/>
    </row>
    <row r="52" spans="2:9" ht="15">
      <c r="B52" s="478"/>
      <c r="C52" s="478"/>
      <c r="D52" s="478"/>
      <c r="E52" s="478"/>
      <c r="F52" s="478"/>
      <c r="G52" s="478"/>
      <c r="H52" s="478"/>
      <c r="I52" s="478"/>
    </row>
    <row r="53" spans="2:9" ht="15">
      <c r="B53" s="479" t="s">
        <v>306</v>
      </c>
      <c r="C53" s="478"/>
      <c r="D53" s="478"/>
      <c r="E53" s="478"/>
      <c r="F53" s="478"/>
      <c r="G53" s="478"/>
      <c r="H53" s="478"/>
      <c r="I53" s="478"/>
    </row>
    <row r="54" spans="2:9" ht="15">
      <c r="B54" s="478"/>
      <c r="C54" s="478"/>
      <c r="D54" s="478"/>
      <c r="E54" s="478"/>
      <c r="F54" s="478"/>
      <c r="G54" s="478"/>
      <c r="H54" s="478"/>
      <c r="I54" s="478"/>
    </row>
    <row r="55" spans="2:9" ht="15">
      <c r="B55" s="477" t="s">
        <v>307</v>
      </c>
      <c r="C55" s="478"/>
      <c r="D55" s="478"/>
      <c r="E55" s="478"/>
      <c r="F55" s="478"/>
      <c r="G55" s="478"/>
      <c r="H55" s="478"/>
      <c r="I55" s="478"/>
    </row>
    <row r="56" spans="2:9" ht="15">
      <c r="B56" s="477" t="s">
        <v>308</v>
      </c>
      <c r="C56" s="478"/>
      <c r="D56" s="478"/>
      <c r="E56" s="478"/>
      <c r="F56" s="478"/>
      <c r="G56" s="478"/>
      <c r="H56" s="478"/>
      <c r="I56" s="478"/>
    </row>
    <row r="57" spans="2:9" ht="15">
      <c r="B57" s="478"/>
      <c r="C57" s="478"/>
      <c r="D57" s="478"/>
      <c r="E57" s="478"/>
      <c r="F57" s="478"/>
      <c r="G57" s="478"/>
      <c r="H57" s="478"/>
      <c r="I57" s="478"/>
    </row>
    <row r="58" spans="2:9" ht="15">
      <c r="B58" s="479" t="s">
        <v>309</v>
      </c>
      <c r="C58" s="477"/>
      <c r="D58" s="477"/>
      <c r="E58" s="477"/>
      <c r="F58" s="477"/>
      <c r="G58" s="478"/>
      <c r="H58" s="478"/>
      <c r="I58" s="478"/>
    </row>
    <row r="59" spans="2:9" ht="15">
      <c r="B59" s="477"/>
      <c r="C59" s="477"/>
      <c r="D59" s="477"/>
      <c r="E59" s="477"/>
      <c r="F59" s="477"/>
      <c r="G59" s="478"/>
      <c r="H59" s="478"/>
      <c r="I59" s="478"/>
    </row>
    <row r="60" spans="2:9" ht="15">
      <c r="B60" s="477" t="s">
        <v>310</v>
      </c>
      <c r="C60" s="477"/>
      <c r="D60" s="477"/>
      <c r="E60" s="477"/>
      <c r="F60" s="477"/>
      <c r="G60" s="478"/>
      <c r="H60" s="478"/>
      <c r="I60" s="478"/>
    </row>
    <row r="61" spans="2:9" ht="15">
      <c r="B61" s="477" t="s">
        <v>311</v>
      </c>
      <c r="C61" s="477"/>
      <c r="D61" s="477"/>
      <c r="E61" s="477"/>
      <c r="F61" s="477"/>
      <c r="G61" s="478"/>
      <c r="H61" s="478"/>
      <c r="I61" s="478"/>
    </row>
    <row r="62" spans="2:9" ht="15">
      <c r="B62" s="477" t="s">
        <v>312</v>
      </c>
      <c r="C62" s="477"/>
      <c r="D62" s="477"/>
      <c r="E62" s="477"/>
      <c r="F62" s="477"/>
      <c r="G62" s="478"/>
      <c r="H62" s="478"/>
      <c r="I62" s="478"/>
    </row>
    <row r="63" spans="2:9" ht="15">
      <c r="B63" s="477" t="s">
        <v>313</v>
      </c>
      <c r="C63" s="477"/>
      <c r="D63" s="477"/>
      <c r="E63" s="477"/>
      <c r="F63" s="477"/>
      <c r="G63" s="478"/>
      <c r="H63" s="478"/>
      <c r="I63" s="478"/>
    </row>
    <row r="64" spans="2:9" ht="15">
      <c r="B64" s="480"/>
      <c r="C64" s="480"/>
      <c r="D64" s="480"/>
      <c r="E64" s="480"/>
      <c r="F64" s="480"/>
      <c r="G64" s="478"/>
      <c r="H64" s="478"/>
      <c r="I64" s="478"/>
    </row>
    <row r="65" spans="2:9" ht="15">
      <c r="B65" s="477" t="s">
        <v>314</v>
      </c>
      <c r="C65" s="480"/>
      <c r="D65" s="480"/>
      <c r="E65" s="480"/>
      <c r="F65" s="480"/>
      <c r="G65" s="478"/>
      <c r="H65" s="478"/>
      <c r="I65" s="478"/>
    </row>
    <row r="66" spans="2:9" ht="15">
      <c r="B66" s="477" t="s">
        <v>315</v>
      </c>
      <c r="C66" s="480"/>
      <c r="D66" s="480"/>
      <c r="E66" s="480"/>
      <c r="F66" s="480"/>
      <c r="G66" s="478"/>
      <c r="H66" s="478"/>
      <c r="I66" s="478"/>
    </row>
    <row r="67" spans="2:9" ht="15">
      <c r="B67" s="480"/>
      <c r="C67" s="480"/>
      <c r="D67" s="480"/>
      <c r="E67" s="480"/>
      <c r="F67" s="480"/>
      <c r="G67" s="478"/>
      <c r="H67" s="478"/>
      <c r="I67" s="478"/>
    </row>
    <row r="68" spans="2:9" ht="15">
      <c r="B68" s="477" t="s">
        <v>316</v>
      </c>
      <c r="C68" s="480"/>
      <c r="D68" s="480"/>
      <c r="E68" s="480"/>
      <c r="F68" s="480"/>
      <c r="G68" s="478"/>
      <c r="H68" s="478"/>
      <c r="I68" s="478"/>
    </row>
    <row r="69" spans="2:9" ht="15">
      <c r="B69" s="477" t="s">
        <v>317</v>
      </c>
      <c r="C69" s="480"/>
      <c r="D69" s="480"/>
      <c r="E69" s="480"/>
      <c r="F69" s="480"/>
      <c r="G69" s="478"/>
      <c r="H69" s="478"/>
      <c r="I69" s="478"/>
    </row>
    <row r="70" spans="2:9" ht="15">
      <c r="B70" s="480"/>
      <c r="C70" s="480"/>
      <c r="D70" s="480"/>
      <c r="E70" s="480"/>
      <c r="F70" s="480"/>
      <c r="G70" s="478"/>
      <c r="H70" s="478"/>
      <c r="I70" s="478"/>
    </row>
    <row r="71" spans="2:9" ht="15">
      <c r="B71" s="479" t="s">
        <v>318</v>
      </c>
      <c r="C71" s="480"/>
      <c r="D71" s="480"/>
      <c r="E71" s="480"/>
      <c r="F71" s="480"/>
      <c r="G71" s="478"/>
      <c r="H71" s="478"/>
      <c r="I71" s="478"/>
    </row>
    <row r="72" spans="2:9" ht="15">
      <c r="B72" s="480"/>
      <c r="C72" s="480"/>
      <c r="D72" s="480"/>
      <c r="E72" s="480"/>
      <c r="F72" s="480"/>
      <c r="G72" s="478"/>
      <c r="H72" s="478"/>
      <c r="I72" s="478"/>
    </row>
    <row r="73" spans="2:9" ht="15">
      <c r="B73" s="477" t="s">
        <v>319</v>
      </c>
      <c r="C73" s="480"/>
      <c r="D73" s="480"/>
      <c r="E73" s="480"/>
      <c r="F73" s="480"/>
      <c r="G73" s="478"/>
      <c r="H73" s="478"/>
      <c r="I73" s="478"/>
    </row>
    <row r="74" spans="2:9" ht="15">
      <c r="B74" s="477" t="s">
        <v>320</v>
      </c>
      <c r="C74" s="480"/>
      <c r="D74" s="480"/>
      <c r="E74" s="480"/>
      <c r="F74" s="480"/>
      <c r="G74" s="478"/>
      <c r="H74" s="478"/>
      <c r="I74" s="478"/>
    </row>
    <row r="75" spans="2:9" ht="15">
      <c r="B75" s="480"/>
      <c r="C75" s="480"/>
      <c r="D75" s="480"/>
      <c r="E75" s="480"/>
      <c r="F75" s="480"/>
      <c r="G75" s="478"/>
      <c r="H75" s="478"/>
      <c r="I75" s="478"/>
    </row>
    <row r="76" spans="2:9" ht="15">
      <c r="B76" s="479" t="s">
        <v>321</v>
      </c>
      <c r="C76" s="480"/>
      <c r="D76" s="480"/>
      <c r="E76" s="480"/>
      <c r="F76" s="480"/>
      <c r="G76" s="478"/>
      <c r="H76" s="478"/>
      <c r="I76" s="478"/>
    </row>
    <row r="77" spans="2:9" ht="15">
      <c r="B77" s="480"/>
      <c r="C77" s="480"/>
      <c r="D77" s="480"/>
      <c r="E77" s="480"/>
      <c r="F77" s="480"/>
      <c r="G77" s="478"/>
      <c r="H77" s="478"/>
      <c r="I77" s="478"/>
    </row>
    <row r="78" spans="2:9" ht="15">
      <c r="B78" s="477" t="str">
        <f>CONCATENATE("If the ",G14," municipal budget has not been published and has not been submitted to the County")</f>
        <v>If the 2014 municipal budget has not been published and has not been submitted to the County</v>
      </c>
      <c r="C78" s="480"/>
      <c r="D78" s="480"/>
      <c r="E78" s="480"/>
      <c r="F78" s="480"/>
      <c r="G78" s="478"/>
      <c r="H78" s="478"/>
      <c r="I78" s="478"/>
    </row>
    <row r="79" spans="2:9" ht="15">
      <c r="B79" s="477" t="s">
        <v>322</v>
      </c>
      <c r="C79" s="480"/>
      <c r="D79" s="480"/>
      <c r="E79" s="480"/>
      <c r="F79" s="480"/>
      <c r="G79" s="478"/>
      <c r="H79" s="478"/>
      <c r="I79" s="478"/>
    </row>
    <row r="80" spans="2:9" ht="15">
      <c r="B80" s="480"/>
      <c r="C80" s="480"/>
      <c r="D80" s="480"/>
      <c r="E80" s="480"/>
      <c r="F80" s="480"/>
      <c r="G80" s="478"/>
      <c r="H80" s="478"/>
      <c r="I80" s="478"/>
    </row>
    <row r="81" spans="2:9" ht="15">
      <c r="B81" s="479" t="s">
        <v>246</v>
      </c>
      <c r="C81" s="480"/>
      <c r="D81" s="480"/>
      <c r="E81" s="480"/>
      <c r="F81" s="480"/>
      <c r="G81" s="478"/>
      <c r="H81" s="478"/>
      <c r="I81" s="478"/>
    </row>
    <row r="82" spans="2:9" ht="15">
      <c r="B82" s="480"/>
      <c r="C82" s="480"/>
      <c r="D82" s="480"/>
      <c r="E82" s="480"/>
      <c r="F82" s="480"/>
      <c r="G82" s="478"/>
      <c r="H82" s="478"/>
      <c r="I82" s="478"/>
    </row>
    <row r="83" spans="2:9" ht="15">
      <c r="B83" s="477" t="s">
        <v>323</v>
      </c>
      <c r="C83" s="480"/>
      <c r="D83" s="480"/>
      <c r="E83" s="480"/>
      <c r="F83" s="480"/>
      <c r="G83" s="478"/>
      <c r="H83" s="478"/>
      <c r="I83" s="478"/>
    </row>
    <row r="84" spans="2:9" ht="15">
      <c r="B84" s="477" t="str">
        <f>CONCATENATE("Budget Year ",G14," is equal to or greater than that for Current Year Estimate ",E14,".")</f>
        <v>Budget Year 2014 is equal to or greater than that for Current Year Estimate 2013.</v>
      </c>
      <c r="C84" s="480"/>
      <c r="D84" s="480"/>
      <c r="E84" s="480"/>
      <c r="F84" s="480"/>
      <c r="G84" s="478"/>
      <c r="H84" s="478"/>
      <c r="I84" s="478"/>
    </row>
    <row r="85" spans="2:9" ht="15">
      <c r="B85" s="480"/>
      <c r="C85" s="480"/>
      <c r="D85" s="480"/>
      <c r="E85" s="480"/>
      <c r="F85" s="480"/>
      <c r="G85" s="478"/>
      <c r="H85" s="478"/>
      <c r="I85" s="478"/>
    </row>
    <row r="86" spans="2:9" ht="15">
      <c r="B86" s="477" t="s">
        <v>324</v>
      </c>
      <c r="C86" s="480"/>
      <c r="D86" s="480"/>
      <c r="E86" s="480"/>
      <c r="F86" s="480"/>
      <c r="G86" s="478"/>
      <c r="H86" s="478"/>
      <c r="I86" s="478"/>
    </row>
    <row r="87" spans="2:9" ht="15">
      <c r="B87" s="477" t="s">
        <v>325</v>
      </c>
      <c r="C87" s="480"/>
      <c r="D87" s="480"/>
      <c r="E87" s="480"/>
      <c r="F87" s="480"/>
      <c r="G87" s="478"/>
      <c r="H87" s="478"/>
      <c r="I87" s="478"/>
    </row>
    <row r="88" spans="2:9" ht="15">
      <c r="B88" s="477" t="s">
        <v>326</v>
      </c>
      <c r="C88" s="480"/>
      <c r="D88" s="480"/>
      <c r="E88" s="480"/>
      <c r="F88" s="480"/>
      <c r="G88" s="478"/>
      <c r="H88" s="478"/>
      <c r="I88" s="478"/>
    </row>
    <row r="89" spans="2:9" ht="15">
      <c r="B89" s="477" t="str">
        <f>CONCATENATE("purpose for the previous (",E14,") year.")</f>
        <v>purpose for the previous (2013) year.</v>
      </c>
      <c r="C89" s="480"/>
      <c r="D89" s="480"/>
      <c r="E89" s="480"/>
      <c r="F89" s="480"/>
      <c r="G89" s="478"/>
      <c r="H89" s="478"/>
      <c r="I89" s="478"/>
    </row>
    <row r="90" spans="2:9" ht="15">
      <c r="B90" s="480"/>
      <c r="C90" s="480"/>
      <c r="D90" s="480"/>
      <c r="E90" s="480"/>
      <c r="F90" s="480"/>
      <c r="G90" s="478"/>
      <c r="H90" s="478"/>
      <c r="I90" s="478"/>
    </row>
    <row r="91" spans="2:9" ht="15">
      <c r="B91" s="477" t="str">
        <f>CONCATENATE("Next, look to see if delinquent tax for ",G14," is budgeted. Often this line is budgeted at $0 or left")</f>
        <v>Next, look to see if delinquent tax for 2014 is budgeted. Often this line is budgeted at $0 or left</v>
      </c>
      <c r="C91" s="480"/>
      <c r="D91" s="480"/>
      <c r="E91" s="480"/>
      <c r="F91" s="480"/>
      <c r="G91" s="478"/>
      <c r="H91" s="478"/>
      <c r="I91" s="478"/>
    </row>
    <row r="92" spans="2:9" ht="15">
      <c r="B92" s="477" t="s">
        <v>327</v>
      </c>
      <c r="C92" s="480"/>
      <c r="D92" s="480"/>
      <c r="E92" s="480"/>
      <c r="F92" s="480"/>
      <c r="G92" s="478"/>
      <c r="H92" s="478"/>
      <c r="I92" s="478"/>
    </row>
    <row r="93" spans="2:9" ht="15">
      <c r="B93" s="477" t="s">
        <v>328</v>
      </c>
      <c r="C93" s="480"/>
      <c r="D93" s="480"/>
      <c r="E93" s="480"/>
      <c r="F93" s="480"/>
      <c r="G93" s="478"/>
      <c r="H93" s="478"/>
      <c r="I93" s="478"/>
    </row>
    <row r="94" spans="2:9" ht="15">
      <c r="B94" s="477" t="s">
        <v>329</v>
      </c>
      <c r="C94" s="480"/>
      <c r="D94" s="480"/>
      <c r="E94" s="480"/>
      <c r="F94" s="480"/>
      <c r="G94" s="478"/>
      <c r="H94" s="478"/>
      <c r="I94" s="478"/>
    </row>
    <row r="95" spans="2:9" ht="15">
      <c r="B95" s="480"/>
      <c r="C95" s="480"/>
      <c r="D95" s="480"/>
      <c r="E95" s="480"/>
      <c r="F95" s="480"/>
      <c r="G95" s="478"/>
      <c r="H95" s="478"/>
      <c r="I95" s="478"/>
    </row>
    <row r="96" spans="2:9" ht="15">
      <c r="B96" s="479" t="s">
        <v>330</v>
      </c>
      <c r="C96" s="480"/>
      <c r="D96" s="480"/>
      <c r="E96" s="480"/>
      <c r="F96" s="480"/>
      <c r="G96" s="478"/>
      <c r="H96" s="478"/>
      <c r="I96" s="478"/>
    </row>
    <row r="97" spans="2:9" ht="15">
      <c r="B97" s="480"/>
      <c r="C97" s="480"/>
      <c r="D97" s="480"/>
      <c r="E97" s="480"/>
      <c r="F97" s="480"/>
      <c r="G97" s="478"/>
      <c r="H97" s="478"/>
      <c r="I97" s="478"/>
    </row>
    <row r="98" spans="2:9" ht="15">
      <c r="B98" s="477" t="s">
        <v>331</v>
      </c>
      <c r="C98" s="480"/>
      <c r="D98" s="480"/>
      <c r="E98" s="480"/>
      <c r="F98" s="480"/>
      <c r="G98" s="478"/>
      <c r="H98" s="478"/>
      <c r="I98" s="478"/>
    </row>
    <row r="99" spans="2:9" ht="15">
      <c r="B99" s="477" t="s">
        <v>332</v>
      </c>
      <c r="C99" s="480"/>
      <c r="D99" s="480"/>
      <c r="E99" s="480"/>
      <c r="F99" s="480"/>
      <c r="G99" s="478"/>
      <c r="H99" s="478"/>
      <c r="I99" s="478"/>
    </row>
    <row r="100" spans="2:9" ht="15">
      <c r="B100" s="480"/>
      <c r="C100" s="480"/>
      <c r="D100" s="480"/>
      <c r="E100" s="480"/>
      <c r="F100" s="480"/>
      <c r="G100" s="478"/>
      <c r="H100" s="478"/>
      <c r="I100" s="478"/>
    </row>
    <row r="101" spans="2:9" ht="15">
      <c r="B101" s="477" t="s">
        <v>333</v>
      </c>
      <c r="C101" s="480"/>
      <c r="D101" s="480"/>
      <c r="E101" s="480"/>
      <c r="F101" s="480"/>
      <c r="G101" s="478"/>
      <c r="H101" s="478"/>
      <c r="I101" s="478"/>
    </row>
    <row r="102" spans="2:9" ht="15">
      <c r="B102" s="477" t="s">
        <v>334</v>
      </c>
      <c r="C102" s="480"/>
      <c r="D102" s="480"/>
      <c r="E102" s="480"/>
      <c r="F102" s="480"/>
      <c r="G102" s="478"/>
      <c r="H102" s="478"/>
      <c r="I102" s="478"/>
    </row>
    <row r="103" spans="2:9" ht="15">
      <c r="B103" s="477" t="s">
        <v>335</v>
      </c>
      <c r="C103" s="480"/>
      <c r="D103" s="480"/>
      <c r="E103" s="480"/>
      <c r="F103" s="480"/>
      <c r="G103" s="478"/>
      <c r="H103" s="478"/>
      <c r="I103" s="478"/>
    </row>
    <row r="104" spans="2:9" ht="15">
      <c r="B104" s="477" t="s">
        <v>336</v>
      </c>
      <c r="C104" s="480"/>
      <c r="D104" s="480"/>
      <c r="E104" s="480"/>
      <c r="F104" s="480"/>
      <c r="G104" s="478"/>
      <c r="H104" s="478"/>
      <c r="I104" s="478"/>
    </row>
    <row r="105" spans="2:9" ht="15">
      <c r="B105" s="571" t="s">
        <v>357</v>
      </c>
      <c r="C105" s="570"/>
      <c r="D105" s="570"/>
      <c r="E105" s="570"/>
      <c r="F105" s="570"/>
      <c r="G105" s="569"/>
      <c r="H105" s="569"/>
      <c r="I105" s="569"/>
    </row>
    <row r="108" ht="15">
      <c r="G108" s="486"/>
    </row>
  </sheetData>
  <sheetProtection/>
  <mergeCells count="7">
    <mergeCell ref="B2:I2"/>
    <mergeCell ref="B3:I3"/>
    <mergeCell ref="B5:I5"/>
    <mergeCell ref="B10:I10"/>
    <mergeCell ref="B36:I36"/>
    <mergeCell ref="B43:I43"/>
    <mergeCell ref="B39:I39"/>
  </mergeCells>
  <hyperlinks>
    <hyperlink ref="B105" r:id="rId1" display="mailto:peter.haxton@library.ks.gov"/>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1.xml><?xml version="1.0" encoding="utf-8"?>
<worksheet xmlns="http://schemas.openxmlformats.org/spreadsheetml/2006/main" xmlns:r="http://schemas.openxmlformats.org/officeDocument/2006/relationships">
  <dimension ref="B1:M144"/>
  <sheetViews>
    <sheetView zoomScalePageLayoutView="0" workbookViewId="0" topLeftCell="A111">
      <selection activeCell="B121" sqref="B121"/>
    </sheetView>
  </sheetViews>
  <sheetFormatPr defaultColWidth="8.8984375" defaultRowHeight="15"/>
  <cols>
    <col min="1" max="1" width="2.3984375" style="5" customWidth="1"/>
    <col min="2" max="2" width="31.69921875" style="5" customWidth="1"/>
    <col min="3" max="4" width="15.69921875" style="5" customWidth="1"/>
    <col min="5" max="5" width="16.19921875" style="5" customWidth="1"/>
    <col min="6" max="6" width="6.8984375" style="5" customWidth="1"/>
    <col min="7" max="7" width="10.19921875" style="5" customWidth="1"/>
    <col min="8" max="8" width="8.8984375" style="5" customWidth="1"/>
    <col min="9" max="9" width="5" style="5" customWidth="1"/>
    <col min="10" max="10" width="10" style="5" customWidth="1"/>
    <col min="11" max="16384" width="8.8984375" style="5" customWidth="1"/>
  </cols>
  <sheetData>
    <row r="1" spans="2:5" ht="15">
      <c r="B1" s="133" t="str">
        <f>inputPrYr!D2</f>
        <v>City of Toronto</v>
      </c>
      <c r="C1" s="4"/>
      <c r="D1" s="4"/>
      <c r="E1" s="193">
        <f>inputPrYr!C5</f>
        <v>2014</v>
      </c>
    </row>
    <row r="2" spans="2:5" ht="15">
      <c r="B2" s="4"/>
      <c r="C2" s="4"/>
      <c r="D2" s="4"/>
      <c r="E2" s="129"/>
    </row>
    <row r="3" spans="2:5" ht="15">
      <c r="B3" s="23"/>
      <c r="C3" s="4"/>
      <c r="D3" s="4"/>
      <c r="E3" s="101"/>
    </row>
    <row r="4" spans="2:5" ht="15">
      <c r="B4" s="23" t="s">
        <v>87</v>
      </c>
      <c r="C4" s="202"/>
      <c r="D4" s="202"/>
      <c r="E4" s="202"/>
    </row>
    <row r="5" spans="2:5" ht="15">
      <c r="B5" s="131" t="s">
        <v>24</v>
      </c>
      <c r="C5" s="487" t="s">
        <v>279</v>
      </c>
      <c r="D5" s="488" t="s">
        <v>282</v>
      </c>
      <c r="E5" s="107" t="s">
        <v>283</v>
      </c>
    </row>
    <row r="6" spans="2:5" ht="15">
      <c r="B6" s="305" t="str">
        <f>inputPrYr!B17</f>
        <v>General</v>
      </c>
      <c r="C6" s="288" t="str">
        <f>CONCATENATE("Actual for ",E1-2,"")</f>
        <v>Actual for 2012</v>
      </c>
      <c r="D6" s="288" t="str">
        <f>CONCATENATE("Estimate for ",E1-1,"")</f>
        <v>Estimate for 2013</v>
      </c>
      <c r="E6" s="203" t="str">
        <f>CONCATENATE("Year for ",E1,"")</f>
        <v>Year for 2014</v>
      </c>
    </row>
    <row r="7" spans="2:5" ht="15">
      <c r="B7" s="204" t="s">
        <v>142</v>
      </c>
      <c r="C7" s="205">
        <v>69625</v>
      </c>
      <c r="D7" s="287">
        <f>C112</f>
        <v>70407</v>
      </c>
      <c r="E7" s="174">
        <f>D112</f>
        <v>83162</v>
      </c>
    </row>
    <row r="8" spans="2:5" ht="15">
      <c r="B8" s="207" t="s">
        <v>144</v>
      </c>
      <c r="C8" s="121"/>
      <c r="D8" s="121"/>
      <c r="E8" s="50"/>
    </row>
    <row r="9" spans="2:5" ht="15">
      <c r="B9" s="204" t="s">
        <v>25</v>
      </c>
      <c r="C9" s="205">
        <v>24894</v>
      </c>
      <c r="D9" s="287">
        <f>IF(inputPrYr!H16&gt;0,inputPrYr!G17,inputPrYr!E17)</f>
        <v>24984</v>
      </c>
      <c r="E9" s="209" t="s">
        <v>13</v>
      </c>
    </row>
    <row r="10" spans="2:5" ht="15">
      <c r="B10" s="204" t="s">
        <v>26</v>
      </c>
      <c r="C10" s="205">
        <v>1831</v>
      </c>
      <c r="D10" s="205">
        <v>2776</v>
      </c>
      <c r="E10" s="210">
        <v>2776</v>
      </c>
    </row>
    <row r="11" spans="2:5" ht="15">
      <c r="B11" s="204" t="s">
        <v>27</v>
      </c>
      <c r="C11" s="205">
        <v>4759</v>
      </c>
      <c r="D11" s="205">
        <v>5580</v>
      </c>
      <c r="E11" s="174">
        <f>mvalloc!D7</f>
        <v>3738</v>
      </c>
    </row>
    <row r="12" spans="2:5" ht="15">
      <c r="B12" s="204" t="s">
        <v>28</v>
      </c>
      <c r="C12" s="205">
        <v>138</v>
      </c>
      <c r="D12" s="205">
        <v>99</v>
      </c>
      <c r="E12" s="174">
        <f>mvalloc!E7</f>
        <v>102</v>
      </c>
    </row>
    <row r="13" spans="2:5" ht="15">
      <c r="B13" s="204" t="s">
        <v>119</v>
      </c>
      <c r="C13" s="205">
        <v>678</v>
      </c>
      <c r="D13" s="205">
        <v>704</v>
      </c>
      <c r="E13" s="174">
        <f>mvalloc!F7</f>
        <v>692</v>
      </c>
    </row>
    <row r="14" spans="2:5" ht="15">
      <c r="B14" s="204" t="s">
        <v>120</v>
      </c>
      <c r="C14" s="205"/>
      <c r="D14" s="205"/>
      <c r="E14" s="174">
        <f>inputOth!E16</f>
        <v>0</v>
      </c>
    </row>
    <row r="15" spans="2:5" ht="15">
      <c r="B15" s="204" t="s">
        <v>158</v>
      </c>
      <c r="C15" s="205"/>
      <c r="D15" s="205"/>
      <c r="E15" s="174">
        <f>inputOth!E42</f>
        <v>0</v>
      </c>
    </row>
    <row r="16" spans="2:5" ht="15">
      <c r="B16" s="204" t="s">
        <v>159</v>
      </c>
      <c r="C16" s="205"/>
      <c r="D16" s="205"/>
      <c r="E16" s="174">
        <f>inputOth!E43</f>
        <v>0</v>
      </c>
    </row>
    <row r="17" spans="2:5" ht="15">
      <c r="B17" s="208" t="s">
        <v>385</v>
      </c>
      <c r="C17" s="205">
        <v>260</v>
      </c>
      <c r="D17" s="205">
        <v>248</v>
      </c>
      <c r="E17" s="32">
        <v>275</v>
      </c>
    </row>
    <row r="18" spans="2:5" ht="15">
      <c r="B18" s="586" t="s">
        <v>386</v>
      </c>
      <c r="C18" s="205">
        <v>23506</v>
      </c>
      <c r="D18" s="205">
        <v>25069</v>
      </c>
      <c r="E18" s="32">
        <v>25100</v>
      </c>
    </row>
    <row r="19" spans="2:5" ht="15">
      <c r="B19" s="586" t="s">
        <v>269</v>
      </c>
      <c r="C19" s="205">
        <v>4084</v>
      </c>
      <c r="D19" s="205">
        <v>4235</v>
      </c>
      <c r="E19" s="32">
        <v>4235</v>
      </c>
    </row>
    <row r="20" spans="2:5" ht="15">
      <c r="B20" s="586" t="s">
        <v>387</v>
      </c>
      <c r="C20" s="205">
        <v>4821</v>
      </c>
      <c r="D20" s="205">
        <v>4798</v>
      </c>
      <c r="E20" s="32">
        <v>4800</v>
      </c>
    </row>
    <row r="21" spans="2:5" ht="15">
      <c r="B21" s="586"/>
      <c r="C21" s="205"/>
      <c r="D21" s="205"/>
      <c r="E21" s="32"/>
    </row>
    <row r="22" spans="2:5" ht="15">
      <c r="B22" s="586" t="s">
        <v>388</v>
      </c>
      <c r="C22" s="205">
        <v>259</v>
      </c>
      <c r="D22" s="205">
        <v>356</v>
      </c>
      <c r="E22" s="32">
        <v>356</v>
      </c>
    </row>
    <row r="23" spans="2:5" ht="15">
      <c r="B23" s="586" t="s">
        <v>389</v>
      </c>
      <c r="C23" s="205">
        <v>276</v>
      </c>
      <c r="D23" s="205">
        <v>816</v>
      </c>
      <c r="E23" s="32">
        <v>816</v>
      </c>
    </row>
    <row r="24" spans="2:5" ht="15">
      <c r="B24" s="586" t="s">
        <v>390</v>
      </c>
      <c r="C24" s="205">
        <v>638</v>
      </c>
      <c r="D24" s="205">
        <v>1328</v>
      </c>
      <c r="E24" s="32">
        <v>1328</v>
      </c>
    </row>
    <row r="25" spans="2:5" ht="15">
      <c r="B25" s="586"/>
      <c r="C25" s="205"/>
      <c r="D25" s="205"/>
      <c r="E25" s="32"/>
    </row>
    <row r="26" spans="2:5" ht="15">
      <c r="B26" s="586" t="s">
        <v>391</v>
      </c>
      <c r="C26" s="205">
        <v>2764</v>
      </c>
      <c r="D26" s="205">
        <v>55</v>
      </c>
      <c r="E26" s="32">
        <v>0</v>
      </c>
    </row>
    <row r="27" spans="2:5" ht="15">
      <c r="B27" s="586"/>
      <c r="C27" s="205"/>
      <c r="D27" s="205"/>
      <c r="E27" s="32"/>
    </row>
    <row r="28" spans="2:5" ht="15">
      <c r="B28" s="586" t="s">
        <v>392</v>
      </c>
      <c r="C28" s="205"/>
      <c r="D28" s="205"/>
      <c r="E28" s="32"/>
    </row>
    <row r="29" spans="2:5" ht="15">
      <c r="B29" s="586" t="s">
        <v>393</v>
      </c>
      <c r="C29" s="205">
        <v>17500</v>
      </c>
      <c r="D29" s="205">
        <v>17500</v>
      </c>
      <c r="E29" s="32">
        <v>17500</v>
      </c>
    </row>
    <row r="30" spans="2:5" ht="15">
      <c r="B30" s="586" t="s">
        <v>394</v>
      </c>
      <c r="C30" s="205">
        <v>0</v>
      </c>
      <c r="D30" s="205">
        <v>2500</v>
      </c>
      <c r="E30" s="32">
        <v>2500</v>
      </c>
    </row>
    <row r="31" spans="2:5" ht="15">
      <c r="B31" s="208"/>
      <c r="C31" s="205"/>
      <c r="D31" s="205"/>
      <c r="E31" s="32"/>
    </row>
    <row r="32" spans="2:5" ht="15">
      <c r="B32" s="208"/>
      <c r="C32" s="205"/>
      <c r="D32" s="205"/>
      <c r="E32" s="32"/>
    </row>
    <row r="33" spans="2:5" ht="15">
      <c r="B33" s="208"/>
      <c r="C33" s="205"/>
      <c r="D33" s="205"/>
      <c r="E33" s="32"/>
    </row>
    <row r="34" spans="2:5" ht="15">
      <c r="B34" s="208"/>
      <c r="C34" s="205"/>
      <c r="D34" s="205"/>
      <c r="E34" s="32"/>
    </row>
    <row r="35" spans="2:5" ht="15">
      <c r="B35" s="208"/>
      <c r="C35" s="205"/>
      <c r="D35" s="205"/>
      <c r="E35" s="32"/>
    </row>
    <row r="36" spans="2:5" ht="15">
      <c r="B36" s="208"/>
      <c r="C36" s="205"/>
      <c r="D36" s="205"/>
      <c r="E36" s="32"/>
    </row>
    <row r="37" spans="2:5" ht="15">
      <c r="B37" s="208"/>
      <c r="C37" s="205"/>
      <c r="D37" s="205"/>
      <c r="E37" s="32"/>
    </row>
    <row r="38" spans="2:5" ht="15">
      <c r="B38" s="208"/>
      <c r="C38" s="205"/>
      <c r="D38" s="205"/>
      <c r="E38" s="32"/>
    </row>
    <row r="39" spans="2:5" ht="15">
      <c r="B39" s="208"/>
      <c r="C39" s="205"/>
      <c r="D39" s="205"/>
      <c r="E39" s="32"/>
    </row>
    <row r="40" spans="2:5" ht="15">
      <c r="B40" s="208"/>
      <c r="C40" s="205"/>
      <c r="D40" s="205"/>
      <c r="E40" s="32"/>
    </row>
    <row r="41" spans="2:5" ht="15">
      <c r="B41" s="208"/>
      <c r="C41" s="205"/>
      <c r="D41" s="205"/>
      <c r="E41" s="32"/>
    </row>
    <row r="42" spans="2:5" ht="15">
      <c r="B42" s="208"/>
      <c r="C42" s="205"/>
      <c r="D42" s="205"/>
      <c r="E42" s="32"/>
    </row>
    <row r="43" spans="2:5" ht="15">
      <c r="B43" s="208"/>
      <c r="C43" s="205"/>
      <c r="D43" s="205"/>
      <c r="E43" s="32"/>
    </row>
    <row r="44" spans="2:5" ht="15">
      <c r="B44" s="208"/>
      <c r="C44" s="205"/>
      <c r="D44" s="205"/>
      <c r="E44" s="32"/>
    </row>
    <row r="45" spans="2:5" ht="15">
      <c r="B45" s="208"/>
      <c r="C45" s="205"/>
      <c r="D45" s="205"/>
      <c r="E45" s="32"/>
    </row>
    <row r="46" spans="2:5" ht="15">
      <c r="B46" s="208"/>
      <c r="C46" s="205"/>
      <c r="D46" s="205"/>
      <c r="E46" s="32"/>
    </row>
    <row r="47" spans="2:5" ht="15">
      <c r="B47" s="208"/>
      <c r="C47" s="205"/>
      <c r="D47" s="205"/>
      <c r="E47" s="32"/>
    </row>
    <row r="48" spans="2:5" ht="15">
      <c r="B48" s="208"/>
      <c r="C48" s="205"/>
      <c r="D48" s="205"/>
      <c r="E48" s="32"/>
    </row>
    <row r="49" spans="2:5" ht="15">
      <c r="B49" s="208"/>
      <c r="C49" s="205"/>
      <c r="D49" s="205"/>
      <c r="E49" s="32"/>
    </row>
    <row r="50" spans="2:5" ht="15">
      <c r="B50" s="208"/>
      <c r="C50" s="205"/>
      <c r="D50" s="205"/>
      <c r="E50" s="32"/>
    </row>
    <row r="51" spans="2:5" ht="15">
      <c r="B51" s="208"/>
      <c r="C51" s="205"/>
      <c r="D51" s="205"/>
      <c r="E51" s="32"/>
    </row>
    <row r="52" spans="2:5" ht="15">
      <c r="B52" s="376" t="s">
        <v>29</v>
      </c>
      <c r="C52" s="205"/>
      <c r="D52" s="205"/>
      <c r="E52" s="32"/>
    </row>
    <row r="53" spans="2:5" ht="15">
      <c r="B53" s="211" t="s">
        <v>30</v>
      </c>
      <c r="C53" s="205">
        <v>394</v>
      </c>
      <c r="D53" s="205">
        <v>308</v>
      </c>
      <c r="E53" s="32">
        <v>308</v>
      </c>
    </row>
    <row r="54" spans="2:5" ht="15">
      <c r="B54" s="121" t="s">
        <v>219</v>
      </c>
      <c r="C54" s="205">
        <v>820</v>
      </c>
      <c r="D54" s="32">
        <v>1220</v>
      </c>
      <c r="E54" s="206">
        <v>1220</v>
      </c>
    </row>
    <row r="55" spans="2:5" ht="15">
      <c r="B55" s="204" t="s">
        <v>271</v>
      </c>
      <c r="C55" s="285">
        <f>IF(C56*0.1&lt;C54,"Exceed 10% Rule","")</f>
      </c>
      <c r="D55" s="292">
        <f>IF(D56*0.1&lt;D54,"Exceed 10% Rule","")</f>
      </c>
      <c r="E55" s="212">
        <f>IF(E56*0.1+E118&lt;E54,"Exceed 10% Rule","")</f>
      </c>
    </row>
    <row r="56" spans="2:5" ht="15">
      <c r="B56" s="213" t="s">
        <v>31</v>
      </c>
      <c r="C56" s="302">
        <f>SUM(C9:C54)</f>
        <v>87622</v>
      </c>
      <c r="D56" s="302">
        <f>SUM(D9:D54)</f>
        <v>92576</v>
      </c>
      <c r="E56" s="214">
        <f>SUM(E10:E54)</f>
        <v>65746</v>
      </c>
    </row>
    <row r="57" spans="2:5" ht="15">
      <c r="B57" s="213" t="s">
        <v>32</v>
      </c>
      <c r="C57" s="302">
        <f>C7+C56</f>
        <v>157247</v>
      </c>
      <c r="D57" s="302">
        <f>D7+D56</f>
        <v>162983</v>
      </c>
      <c r="E57" s="214">
        <f>E7+E56</f>
        <v>148908</v>
      </c>
    </row>
    <row r="58" spans="2:5" ht="15">
      <c r="B58" s="637" t="s">
        <v>445</v>
      </c>
      <c r="C58" s="638"/>
      <c r="D58" s="638"/>
      <c r="E58" s="638"/>
    </row>
    <row r="59" spans="2:5" ht="15">
      <c r="B59" s="132"/>
      <c r="C59" s="101" t="s">
        <v>40</v>
      </c>
      <c r="D59" s="131">
        <f>IF(inputPrYr!D19&gt;0,8,7)</f>
        <v>8</v>
      </c>
      <c r="E59" s="132"/>
    </row>
    <row r="60" spans="2:5" ht="15">
      <c r="B60" s="132"/>
      <c r="C60" s="132"/>
      <c r="D60" s="132"/>
      <c r="E60" s="132"/>
    </row>
    <row r="61" spans="2:5" ht="15">
      <c r="B61" s="133" t="str">
        <f>inputPrYr!D2</f>
        <v>City of Toronto</v>
      </c>
      <c r="C61" s="4"/>
      <c r="D61" s="4"/>
      <c r="E61" s="129"/>
    </row>
    <row r="62" spans="2:5" ht="15">
      <c r="B62" s="4"/>
      <c r="C62" s="4"/>
      <c r="D62" s="4"/>
      <c r="E62" s="101"/>
    </row>
    <row r="63" spans="2:5" ht="15">
      <c r="B63" s="198" t="s">
        <v>86</v>
      </c>
      <c r="C63" s="168"/>
      <c r="D63" s="168"/>
      <c r="E63" s="168"/>
    </row>
    <row r="64" spans="2:5" ht="15">
      <c r="B64" s="4" t="s">
        <v>24</v>
      </c>
      <c r="C64" s="487" t="str">
        <f aca="true" t="shared" si="0" ref="C64:E65">C5</f>
        <v>Prior Year </v>
      </c>
      <c r="D64" s="488" t="str">
        <f t="shared" si="0"/>
        <v>Current Year </v>
      </c>
      <c r="E64" s="107" t="str">
        <f t="shared" si="0"/>
        <v>Proposed Budget </v>
      </c>
    </row>
    <row r="65" spans="2:5" ht="15">
      <c r="B65" s="152" t="str">
        <f>inputPrYr!B17</f>
        <v>General</v>
      </c>
      <c r="C65" s="288" t="str">
        <f t="shared" si="0"/>
        <v>Actual for 2012</v>
      </c>
      <c r="D65" s="288" t="str">
        <f t="shared" si="0"/>
        <v>Estimate for 2013</v>
      </c>
      <c r="E65" s="203" t="str">
        <f t="shared" si="0"/>
        <v>Year for 2014</v>
      </c>
    </row>
    <row r="66" spans="2:5" ht="15">
      <c r="B66" s="215" t="s">
        <v>32</v>
      </c>
      <c r="C66" s="287">
        <f>C57</f>
        <v>157247</v>
      </c>
      <c r="D66" s="287">
        <f>D57</f>
        <v>162983</v>
      </c>
      <c r="E66" s="174">
        <f>E57</f>
        <v>148908</v>
      </c>
    </row>
    <row r="67" spans="2:5" ht="15">
      <c r="B67" s="204" t="s">
        <v>34</v>
      </c>
      <c r="C67" s="121"/>
      <c r="D67" s="121"/>
      <c r="E67" s="50"/>
    </row>
    <row r="68" spans="2:5" ht="15">
      <c r="B68" s="216" t="str">
        <f>GenDetail!A7</f>
        <v>General Government</v>
      </c>
      <c r="C68" s="303">
        <f>GenDetail!B15</f>
        <v>78374</v>
      </c>
      <c r="D68" s="303">
        <f>GenDetail!C15</f>
        <v>70028</v>
      </c>
      <c r="E68" s="39">
        <f>GenDetail!D15</f>
        <v>89594</v>
      </c>
    </row>
    <row r="69" spans="2:5" ht="15">
      <c r="B69" s="216" t="str">
        <f>GenDetail!A16</f>
        <v>Fire Department</v>
      </c>
      <c r="C69" s="303">
        <f>GenDetail!B21</f>
        <v>5334</v>
      </c>
      <c r="D69" s="303">
        <f>GenDetail!C21</f>
        <v>4500</v>
      </c>
      <c r="E69" s="39">
        <f>GenDetail!D21</f>
        <v>9000</v>
      </c>
    </row>
    <row r="70" spans="2:5" ht="15">
      <c r="B70" s="216" t="str">
        <f>GenDetail!A22</f>
        <v>Muncipal Court</v>
      </c>
      <c r="C70" s="303">
        <f>GenDetail!B27</f>
        <v>538</v>
      </c>
      <c r="D70" s="303">
        <f>GenDetail!C27</f>
        <v>50</v>
      </c>
      <c r="E70" s="39">
        <f>GenDetail!D27</f>
        <v>350</v>
      </c>
    </row>
    <row r="71" spans="2:5" ht="15">
      <c r="B71" s="216" t="str">
        <f>GenDetail!A28</f>
        <v>Highways and Streets</v>
      </c>
      <c r="C71" s="303">
        <f>GenDetail!B33</f>
        <v>2594</v>
      </c>
      <c r="D71" s="303">
        <f>GenDetail!C33</f>
        <v>2097</v>
      </c>
      <c r="E71" s="39">
        <f>GenDetail!D33</f>
        <v>74007</v>
      </c>
    </row>
    <row r="72" spans="2:5" ht="15">
      <c r="B72" s="216" t="str">
        <f>GenDetail!A34</f>
        <v>Parks and Recreation</v>
      </c>
      <c r="C72" s="303">
        <f>GenDetail!B39</f>
        <v>0</v>
      </c>
      <c r="D72" s="303">
        <f>GenDetail!C39</f>
        <v>146</v>
      </c>
      <c r="E72" s="39">
        <f>GenDetail!D39</f>
        <v>325</v>
      </c>
    </row>
    <row r="73" spans="2:5" ht="15">
      <c r="B73" s="216" t="str">
        <f>GenDetail!A40</f>
        <v>Library Board </v>
      </c>
      <c r="C73" s="303">
        <f>GenDetail!B45</f>
        <v>0</v>
      </c>
      <c r="D73" s="303">
        <f>GenDetail!C45</f>
        <v>3000</v>
      </c>
      <c r="E73" s="39">
        <f>GenDetail!D45</f>
        <v>3500</v>
      </c>
    </row>
    <row r="74" spans="2:5" ht="15">
      <c r="B74" s="216"/>
      <c r="C74" s="303"/>
      <c r="D74" s="303"/>
      <c r="E74" s="39"/>
    </row>
    <row r="75" spans="2:5" ht="15">
      <c r="B75" s="216"/>
      <c r="C75" s="303"/>
      <c r="D75" s="303"/>
      <c r="E75" s="39"/>
    </row>
    <row r="76" spans="2:6" ht="15">
      <c r="B76" s="217" t="s">
        <v>260</v>
      </c>
      <c r="C76" s="345">
        <f>SUM(C68:C75)</f>
        <v>86840</v>
      </c>
      <c r="D76" s="345">
        <f>SUM(D68:D75)</f>
        <v>79821</v>
      </c>
      <c r="E76" s="234">
        <f>SUM(E68:E75)</f>
        <v>176776</v>
      </c>
      <c r="F76" s="218"/>
    </row>
    <row r="77" spans="2:5" ht="15">
      <c r="B77" s="211"/>
      <c r="C77" s="205"/>
      <c r="D77" s="205"/>
      <c r="E77" s="32"/>
    </row>
    <row r="78" spans="2:5" ht="15">
      <c r="B78" s="211"/>
      <c r="C78" s="205"/>
      <c r="D78" s="205"/>
      <c r="E78" s="32"/>
    </row>
    <row r="79" spans="2:5" ht="15">
      <c r="B79" s="211"/>
      <c r="C79" s="205"/>
      <c r="D79" s="205"/>
      <c r="E79" s="32"/>
    </row>
    <row r="80" spans="2:5" ht="15">
      <c r="B80" s="211"/>
      <c r="C80" s="205"/>
      <c r="D80" s="205"/>
      <c r="E80" s="32"/>
    </row>
    <row r="81" spans="2:5" ht="15">
      <c r="B81" s="211"/>
      <c r="C81" s="205"/>
      <c r="D81" s="205"/>
      <c r="E81" s="32"/>
    </row>
    <row r="82" spans="2:5" ht="15">
      <c r="B82" s="211"/>
      <c r="C82" s="205"/>
      <c r="D82" s="205"/>
      <c r="E82" s="32"/>
    </row>
    <row r="83" spans="2:5" ht="15">
      <c r="B83" s="219"/>
      <c r="C83" s="205"/>
      <c r="D83" s="205"/>
      <c r="E83" s="32"/>
    </row>
    <row r="84" spans="2:5" ht="15">
      <c r="B84" s="219"/>
      <c r="C84" s="205"/>
      <c r="D84" s="205"/>
      <c r="E84" s="32"/>
    </row>
    <row r="85" spans="2:5" ht="15">
      <c r="B85" s="219"/>
      <c r="C85" s="205"/>
      <c r="D85" s="205"/>
      <c r="E85" s="32"/>
    </row>
    <row r="86" spans="2:5" ht="15">
      <c r="B86" s="219"/>
      <c r="C86" s="205"/>
      <c r="D86" s="205"/>
      <c r="E86" s="32"/>
    </row>
    <row r="87" spans="2:5" ht="15">
      <c r="B87" s="219"/>
      <c r="C87" s="205"/>
      <c r="D87" s="205"/>
      <c r="E87" s="32"/>
    </row>
    <row r="88" spans="2:5" ht="15">
      <c r="B88" s="219"/>
      <c r="C88" s="205"/>
      <c r="D88" s="205"/>
      <c r="E88" s="32"/>
    </row>
    <row r="89" spans="2:5" ht="15">
      <c r="B89" s="219"/>
      <c r="C89" s="205"/>
      <c r="D89" s="205"/>
      <c r="E89" s="32"/>
    </row>
    <row r="90" spans="2:5" ht="15">
      <c r="B90" s="219"/>
      <c r="C90" s="205"/>
      <c r="D90" s="205"/>
      <c r="E90" s="32"/>
    </row>
    <row r="91" spans="2:5" ht="15">
      <c r="B91" s="219"/>
      <c r="C91" s="205"/>
      <c r="D91" s="205"/>
      <c r="E91" s="32"/>
    </row>
    <row r="92" spans="2:5" ht="15">
      <c r="B92" s="219"/>
      <c r="C92" s="205"/>
      <c r="D92" s="205"/>
      <c r="E92" s="32"/>
    </row>
    <row r="93" spans="2:5" ht="15">
      <c r="B93" s="219"/>
      <c r="C93" s="205"/>
      <c r="D93" s="205"/>
      <c r="E93" s="32"/>
    </row>
    <row r="94" spans="2:5" ht="15">
      <c r="B94" s="219"/>
      <c r="C94" s="205"/>
      <c r="D94" s="205"/>
      <c r="E94" s="32"/>
    </row>
    <row r="95" spans="2:5" ht="15">
      <c r="B95" s="219"/>
      <c r="C95" s="205"/>
      <c r="D95" s="205"/>
      <c r="E95" s="32"/>
    </row>
    <row r="96" spans="2:5" ht="15">
      <c r="B96" s="219"/>
      <c r="C96" s="205"/>
      <c r="D96" s="205"/>
      <c r="E96" s="32"/>
    </row>
    <row r="97" spans="2:5" ht="15">
      <c r="B97" s="219"/>
      <c r="C97" s="205"/>
      <c r="D97" s="205"/>
      <c r="E97" s="32"/>
    </row>
    <row r="98" spans="2:5" ht="15">
      <c r="B98" s="219"/>
      <c r="C98" s="205"/>
      <c r="D98" s="205"/>
      <c r="E98" s="32"/>
    </row>
    <row r="99" spans="2:5" ht="15">
      <c r="B99" s="219"/>
      <c r="C99" s="205"/>
      <c r="D99" s="205"/>
      <c r="E99" s="32"/>
    </row>
    <row r="100" spans="2:5" ht="15">
      <c r="B100" s="219"/>
      <c r="C100" s="205"/>
      <c r="D100" s="205"/>
      <c r="E100" s="32"/>
    </row>
    <row r="101" spans="2:10" ht="15">
      <c r="B101" s="219"/>
      <c r="C101" s="205"/>
      <c r="D101" s="205"/>
      <c r="E101" s="32"/>
      <c r="G101" s="646" t="str">
        <f>CONCATENATE("Desired Carryover Into ",E1+1,"")</f>
        <v>Desired Carryover Into 2015</v>
      </c>
      <c r="H101" s="647"/>
      <c r="I101" s="647"/>
      <c r="J101" s="648"/>
    </row>
    <row r="102" spans="2:10" ht="15">
      <c r="B102" s="219"/>
      <c r="C102" s="205"/>
      <c r="D102" s="205"/>
      <c r="E102" s="32"/>
      <c r="G102" s="352"/>
      <c r="H102" s="351"/>
      <c r="I102" s="351"/>
      <c r="J102" s="353"/>
    </row>
    <row r="103" spans="2:10" ht="15">
      <c r="B103" s="219"/>
      <c r="C103" s="205"/>
      <c r="D103" s="205"/>
      <c r="E103" s="32"/>
      <c r="G103" s="341" t="s">
        <v>263</v>
      </c>
      <c r="H103" s="335"/>
      <c r="I103" s="335"/>
      <c r="J103" s="330">
        <v>0</v>
      </c>
    </row>
    <row r="104" spans="2:10" ht="15">
      <c r="B104" s="219"/>
      <c r="C104" s="205"/>
      <c r="D104" s="205"/>
      <c r="E104" s="32"/>
      <c r="G104" s="355" t="s">
        <v>264</v>
      </c>
      <c r="H104" s="328"/>
      <c r="I104" s="329"/>
      <c r="J104" s="350">
        <f>IF(J103=0,"",ROUND((J103+E118-G116)/inputOth!E7*1000,3)-G121)</f>
      </c>
    </row>
    <row r="105" spans="2:10" ht="15">
      <c r="B105" s="219"/>
      <c r="C105" s="205"/>
      <c r="D105" s="205"/>
      <c r="E105" s="32"/>
      <c r="G105" s="406" t="str">
        <f>CONCATENATE("",E1," Tot Exp/Non-Appr Must Be:")</f>
        <v>2014 Tot Exp/Non-Appr Must Be:</v>
      </c>
      <c r="H105" s="407"/>
      <c r="I105" s="408"/>
      <c r="J105" s="409">
        <f>IF(J103&gt;0,IF(E115&lt;E57,IF(J103=G116,E115,((J103-G116)*(1-D117))+E57),E115+(J103-G116)),0)</f>
        <v>0</v>
      </c>
    </row>
    <row r="106" spans="2:10" ht="15">
      <c r="B106" s="219"/>
      <c r="C106" s="205"/>
      <c r="D106" s="205"/>
      <c r="E106" s="32"/>
      <c r="G106" s="428" t="s">
        <v>284</v>
      </c>
      <c r="H106" s="405"/>
      <c r="I106" s="405"/>
      <c r="J106" s="553">
        <f>IF(J103&gt;0,J105-E115,0)</f>
        <v>0</v>
      </c>
    </row>
    <row r="107" spans="2:5" ht="15">
      <c r="B107" s="219"/>
      <c r="C107" s="205"/>
      <c r="D107" s="205"/>
      <c r="E107" s="32"/>
    </row>
    <row r="108" spans="2:10" ht="15.75" customHeight="1">
      <c r="B108" s="220" t="s">
        <v>220</v>
      </c>
      <c r="C108" s="205"/>
      <c r="D108" s="205"/>
      <c r="E108" s="39"/>
      <c r="G108" s="646" t="str">
        <f>CONCATENATE("Projected Carryover Into ",E1+1,"")</f>
        <v>Projected Carryover Into 2015</v>
      </c>
      <c r="H108" s="639"/>
      <c r="I108" s="639"/>
      <c r="J108" s="656"/>
    </row>
    <row r="109" spans="2:10" ht="15">
      <c r="B109" s="220" t="s">
        <v>219</v>
      </c>
      <c r="C109" s="205"/>
      <c r="D109" s="205"/>
      <c r="E109" s="32"/>
      <c r="G109" s="352"/>
      <c r="H109" s="351"/>
      <c r="I109" s="351"/>
      <c r="J109" s="353"/>
    </row>
    <row r="110" spans="2:10" ht="15">
      <c r="B110" s="220" t="s">
        <v>272</v>
      </c>
      <c r="C110" s="285">
        <f>IF(C111*0.1&lt;C109,"Exceed 10% Rule","")</f>
      </c>
      <c r="D110" s="292">
        <f>IF(D111*0.1&lt;D109,"Exceed 10% Rule","")</f>
      </c>
      <c r="E110" s="233">
        <f>IF(E111*0.1&lt;E109,"Exceed 10% Rule","")</f>
      </c>
      <c r="G110" s="332">
        <f>D112</f>
        <v>83162</v>
      </c>
      <c r="H110" s="333" t="str">
        <f>CONCATENATE("",E1-1," Ending Cash Balance (est.)")</f>
        <v>2013 Ending Cash Balance (est.)</v>
      </c>
      <c r="I110" s="334"/>
      <c r="J110" s="353"/>
    </row>
    <row r="111" spans="2:10" ht="15">
      <c r="B111" s="213" t="s">
        <v>37</v>
      </c>
      <c r="C111" s="302">
        <f>SUM(C76:C109)</f>
        <v>86840</v>
      </c>
      <c r="D111" s="302">
        <f>SUM(D76:D109)</f>
        <v>79821</v>
      </c>
      <c r="E111" s="214">
        <f>SUM(E76:E109)</f>
        <v>176776</v>
      </c>
      <c r="G111" s="332">
        <f>E56</f>
        <v>65746</v>
      </c>
      <c r="H111" s="335" t="str">
        <f>CONCATENATE("",E1," Non-AV Receipts (est.)")</f>
        <v>2014 Non-AV Receipts (est.)</v>
      </c>
      <c r="I111" s="334"/>
      <c r="J111" s="353"/>
    </row>
    <row r="112" spans="2:11" ht="15">
      <c r="B112" s="113" t="s">
        <v>143</v>
      </c>
      <c r="C112" s="303">
        <f>C57-C111</f>
        <v>70407</v>
      </c>
      <c r="D112" s="303">
        <f>D57-D111</f>
        <v>83162</v>
      </c>
      <c r="E112" s="232" t="s">
        <v>13</v>
      </c>
      <c r="G112" s="336">
        <f>IF(E117&gt;0,E116,E118)</f>
        <v>27868</v>
      </c>
      <c r="H112" s="335" t="str">
        <f>CONCATENATE("",E1," Ad Valorem Tax (est.)")</f>
        <v>2014 Ad Valorem Tax (est.)</v>
      </c>
      <c r="I112" s="334"/>
      <c r="J112" s="353"/>
      <c r="K112" s="559">
        <f>IF(G112=E118,"","Note: Does not include Delinquent Taxes")</f>
      </c>
    </row>
    <row r="113" spans="2:10" ht="15">
      <c r="B113" s="101" t="str">
        <f>CONCATENATE("",$E$1-2,"/",$E$1-1," Budget Authority Amount:")</f>
        <v>2012/2013 Budget Authority Amount:</v>
      </c>
      <c r="C113" s="164">
        <f>inputOth!B61</f>
        <v>176760</v>
      </c>
      <c r="D113" s="222">
        <f>inputPrYr!D17</f>
        <v>145056</v>
      </c>
      <c r="E113" s="232" t="s">
        <v>13</v>
      </c>
      <c r="F113" s="223"/>
      <c r="G113" s="332">
        <f>SUM(G110:G112)</f>
        <v>176776</v>
      </c>
      <c r="H113" s="335" t="str">
        <f>CONCATENATE("Total ",E1," Resources Available")</f>
        <v>Total 2014 Resources Available</v>
      </c>
      <c r="I113" s="334"/>
      <c r="J113" s="353"/>
    </row>
    <row r="114" spans="2:10" ht="15">
      <c r="B114" s="101"/>
      <c r="C114" s="649" t="s">
        <v>255</v>
      </c>
      <c r="D114" s="650"/>
      <c r="E114" s="32"/>
      <c r="F114" s="324">
        <f>IF((E111/0.95)-E111&lt;E114,"Exceeds 5% ","")</f>
      </c>
      <c r="G114" s="337"/>
      <c r="H114" s="335"/>
      <c r="I114" s="335"/>
      <c r="J114" s="353"/>
    </row>
    <row r="115" spans="2:10" ht="15">
      <c r="B115" s="308" t="str">
        <f>CONCATENATE(C143,"     ",D143)</f>
        <v>     </v>
      </c>
      <c r="C115" s="651" t="s">
        <v>256</v>
      </c>
      <c r="D115" s="652"/>
      <c r="E115" s="174">
        <f>E111+E114</f>
        <v>176776</v>
      </c>
      <c r="G115" s="336">
        <f>ROUND(C111*0.05+C111,0)</f>
        <v>91182</v>
      </c>
      <c r="H115" s="335" t="str">
        <f>CONCATENATE("Less ",E1-2," Expenditures + 5%")</f>
        <v>Less 2012 Expenditures + 5%</v>
      </c>
      <c r="I115" s="334"/>
      <c r="J115" s="331"/>
    </row>
    <row r="116" spans="2:10" ht="15">
      <c r="B116" s="308" t="str">
        <f>CONCATENATE(C144,"     ",D144)</f>
        <v>     </v>
      </c>
      <c r="C116" s="224"/>
      <c r="D116" s="129" t="s">
        <v>38</v>
      </c>
      <c r="E116" s="39">
        <f>IF(E115-E57&gt;0,E115-E57,0)</f>
        <v>27868</v>
      </c>
      <c r="G116" s="342">
        <f>G113-G115</f>
        <v>85594</v>
      </c>
      <c r="H116" s="338" t="str">
        <f>CONCATENATE("Projected ",E1+1," Carryover (est.)")</f>
        <v>Projected 2015 Carryover (est.)</v>
      </c>
      <c r="I116" s="339"/>
      <c r="J116" s="340"/>
    </row>
    <row r="117" spans="2:5" ht="15">
      <c r="B117" s="101"/>
      <c r="C117" s="294" t="s">
        <v>257</v>
      </c>
      <c r="D117" s="430">
        <f>inputOth!E47</f>
        <v>0</v>
      </c>
      <c r="E117" s="39">
        <f>ROUND(IF(D117&gt;0,(E116*D117),0),0)</f>
        <v>0</v>
      </c>
    </row>
    <row r="118" spans="2:10" ht="15.75" thickBot="1">
      <c r="B118" s="4"/>
      <c r="C118" s="653" t="str">
        <f>CONCATENATE("Amount of  ",$E$1-1," Ad Valorem Tax")</f>
        <v>Amount of  2013 Ad Valorem Tax</v>
      </c>
      <c r="D118" s="654"/>
      <c r="E118" s="291">
        <f>E116+E117</f>
        <v>27868</v>
      </c>
      <c r="G118" s="657" t="s">
        <v>340</v>
      </c>
      <c r="H118" s="658"/>
      <c r="I118" s="658"/>
      <c r="J118" s="659"/>
    </row>
    <row r="119" spans="2:10" ht="15.75" thickTop="1">
      <c r="B119" s="4"/>
      <c r="C119" s="653"/>
      <c r="D119" s="655"/>
      <c r="E119" s="489"/>
      <c r="G119" s="490"/>
      <c r="H119" s="491"/>
      <c r="I119" s="492"/>
      <c r="J119" s="493"/>
    </row>
    <row r="120" spans="2:13" ht="15">
      <c r="B120" s="637" t="s">
        <v>445</v>
      </c>
      <c r="C120" s="638"/>
      <c r="D120" s="638"/>
      <c r="E120" s="638"/>
      <c r="F120" s="596"/>
      <c r="G120" s="596"/>
      <c r="H120" s="595"/>
      <c r="I120" s="595"/>
      <c r="J120" s="595"/>
      <c r="K120" s="595"/>
      <c r="L120" s="595"/>
      <c r="M120" s="595"/>
    </row>
    <row r="121" spans="2:10" ht="15">
      <c r="B121" s="132"/>
      <c r="C121" s="101" t="s">
        <v>40</v>
      </c>
      <c r="D121" s="131" t="str">
        <f>CONCATENATE("",D59,"a")</f>
        <v>8a</v>
      </c>
      <c r="E121" s="132"/>
      <c r="G121" s="494">
        <f>summ!E16</f>
        <v>46.191</v>
      </c>
      <c r="H121" s="491" t="str">
        <f>CONCATENATE("",E1-1," Fund Mill Rate")</f>
        <v>2013 Fund Mill Rate</v>
      </c>
      <c r="I121" s="492"/>
      <c r="J121" s="493"/>
    </row>
    <row r="122" spans="7:10" ht="15">
      <c r="G122" s="495">
        <f>summ!H26</f>
        <v>88.219</v>
      </c>
      <c r="H122" s="491" t="str">
        <f>CONCATENATE("Total ",E1," Mill Rate")</f>
        <v>Total 2014 Mill Rate</v>
      </c>
      <c r="I122" s="492"/>
      <c r="J122" s="493"/>
    </row>
    <row r="123" spans="2:10" ht="15">
      <c r="B123" s="65"/>
      <c r="G123" s="494">
        <f>summ!E26</f>
        <v>89.19</v>
      </c>
      <c r="H123" s="496" t="str">
        <f>CONCATENATE("Total ",E1-1," Mill Rate")</f>
        <v>Total 2013 Mill Rate</v>
      </c>
      <c r="I123" s="497"/>
      <c r="J123" s="498"/>
    </row>
    <row r="124" ht="15">
      <c r="K124" s="404"/>
    </row>
    <row r="125" spans="7:9" ht="15">
      <c r="G125" s="582" t="s">
        <v>358</v>
      </c>
      <c r="H125" s="573"/>
      <c r="I125" s="572" t="str">
        <f>cert!F49</f>
        <v>No</v>
      </c>
    </row>
    <row r="126" spans="2:3" ht="15">
      <c r="B126" s="1"/>
      <c r="C126" s="1"/>
    </row>
    <row r="143" spans="3:4" ht="15" hidden="1">
      <c r="C143" s="5">
        <f>IF(C111&gt;C113,"See Tab A","")</f>
      </c>
      <c r="D143" s="5">
        <f>IF(D111&gt;D113,"See Tab C","")</f>
      </c>
    </row>
    <row r="144" spans="3:4" ht="15" hidden="1">
      <c r="C144" s="5">
        <f>IF(C112&lt;0,"See Tab B","")</f>
      </c>
      <c r="D144" s="5">
        <f>IF(D112&lt;0,"See Tab D","")</f>
      </c>
    </row>
  </sheetData>
  <sheetProtection/>
  <mergeCells count="9">
    <mergeCell ref="B58:E58"/>
    <mergeCell ref="B120:E120"/>
    <mergeCell ref="G101:J101"/>
    <mergeCell ref="C114:D114"/>
    <mergeCell ref="C115:D115"/>
    <mergeCell ref="C118:D118"/>
    <mergeCell ref="C119:D119"/>
    <mergeCell ref="G108:J108"/>
    <mergeCell ref="G118:J118"/>
  </mergeCells>
  <conditionalFormatting sqref="E114">
    <cfRule type="cellIs" priority="2" dxfId="108" operator="greaterThan" stopIfTrue="1">
      <formula>$E$111/0.95-$E$111</formula>
    </cfRule>
  </conditionalFormatting>
  <conditionalFormatting sqref="E109">
    <cfRule type="cellIs" priority="3" dxfId="108" operator="greaterThan" stopIfTrue="1">
      <formula>$E$111*0.1</formula>
    </cfRule>
  </conditionalFormatting>
  <conditionalFormatting sqref="D111">
    <cfRule type="cellIs" priority="4" dxfId="2" operator="greaterThan" stopIfTrue="1">
      <formula>$D$113</formula>
    </cfRule>
  </conditionalFormatting>
  <conditionalFormatting sqref="C111">
    <cfRule type="cellIs" priority="5" dxfId="2" operator="greaterThan" stopIfTrue="1">
      <formula>$C$113</formula>
    </cfRule>
  </conditionalFormatting>
  <conditionalFormatting sqref="C112">
    <cfRule type="cellIs" priority="6" dxfId="2" operator="lessThan" stopIfTrue="1">
      <formula>0</formula>
    </cfRule>
  </conditionalFormatting>
  <conditionalFormatting sqref="C109">
    <cfRule type="cellIs" priority="7" dxfId="2" operator="greaterThan" stopIfTrue="1">
      <formula>$C$111*0.1</formula>
    </cfRule>
  </conditionalFormatting>
  <conditionalFormatting sqref="D109">
    <cfRule type="cellIs" priority="8" dxfId="2" operator="greaterThan" stopIfTrue="1">
      <formula>$D$111*0.1</formula>
    </cfRule>
  </conditionalFormatting>
  <conditionalFormatting sqref="D54">
    <cfRule type="cellIs" priority="9" dxfId="2" operator="greaterThan" stopIfTrue="1">
      <formula>$D$56*0.1</formula>
    </cfRule>
  </conditionalFormatting>
  <conditionalFormatting sqref="C54">
    <cfRule type="cellIs" priority="10" dxfId="2" operator="greaterThan" stopIfTrue="1">
      <formula>$C$56*0.1</formula>
    </cfRule>
  </conditionalFormatting>
  <conditionalFormatting sqref="E54">
    <cfRule type="cellIs" priority="11" dxfId="108"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D64"/>
  <sheetViews>
    <sheetView zoomScalePageLayoutView="0" workbookViewId="0" topLeftCell="A1">
      <selection activeCell="F75" sqref="F75"/>
    </sheetView>
  </sheetViews>
  <sheetFormatPr defaultColWidth="8.8984375" defaultRowHeight="15"/>
  <cols>
    <col min="1" max="1" width="28.296875" style="1" customWidth="1"/>
    <col min="2" max="3" width="15.69921875" style="1" customWidth="1"/>
    <col min="4" max="4" width="16.09765625" style="1" customWidth="1"/>
    <col min="5" max="16384" width="8.8984375" style="1" customWidth="1"/>
  </cols>
  <sheetData>
    <row r="1" spans="1:4" ht="15">
      <c r="A1" s="133" t="str">
        <f>inputPrYr!D2</f>
        <v>City of Toronto</v>
      </c>
      <c r="B1" s="4"/>
      <c r="C1" s="131"/>
      <c r="D1" s="4">
        <f>inputPrYr!C5</f>
        <v>2014</v>
      </c>
    </row>
    <row r="2" spans="1:4" ht="15">
      <c r="A2" s="4"/>
      <c r="B2" s="4"/>
      <c r="C2" s="4"/>
      <c r="D2" s="131"/>
    </row>
    <row r="3" spans="1:4" ht="15">
      <c r="A3" s="23"/>
      <c r="B3" s="226"/>
      <c r="C3" s="226"/>
      <c r="D3" s="226"/>
    </row>
    <row r="4" spans="1:4" ht="15">
      <c r="A4" s="131" t="s">
        <v>24</v>
      </c>
      <c r="B4" s="227" t="s">
        <v>279</v>
      </c>
      <c r="C4" s="107" t="s">
        <v>282</v>
      </c>
      <c r="D4" s="107" t="s">
        <v>283</v>
      </c>
    </row>
    <row r="5" spans="1:4" ht="15">
      <c r="A5" s="384" t="s">
        <v>224</v>
      </c>
      <c r="B5" s="288" t="str">
        <f>CONCATENATE("Actual for ",D1-2,"")</f>
        <v>Actual for 2012</v>
      </c>
      <c r="C5" s="288" t="str">
        <f>CONCATENATE("Estimate for ",D1-1,"")</f>
        <v>Estimate for 2013</v>
      </c>
      <c r="D5" s="203" t="str">
        <f>CONCATENATE("Year for ",D1,"")</f>
        <v>Year for 2014</v>
      </c>
    </row>
    <row r="6" spans="1:4" ht="15">
      <c r="A6" s="172" t="s">
        <v>34</v>
      </c>
      <c r="B6" s="50"/>
      <c r="C6" s="50"/>
      <c r="D6" s="50"/>
    </row>
    <row r="7" spans="1:4" ht="15">
      <c r="A7" s="587" t="s">
        <v>395</v>
      </c>
      <c r="B7" s="50"/>
      <c r="C7" s="50"/>
      <c r="D7" s="50"/>
    </row>
    <row r="8" spans="1:4" ht="15">
      <c r="A8" s="588" t="s">
        <v>396</v>
      </c>
      <c r="B8" s="210">
        <v>41374</v>
      </c>
      <c r="C8" s="210">
        <v>44176</v>
      </c>
      <c r="D8" s="210">
        <v>48594</v>
      </c>
    </row>
    <row r="9" spans="1:4" ht="15">
      <c r="A9" s="588" t="s">
        <v>397</v>
      </c>
      <c r="B9" s="210">
        <v>23459</v>
      </c>
      <c r="C9" s="210">
        <v>21858</v>
      </c>
      <c r="D9" s="210">
        <v>30000</v>
      </c>
    </row>
    <row r="10" spans="1:4" ht="15">
      <c r="A10" s="588" t="s">
        <v>35</v>
      </c>
      <c r="B10" s="210">
        <v>5530</v>
      </c>
      <c r="C10" s="210">
        <v>3994</v>
      </c>
      <c r="D10" s="210">
        <v>6000</v>
      </c>
    </row>
    <row r="11" spans="1:4" ht="15">
      <c r="A11" s="588" t="s">
        <v>36</v>
      </c>
      <c r="B11" s="210">
        <v>8011</v>
      </c>
      <c r="C11" s="210">
        <v>0</v>
      </c>
      <c r="D11" s="210">
        <v>5000</v>
      </c>
    </row>
    <row r="12" spans="1:4" ht="15">
      <c r="A12" s="228"/>
      <c r="B12" s="210"/>
      <c r="C12" s="210"/>
      <c r="D12" s="210"/>
    </row>
    <row r="13" spans="1:4" ht="15">
      <c r="A13" s="35"/>
      <c r="B13" s="210"/>
      <c r="C13" s="210"/>
      <c r="D13" s="210"/>
    </row>
    <row r="14" spans="1:4" ht="15">
      <c r="A14" s="35"/>
      <c r="B14" s="210"/>
      <c r="C14" s="210"/>
      <c r="D14" s="210"/>
    </row>
    <row r="15" spans="1:4" ht="15">
      <c r="A15" s="172" t="s">
        <v>229</v>
      </c>
      <c r="B15" s="221">
        <f>SUM(B8:B14)</f>
        <v>78374</v>
      </c>
      <c r="C15" s="221">
        <f>SUM(C8:C14)</f>
        <v>70028</v>
      </c>
      <c r="D15" s="221">
        <f>SUM(D8:D14)</f>
        <v>89594</v>
      </c>
    </row>
    <row r="16" spans="1:4" ht="15">
      <c r="A16" s="589" t="s">
        <v>398</v>
      </c>
      <c r="B16" s="133"/>
      <c r="C16" s="133"/>
      <c r="D16" s="133"/>
    </row>
    <row r="17" spans="1:4" ht="15">
      <c r="A17" s="588" t="s">
        <v>396</v>
      </c>
      <c r="B17" s="210">
        <v>0</v>
      </c>
      <c r="C17" s="210">
        <v>0</v>
      </c>
      <c r="D17" s="210">
        <v>0</v>
      </c>
    </row>
    <row r="18" spans="1:4" ht="15">
      <c r="A18" s="588" t="s">
        <v>397</v>
      </c>
      <c r="B18" s="210">
        <v>2487</v>
      </c>
      <c r="C18" s="210">
        <v>2500</v>
      </c>
      <c r="D18" s="210">
        <v>3500</v>
      </c>
    </row>
    <row r="19" spans="1:4" ht="15">
      <c r="A19" s="588" t="s">
        <v>35</v>
      </c>
      <c r="B19" s="210">
        <v>1227</v>
      </c>
      <c r="C19" s="210">
        <v>1500</v>
      </c>
      <c r="D19" s="210">
        <v>3500</v>
      </c>
    </row>
    <row r="20" spans="1:4" ht="15">
      <c r="A20" s="588" t="s">
        <v>36</v>
      </c>
      <c r="B20" s="210">
        <v>1620</v>
      </c>
      <c r="C20" s="210">
        <v>500</v>
      </c>
      <c r="D20" s="210">
        <v>2000</v>
      </c>
    </row>
    <row r="21" spans="1:4" ht="15">
      <c r="A21" s="172" t="s">
        <v>229</v>
      </c>
      <c r="B21" s="221">
        <f>SUM(B17:B20)</f>
        <v>5334</v>
      </c>
      <c r="C21" s="221">
        <f>SUM(C17:C20)</f>
        <v>4500</v>
      </c>
      <c r="D21" s="221">
        <f>SUM(D17:D20)</f>
        <v>9000</v>
      </c>
    </row>
    <row r="22" spans="1:4" ht="15">
      <c r="A22" s="589" t="s">
        <v>399</v>
      </c>
      <c r="B22" s="133"/>
      <c r="C22" s="133"/>
      <c r="D22" s="133"/>
    </row>
    <row r="23" spans="1:4" ht="15">
      <c r="A23" s="588" t="s">
        <v>397</v>
      </c>
      <c r="B23" s="210">
        <v>538</v>
      </c>
      <c r="C23" s="210">
        <v>0</v>
      </c>
      <c r="D23" s="210">
        <v>300</v>
      </c>
    </row>
    <row r="24" spans="1:4" ht="15">
      <c r="A24" s="588" t="s">
        <v>35</v>
      </c>
      <c r="B24" s="210">
        <v>0</v>
      </c>
      <c r="C24" s="210">
        <v>50</v>
      </c>
      <c r="D24" s="210">
        <v>50</v>
      </c>
    </row>
    <row r="25" spans="1:4" ht="15">
      <c r="A25" s="588"/>
      <c r="B25" s="210"/>
      <c r="C25" s="210"/>
      <c r="D25" s="210"/>
    </row>
    <row r="26" spans="1:4" ht="15">
      <c r="A26" s="228"/>
      <c r="B26" s="210"/>
      <c r="C26" s="210"/>
      <c r="D26" s="210"/>
    </row>
    <row r="27" spans="1:4" ht="15">
      <c r="A27" s="172" t="s">
        <v>229</v>
      </c>
      <c r="B27" s="221">
        <f>SUM(B23:B26)</f>
        <v>538</v>
      </c>
      <c r="C27" s="221">
        <f>SUM(C23:C26)</f>
        <v>50</v>
      </c>
      <c r="D27" s="221">
        <f>SUM(D23:D26)</f>
        <v>350</v>
      </c>
    </row>
    <row r="28" spans="1:4" ht="15">
      <c r="A28" s="589" t="s">
        <v>400</v>
      </c>
      <c r="B28" s="133"/>
      <c r="C28" s="133"/>
      <c r="D28" s="133"/>
    </row>
    <row r="29" spans="1:4" ht="15">
      <c r="A29" s="588" t="s">
        <v>396</v>
      </c>
      <c r="B29" s="210">
        <v>0</v>
      </c>
      <c r="C29" s="210">
        <v>237</v>
      </c>
      <c r="D29" s="210">
        <v>1000</v>
      </c>
    </row>
    <row r="30" spans="1:4" ht="15">
      <c r="A30" s="588" t="s">
        <v>397</v>
      </c>
      <c r="B30" s="210">
        <v>1794</v>
      </c>
      <c r="C30" s="210">
        <v>710</v>
      </c>
      <c r="D30" s="210">
        <v>4000</v>
      </c>
    </row>
    <row r="31" spans="1:4" ht="15">
      <c r="A31" s="588" t="s">
        <v>35</v>
      </c>
      <c r="B31" s="210">
        <v>800</v>
      </c>
      <c r="C31" s="210">
        <v>1150</v>
      </c>
      <c r="D31" s="210">
        <v>69007</v>
      </c>
    </row>
    <row r="32" spans="1:4" ht="15">
      <c r="A32" s="588"/>
      <c r="B32" s="210"/>
      <c r="C32" s="210"/>
      <c r="D32" s="210"/>
    </row>
    <row r="33" spans="1:4" ht="15">
      <c r="A33" s="172" t="s">
        <v>229</v>
      </c>
      <c r="B33" s="221">
        <f>SUM(B29:B32)</f>
        <v>2594</v>
      </c>
      <c r="C33" s="221">
        <f>SUM(C29:C32)</f>
        <v>2097</v>
      </c>
      <c r="D33" s="221">
        <f>SUM(D29:D32)</f>
        <v>74007</v>
      </c>
    </row>
    <row r="34" spans="1:4" ht="15">
      <c r="A34" s="589" t="s">
        <v>401</v>
      </c>
      <c r="B34" s="133"/>
      <c r="C34" s="133"/>
      <c r="D34" s="133"/>
    </row>
    <row r="35" spans="1:4" ht="15">
      <c r="A35" s="588" t="s">
        <v>35</v>
      </c>
      <c r="B35" s="210">
        <v>0</v>
      </c>
      <c r="C35" s="210">
        <v>146</v>
      </c>
      <c r="D35" s="210">
        <v>325</v>
      </c>
    </row>
    <row r="36" spans="1:4" ht="15">
      <c r="A36" s="588"/>
      <c r="B36" s="210"/>
      <c r="C36" s="210"/>
      <c r="D36" s="210"/>
    </row>
    <row r="37" spans="1:4" ht="15">
      <c r="A37" s="228"/>
      <c r="B37" s="210"/>
      <c r="C37" s="210"/>
      <c r="D37" s="210"/>
    </row>
    <row r="38" spans="1:4" ht="15">
      <c r="A38" s="228"/>
      <c r="B38" s="210"/>
      <c r="C38" s="210"/>
      <c r="D38" s="210"/>
    </row>
    <row r="39" spans="1:4" ht="15">
      <c r="A39" s="172" t="s">
        <v>229</v>
      </c>
      <c r="B39" s="221">
        <f>SUM(B35:B38)</f>
        <v>0</v>
      </c>
      <c r="C39" s="221">
        <f>SUM(C35:C38)</f>
        <v>146</v>
      </c>
      <c r="D39" s="221">
        <f>SUM(D35:D38)</f>
        <v>325</v>
      </c>
    </row>
    <row r="40" spans="1:4" ht="15">
      <c r="A40" s="589" t="s">
        <v>402</v>
      </c>
      <c r="B40" s="133"/>
      <c r="C40" s="133"/>
      <c r="D40" s="133"/>
    </row>
    <row r="41" spans="1:4" ht="15">
      <c r="A41" s="588" t="s">
        <v>403</v>
      </c>
      <c r="B41" s="210">
        <v>0</v>
      </c>
      <c r="C41" s="210">
        <v>3000</v>
      </c>
      <c r="D41" s="210">
        <v>3500</v>
      </c>
    </row>
    <row r="42" spans="1:4" ht="15">
      <c r="A42" s="228"/>
      <c r="B42" s="210"/>
      <c r="C42" s="599"/>
      <c r="D42" s="210"/>
    </row>
    <row r="43" spans="1:4" ht="15">
      <c r="A43" s="228"/>
      <c r="B43" s="210"/>
      <c r="C43" s="210"/>
      <c r="D43" s="210"/>
    </row>
    <row r="44" spans="1:4" ht="15">
      <c r="A44" s="228"/>
      <c r="B44" s="210"/>
      <c r="C44" s="210"/>
      <c r="D44" s="210"/>
    </row>
    <row r="45" spans="1:4" ht="15">
      <c r="A45" s="172" t="s">
        <v>229</v>
      </c>
      <c r="B45" s="221">
        <f>SUM(B41:B44)</f>
        <v>0</v>
      </c>
      <c r="C45" s="221">
        <f>SUM(C41:C44)</f>
        <v>3000</v>
      </c>
      <c r="D45" s="221">
        <f>SUM(D41:D44)</f>
        <v>3500</v>
      </c>
    </row>
    <row r="46" spans="1:4" ht="15">
      <c r="A46" s="229"/>
      <c r="B46" s="133"/>
      <c r="C46" s="133"/>
      <c r="D46" s="133"/>
    </row>
    <row r="47" spans="1:4" ht="15">
      <c r="A47" s="228"/>
      <c r="B47" s="210"/>
      <c r="C47" s="210"/>
      <c r="D47" s="210"/>
    </row>
    <row r="48" spans="1:4" ht="15">
      <c r="A48" s="228"/>
      <c r="B48" s="210"/>
      <c r="C48" s="210"/>
      <c r="D48" s="210"/>
    </row>
    <row r="49" spans="1:4" ht="15">
      <c r="A49" s="228"/>
      <c r="B49" s="210"/>
      <c r="C49" s="210"/>
      <c r="D49" s="210"/>
    </row>
    <row r="50" spans="1:4" ht="15">
      <c r="A50" s="228"/>
      <c r="B50" s="210"/>
      <c r="C50" s="210"/>
      <c r="D50" s="210"/>
    </row>
    <row r="51" spans="1:4" ht="15">
      <c r="A51" s="172" t="s">
        <v>229</v>
      </c>
      <c r="B51" s="221">
        <f>SUM(B47:B50)</f>
        <v>0</v>
      </c>
      <c r="C51" s="221">
        <f>SUM(C47:C50)</f>
        <v>0</v>
      </c>
      <c r="D51" s="221">
        <f>SUM(D47:D50)</f>
        <v>0</v>
      </c>
    </row>
    <row r="52" spans="1:4" ht="15">
      <c r="A52" s="229"/>
      <c r="B52" s="133"/>
      <c r="C52" s="133"/>
      <c r="D52" s="133"/>
    </row>
    <row r="53" spans="1:4" ht="15">
      <c r="A53" s="228"/>
      <c r="B53" s="210"/>
      <c r="C53" s="210"/>
      <c r="D53" s="210"/>
    </row>
    <row r="54" spans="1:4" ht="15">
      <c r="A54" s="228"/>
      <c r="B54" s="210"/>
      <c r="C54" s="210"/>
      <c r="D54" s="210"/>
    </row>
    <row r="55" spans="1:4" ht="15">
      <c r="A55" s="228"/>
      <c r="B55" s="210"/>
      <c r="C55" s="210"/>
      <c r="D55" s="210"/>
    </row>
    <row r="56" spans="1:4" ht="15">
      <c r="A56" s="228"/>
      <c r="B56" s="210"/>
      <c r="C56" s="210"/>
      <c r="D56" s="210"/>
    </row>
    <row r="57" spans="1:4" ht="15">
      <c r="A57" s="172" t="s">
        <v>229</v>
      </c>
      <c r="B57" s="221">
        <f>SUM(B53:B56)</f>
        <v>0</v>
      </c>
      <c r="C57" s="221">
        <f>SUM(C53:C56)</f>
        <v>0</v>
      </c>
      <c r="D57" s="221">
        <f>SUM(D53:D56)</f>
        <v>0</v>
      </c>
    </row>
    <row r="58" spans="1:4" ht="15">
      <c r="A58" s="4"/>
      <c r="B58" s="133"/>
      <c r="C58" s="133"/>
      <c r="D58" s="133"/>
    </row>
    <row r="59" spans="1:4" ht="15.75" thickBot="1">
      <c r="A59" s="172" t="s">
        <v>41</v>
      </c>
      <c r="B59" s="230">
        <f>B15+B21+B27+B33+B39+B45+B51+B57</f>
        <v>86840</v>
      </c>
      <c r="C59" s="230">
        <f>C15+C21+C27+C33+C39+C45+C51+C57</f>
        <v>79821</v>
      </c>
      <c r="D59" s="230">
        <f>D15+D21+D27+D33+D39+D45+D51+D57</f>
        <v>176776</v>
      </c>
    </row>
    <row r="60" spans="1:4" ht="15.75" thickTop="1">
      <c r="A60" s="597"/>
      <c r="B60" s="598"/>
      <c r="C60" s="598"/>
      <c r="D60" s="598"/>
    </row>
    <row r="61" spans="1:4" ht="15">
      <c r="A61" s="597"/>
      <c r="B61" s="598"/>
      <c r="C61" s="598"/>
      <c r="D61" s="598"/>
    </row>
    <row r="62" spans="1:4" ht="15">
      <c r="A62" s="231" t="s">
        <v>223</v>
      </c>
      <c r="B62" s="133"/>
      <c r="C62" s="133"/>
      <c r="D62" s="133"/>
    </row>
    <row r="63" spans="1:4" ht="15">
      <c r="A63" s="637" t="s">
        <v>445</v>
      </c>
      <c r="B63" s="638"/>
      <c r="C63" s="638"/>
      <c r="D63" s="638"/>
    </row>
    <row r="64" spans="1:4" ht="15">
      <c r="A64" s="101" t="s">
        <v>40</v>
      </c>
      <c r="B64" s="411" t="str">
        <f>CONCATENATE("",general!D59,"b")</f>
        <v>8b</v>
      </c>
      <c r="C64" s="133"/>
      <c r="D64" s="133"/>
    </row>
  </sheetData>
  <sheetProtection/>
  <mergeCells count="1">
    <mergeCell ref="A63:D63"/>
  </mergeCells>
  <printOptions/>
  <pageMargins left="0.5" right="0.5" top="1" bottom="0.5" header="0.5" footer="0.5"/>
  <pageSetup blackAndWhite="1" fitToHeight="1" fitToWidth="1" horizontalDpi="300" verticalDpi="300" orientation="portrait" scale="76"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dimension ref="B1:K94"/>
  <sheetViews>
    <sheetView workbookViewId="0" topLeftCell="A1">
      <selection activeCell="B83" sqref="B83"/>
    </sheetView>
  </sheetViews>
  <sheetFormatPr defaultColWidth="8.8984375" defaultRowHeight="15"/>
  <cols>
    <col min="1" max="1" width="2.3984375" style="5" customWidth="1"/>
    <col min="2" max="2" width="31.09765625" style="5" customWidth="1"/>
    <col min="3" max="4" width="15.69921875" style="5" customWidth="1"/>
    <col min="5" max="5" width="16.19921875" style="5" customWidth="1"/>
    <col min="6" max="6" width="8.09765625" style="5" customWidth="1"/>
    <col min="7" max="7" width="10.19921875" style="5" customWidth="1"/>
    <col min="8" max="8" width="8.8984375" style="5" customWidth="1"/>
    <col min="9" max="9" width="5" style="5" customWidth="1"/>
    <col min="10" max="10" width="10" style="5" customWidth="1"/>
    <col min="11" max="16384" width="8.8984375" style="5" customWidth="1"/>
  </cols>
  <sheetData>
    <row r="1" spans="2:5" ht="15">
      <c r="B1" s="133" t="str">
        <f>(inputPrYr!D2)</f>
        <v>City of Toronto</v>
      </c>
      <c r="C1" s="133"/>
      <c r="D1" s="4"/>
      <c r="E1" s="166">
        <f>inputPrYr!$C$5</f>
        <v>2014</v>
      </c>
    </row>
    <row r="2" spans="2:5" ht="15">
      <c r="B2" s="4"/>
      <c r="C2" s="4"/>
      <c r="D2" s="4"/>
      <c r="E2" s="129"/>
    </row>
    <row r="3" spans="2:5" ht="15">
      <c r="B3" s="23" t="s">
        <v>87</v>
      </c>
      <c r="C3" s="23"/>
      <c r="D3" s="297"/>
      <c r="E3" s="296"/>
    </row>
    <row r="4" spans="2:5" ht="15">
      <c r="B4" s="11" t="s">
        <v>24</v>
      </c>
      <c r="C4" s="487" t="s">
        <v>279</v>
      </c>
      <c r="D4" s="488" t="s">
        <v>282</v>
      </c>
      <c r="E4" s="107" t="s">
        <v>283</v>
      </c>
    </row>
    <row r="5" spans="2:5" ht="15">
      <c r="B5" s="304" t="str">
        <f>inputPrYr!B18</f>
        <v>G. O. Bond and Interest</v>
      </c>
      <c r="C5" s="288" t="str">
        <f>CONCATENATE("Actual for ",E1-2,"")</f>
        <v>Actual for 2012</v>
      </c>
      <c r="D5" s="288" t="str">
        <f>CONCATENATE("Estimate for ",E1-1,"")</f>
        <v>Estimate for 2013</v>
      </c>
      <c r="E5" s="203" t="str">
        <f>CONCATENATE("Year for ",E1,"")</f>
        <v>Year for 2014</v>
      </c>
    </row>
    <row r="6" spans="2:5" ht="15">
      <c r="B6" s="113" t="s">
        <v>142</v>
      </c>
      <c r="C6" s="432">
        <v>36918</v>
      </c>
      <c r="D6" s="287">
        <f>C34</f>
        <v>31254</v>
      </c>
      <c r="E6" s="174">
        <f>D34</f>
        <v>29099</v>
      </c>
    </row>
    <row r="7" spans="2:5" ht="15">
      <c r="B7" s="113" t="s">
        <v>144</v>
      </c>
      <c r="C7" s="287"/>
      <c r="D7" s="287"/>
      <c r="E7" s="174"/>
    </row>
    <row r="8" spans="2:5" ht="15">
      <c r="B8" s="113" t="s">
        <v>25</v>
      </c>
      <c r="C8" s="418">
        <v>17780</v>
      </c>
      <c r="D8" s="287">
        <f>IF(inputPrYr!H16&gt;0,inputPrYr!G18,inputPrYr!E18)</f>
        <v>18931</v>
      </c>
      <c r="E8" s="232" t="s">
        <v>13</v>
      </c>
    </row>
    <row r="9" spans="2:5" ht="15">
      <c r="B9" s="113" t="s">
        <v>26</v>
      </c>
      <c r="C9" s="418">
        <v>1391</v>
      </c>
      <c r="D9" s="205">
        <v>2103</v>
      </c>
      <c r="E9" s="32">
        <v>2103</v>
      </c>
    </row>
    <row r="10" spans="2:5" ht="15">
      <c r="B10" s="113" t="s">
        <v>27</v>
      </c>
      <c r="C10" s="418">
        <v>3595</v>
      </c>
      <c r="D10" s="205">
        <v>4166</v>
      </c>
      <c r="E10" s="174">
        <f>mvalloc!D8</f>
        <v>2832</v>
      </c>
    </row>
    <row r="11" spans="2:5" ht="15">
      <c r="B11" s="113" t="s">
        <v>28</v>
      </c>
      <c r="C11" s="418">
        <v>104</v>
      </c>
      <c r="D11" s="205">
        <v>74</v>
      </c>
      <c r="E11" s="174">
        <f>mvalloc!E8</f>
        <v>77</v>
      </c>
    </row>
    <row r="12" spans="2:5" ht="15">
      <c r="B12" s="220" t="s">
        <v>119</v>
      </c>
      <c r="C12" s="418">
        <v>521</v>
      </c>
      <c r="D12" s="205">
        <v>526</v>
      </c>
      <c r="E12" s="174">
        <f>mvalloc!F8</f>
        <v>525</v>
      </c>
    </row>
    <row r="13" spans="2:5" ht="15">
      <c r="B13" s="590" t="s">
        <v>404</v>
      </c>
      <c r="C13" s="418">
        <v>7830</v>
      </c>
      <c r="D13" s="205">
        <v>7830</v>
      </c>
      <c r="E13" s="32">
        <v>7830</v>
      </c>
    </row>
    <row r="14" spans="2:5" ht="15">
      <c r="B14" s="590" t="s">
        <v>392</v>
      </c>
      <c r="C14" s="418"/>
      <c r="D14" s="205"/>
      <c r="E14" s="32"/>
    </row>
    <row r="15" spans="2:5" ht="15">
      <c r="B15" s="590" t="s">
        <v>405</v>
      </c>
      <c r="C15" s="418">
        <v>16000</v>
      </c>
      <c r="D15" s="205">
        <v>16000</v>
      </c>
      <c r="E15" s="32">
        <v>16000</v>
      </c>
    </row>
    <row r="16" spans="2:5" ht="15">
      <c r="B16" s="590" t="s">
        <v>406</v>
      </c>
      <c r="C16" s="418">
        <v>6000</v>
      </c>
      <c r="D16" s="205">
        <v>6000</v>
      </c>
      <c r="E16" s="32">
        <v>6000</v>
      </c>
    </row>
    <row r="17" spans="2:5" ht="15">
      <c r="B17" s="240" t="s">
        <v>30</v>
      </c>
      <c r="C17" s="418"/>
      <c r="D17" s="205"/>
      <c r="E17" s="32"/>
    </row>
    <row r="18" spans="2:5" ht="15">
      <c r="B18" s="113" t="s">
        <v>219</v>
      </c>
      <c r="C18" s="418"/>
      <c r="D18" s="205"/>
      <c r="E18" s="32"/>
    </row>
    <row r="19" spans="2:5" ht="15">
      <c r="B19" s="113" t="s">
        <v>271</v>
      </c>
      <c r="C19" s="289">
        <f>IF(C20*0.1&lt;C18,"Exceed 10% Rule","")</f>
      </c>
      <c r="D19" s="306">
        <f>IF(D20*0.1&lt;D18,"Exceed 10% Rule","")</f>
      </c>
      <c r="E19" s="233">
        <f>IF(E21*0.01+E40&lt;E18,"Exceed 10% Rule","")</f>
      </c>
    </row>
    <row r="20" spans="2:5" ht="15">
      <c r="B20" s="213" t="s">
        <v>31</v>
      </c>
      <c r="C20" s="290">
        <f>SUM(C8:C18)</f>
        <v>53221</v>
      </c>
      <c r="D20" s="290">
        <f>SUM(D8:D18)</f>
        <v>55630</v>
      </c>
      <c r="E20" s="237">
        <f>SUM(E8:E18)</f>
        <v>35367</v>
      </c>
    </row>
    <row r="21" spans="2:5" ht="15">
      <c r="B21" s="213" t="s">
        <v>32</v>
      </c>
      <c r="C21" s="290">
        <f>C6+C20</f>
        <v>90139</v>
      </c>
      <c r="D21" s="290">
        <f>D6+D20</f>
        <v>86884</v>
      </c>
      <c r="E21" s="237">
        <f>E6+E20</f>
        <v>64466</v>
      </c>
    </row>
    <row r="22" spans="2:5" ht="15">
      <c r="B22" s="113" t="s">
        <v>34</v>
      </c>
      <c r="C22" s="113"/>
      <c r="D22" s="287"/>
      <c r="E22" s="174"/>
    </row>
    <row r="23" spans="2:5" ht="15">
      <c r="B23" s="591" t="s">
        <v>407</v>
      </c>
      <c r="C23" s="301"/>
      <c r="D23" s="205"/>
      <c r="E23" s="32"/>
    </row>
    <row r="24" spans="2:10" ht="15">
      <c r="B24" s="591" t="s">
        <v>408</v>
      </c>
      <c r="C24" s="301">
        <v>40000</v>
      </c>
      <c r="D24" s="205">
        <v>40000</v>
      </c>
      <c r="E24" s="32">
        <v>40000</v>
      </c>
      <c r="G24" s="660" t="str">
        <f>CONCATENATE("Desired Carryover Into ",E1+1,"")</f>
        <v>Desired Carryover Into 2015</v>
      </c>
      <c r="H24" s="639"/>
      <c r="I24" s="639"/>
      <c r="J24" s="656"/>
    </row>
    <row r="25" spans="2:10" ht="15">
      <c r="B25" s="591" t="s">
        <v>409</v>
      </c>
      <c r="C25" s="301">
        <v>18885</v>
      </c>
      <c r="D25" s="205">
        <v>17785</v>
      </c>
      <c r="E25" s="32">
        <v>16685</v>
      </c>
      <c r="G25" s="419"/>
      <c r="H25" s="414"/>
      <c r="I25" s="416"/>
      <c r="J25" s="420"/>
    </row>
    <row r="26" spans="2:10" ht="15">
      <c r="B26" s="211"/>
      <c r="C26" s="301"/>
      <c r="D26" s="205"/>
      <c r="E26" s="32"/>
      <c r="G26" s="417" t="s">
        <v>263</v>
      </c>
      <c r="H26" s="416"/>
      <c r="I26" s="416"/>
      <c r="J26" s="415">
        <v>0</v>
      </c>
    </row>
    <row r="27" spans="2:10" ht="15">
      <c r="B27" s="211" t="s">
        <v>443</v>
      </c>
      <c r="C27" s="301">
        <v>0</v>
      </c>
      <c r="D27" s="205">
        <v>0</v>
      </c>
      <c r="E27" s="32">
        <v>29350</v>
      </c>
      <c r="G27" s="419" t="s">
        <v>264</v>
      </c>
      <c r="H27" s="414"/>
      <c r="I27" s="414"/>
      <c r="J27" s="433">
        <f>IF(J26=0,"",ROUND((J26+E40-G39)/inputOth!E7*1000,3)-G44)</f>
      </c>
    </row>
    <row r="28" spans="2:10" ht="15">
      <c r="B28" s="211"/>
      <c r="C28" s="301"/>
      <c r="D28" s="205"/>
      <c r="E28" s="32"/>
      <c r="G28" s="424" t="str">
        <f>CONCATENATE("",E1," Tot Exp/Non-Appr Must Be:")</f>
        <v>2014 Tot Exp/Non-Appr Must Be:</v>
      </c>
      <c r="H28" s="422"/>
      <c r="I28" s="423"/>
      <c r="J28" s="421">
        <f>IF(J26&gt;0,IF(E37&lt;E21,IF(J26=G39,E37,((J26-G39)*(1-D39))+E21),E37+(J26-G39)),0)</f>
        <v>0</v>
      </c>
    </row>
    <row r="29" spans="2:10" ht="15">
      <c r="B29" s="211"/>
      <c r="C29" s="301"/>
      <c r="D29" s="205"/>
      <c r="E29" s="32"/>
      <c r="G29" s="428" t="s">
        <v>284</v>
      </c>
      <c r="H29" s="429"/>
      <c r="I29" s="429"/>
      <c r="J29" s="425">
        <f>IF(J26&gt;0,J28-E37,0)</f>
        <v>0</v>
      </c>
    </row>
    <row r="30" spans="2:5" ht="15">
      <c r="B30" s="299" t="s">
        <v>220</v>
      </c>
      <c r="C30" s="301"/>
      <c r="D30" s="205"/>
      <c r="E30" s="174"/>
    </row>
    <row r="31" spans="2:10" ht="15">
      <c r="B31" s="299" t="s">
        <v>219</v>
      </c>
      <c r="C31" s="301"/>
      <c r="D31" s="205"/>
      <c r="E31" s="32"/>
      <c r="G31" s="666" t="str">
        <f>CONCATENATE("Projected Carryover Into ",E1+1,"")</f>
        <v>Projected Carryover Into 2015</v>
      </c>
      <c r="H31" s="638"/>
      <c r="I31" s="638"/>
      <c r="J31" s="656"/>
    </row>
    <row r="32" spans="2:10" ht="15">
      <c r="B32" s="299" t="s">
        <v>259</v>
      </c>
      <c r="C32" s="300">
        <f>IF(C33*0.1&lt;C31,"Exceed 10% Rule","")</f>
      </c>
      <c r="D32" s="307">
        <f>IF(D33*0.1&lt;D31,"Exceed 10% Rule","")</f>
      </c>
      <c r="E32" s="298">
        <f>IF(E33*0.1&lt;E31,"Exceed 10% Rule","")</f>
      </c>
      <c r="G32" s="352"/>
      <c r="H32" s="351"/>
      <c r="I32" s="351"/>
      <c r="J32" s="412"/>
    </row>
    <row r="33" spans="2:10" ht="15">
      <c r="B33" s="213" t="s">
        <v>37</v>
      </c>
      <c r="C33" s="302">
        <f>SUM(C23:C31)</f>
        <v>58885</v>
      </c>
      <c r="D33" s="302">
        <f>SUM(D23:D31)</f>
        <v>57785</v>
      </c>
      <c r="E33" s="214">
        <f>SUM(E23:E31)</f>
        <v>86035</v>
      </c>
      <c r="G33" s="356">
        <f>D34</f>
        <v>29099</v>
      </c>
      <c r="H33" s="357" t="str">
        <f>CONCATENATE("",E1-1," Ending Cash Balance (est.)")</f>
        <v>2013 Ending Cash Balance (est.)</v>
      </c>
      <c r="I33" s="353"/>
      <c r="J33" s="412"/>
    </row>
    <row r="34" spans="2:10" ht="15">
      <c r="B34" s="113" t="s">
        <v>143</v>
      </c>
      <c r="C34" s="303">
        <f>C21-C33</f>
        <v>31254</v>
      </c>
      <c r="D34" s="303">
        <f>D21-D33</f>
        <v>29099</v>
      </c>
      <c r="E34" s="232" t="s">
        <v>13</v>
      </c>
      <c r="G34" s="356">
        <f>E20</f>
        <v>35367</v>
      </c>
      <c r="H34" s="358" t="str">
        <f>CONCATENATE("",E1," Non-AV Receipts (est.)")</f>
        <v>2014 Non-AV Receipts (est.)</v>
      </c>
      <c r="I34" s="351"/>
      <c r="J34" s="412"/>
    </row>
    <row r="35" spans="2:11" ht="15">
      <c r="B35" s="101" t="str">
        <f>CONCATENATE("",E1-2,"/",E1-1," Budget Authority Amount:")</f>
        <v>2012/2013 Budget Authority Amount:</v>
      </c>
      <c r="C35" s="164">
        <f>inputOth!B62</f>
        <v>95736</v>
      </c>
      <c r="D35" s="222">
        <f>inputPrYr!D18</f>
        <v>91990</v>
      </c>
      <c r="E35" s="232" t="s">
        <v>13</v>
      </c>
      <c r="F35" s="223"/>
      <c r="G35" s="359">
        <f>IF(E39&gt;0,E38,E40)</f>
        <v>21569</v>
      </c>
      <c r="H35" s="358" t="str">
        <f>CONCATENATE("",E1," Ad Valorem Tax (est.)")</f>
        <v>2014 Ad Valorem Tax (est.)</v>
      </c>
      <c r="I35" s="351"/>
      <c r="J35" s="412"/>
      <c r="K35" s="431">
        <f>IF(G35=E40,"","Note: Does not include Delinquent Taxes")</f>
      </c>
    </row>
    <row r="36" spans="2:10" ht="15">
      <c r="B36" s="101"/>
      <c r="C36" s="649" t="s">
        <v>255</v>
      </c>
      <c r="D36" s="650"/>
      <c r="E36" s="32"/>
      <c r="F36" s="324">
        <f>IF(E33/0.95-E33&lt;E36,"Exceeds 5%","")</f>
      </c>
      <c r="G36" s="356">
        <f>SUM(G33:G35)</f>
        <v>86035</v>
      </c>
      <c r="H36" s="358" t="str">
        <f>CONCATENATE("Total ",E1," Resources Available")</f>
        <v>Total 2014 Resources Available</v>
      </c>
      <c r="I36" s="353"/>
      <c r="J36" s="412"/>
    </row>
    <row r="37" spans="2:10" ht="15">
      <c r="B37" s="308" t="str">
        <f>CONCATENATE(C90,"     ",D90)</f>
        <v>     </v>
      </c>
      <c r="C37" s="651" t="s">
        <v>256</v>
      </c>
      <c r="D37" s="652"/>
      <c r="E37" s="174">
        <f>E33+E36</f>
        <v>86035</v>
      </c>
      <c r="G37" s="360"/>
      <c r="H37" s="358"/>
      <c r="I37" s="351"/>
      <c r="J37" s="412"/>
    </row>
    <row r="38" spans="2:10" ht="15">
      <c r="B38" s="308" t="str">
        <f>CONCATENATE(C91,"     ",D91)</f>
        <v>     </v>
      </c>
      <c r="C38" s="224"/>
      <c r="D38" s="129" t="s">
        <v>38</v>
      </c>
      <c r="E38" s="39">
        <f>IF(E37-E21&gt;0,E37-E21,0)</f>
        <v>21569</v>
      </c>
      <c r="G38" s="359">
        <f>C33</f>
        <v>58885</v>
      </c>
      <c r="H38" s="358" t="str">
        <f>CONCATENATE("Less ",E1-2," Expenditures")</f>
        <v>Less 2012 Expenditures</v>
      </c>
      <c r="I38" s="351"/>
      <c r="J38" s="412"/>
    </row>
    <row r="39" spans="2:10" ht="15">
      <c r="B39" s="129"/>
      <c r="C39" s="294" t="s">
        <v>257</v>
      </c>
      <c r="D39" s="430">
        <f>inputOth!E47</f>
        <v>0</v>
      </c>
      <c r="E39" s="174">
        <f>ROUND(IF(D39&gt;0,(E38*D39),0),0)</f>
        <v>0</v>
      </c>
      <c r="G39" s="348">
        <f>SUM(G36-G38)</f>
        <v>27150</v>
      </c>
      <c r="H39" s="349" t="str">
        <f>CONCATENATE("Projected ",E1+1," carryover (est.)")</f>
        <v>Projected 2015 carryover (est.)</v>
      </c>
      <c r="I39" s="354"/>
      <c r="J39" s="410"/>
    </row>
    <row r="40" spans="2:5" ht="15.75" thickBot="1">
      <c r="B40" s="4"/>
      <c r="C40" s="664" t="str">
        <f>CONCATENATE("Amount of  ",E1-1," Ad Valorem Tax")</f>
        <v>Amount of  2013 Ad Valorem Tax</v>
      </c>
      <c r="D40" s="665"/>
      <c r="E40" s="238">
        <f>E38+E39</f>
        <v>21569</v>
      </c>
    </row>
    <row r="41" spans="2:10" ht="15.75" thickTop="1">
      <c r="B41" s="4"/>
      <c r="C41" s="664"/>
      <c r="D41" s="664"/>
      <c r="E41" s="295"/>
      <c r="G41" s="657" t="s">
        <v>340</v>
      </c>
      <c r="H41" s="658"/>
      <c r="I41" s="658"/>
      <c r="J41" s="659"/>
    </row>
    <row r="42" spans="2:10" ht="15">
      <c r="B42" s="4"/>
      <c r="C42" s="295"/>
      <c r="D42" s="295"/>
      <c r="E42" s="295"/>
      <c r="G42" s="560"/>
      <c r="H42" s="519"/>
      <c r="I42" s="548"/>
      <c r="J42" s="549"/>
    </row>
    <row r="43" spans="2:10" ht="15">
      <c r="B43" s="11"/>
      <c r="C43" s="11"/>
      <c r="D43" s="297"/>
      <c r="E43" s="297"/>
      <c r="G43" s="562">
        <f>summ!H17</f>
        <v>34.999</v>
      </c>
      <c r="H43" s="519" t="str">
        <f>CONCATENATE("",E1," Fund Mill Rate")</f>
        <v>2014 Fund Mill Rate</v>
      </c>
      <c r="I43" s="548"/>
      <c r="J43" s="549"/>
    </row>
    <row r="44" spans="2:10" ht="15">
      <c r="B44" s="11" t="s">
        <v>24</v>
      </c>
      <c r="C44" s="487" t="str">
        <f aca="true" t="shared" si="0" ref="C44:E45">C4</f>
        <v>Prior Year </v>
      </c>
      <c r="D44" s="488" t="str">
        <f t="shared" si="0"/>
        <v>Current Year </v>
      </c>
      <c r="E44" s="107" t="str">
        <f t="shared" si="0"/>
        <v>Proposed Budget </v>
      </c>
      <c r="G44" s="561">
        <f>summ!E17</f>
        <v>34.999</v>
      </c>
      <c r="H44" s="519" t="str">
        <f>CONCATENATE("",E1-1," Fund Mill Rate")</f>
        <v>2013 Fund Mill Rate</v>
      </c>
      <c r="I44" s="548"/>
      <c r="J44" s="549"/>
    </row>
    <row r="45" spans="2:10" ht="15">
      <c r="B45" s="305" t="str">
        <f>inputPrYr!B19</f>
        <v>Library</v>
      </c>
      <c r="C45" s="288" t="str">
        <f t="shared" si="0"/>
        <v>Actual for 2012</v>
      </c>
      <c r="D45" s="288" t="str">
        <f t="shared" si="0"/>
        <v>Estimate for 2013</v>
      </c>
      <c r="E45" s="160" t="str">
        <f t="shared" si="0"/>
        <v>Year for 2014</v>
      </c>
      <c r="G45" s="563">
        <f>summ!H26</f>
        <v>88.219</v>
      </c>
      <c r="H45" s="519" t="str">
        <f>CONCATENATE("Total ",E1," Mill Rate")</f>
        <v>Total 2014 Mill Rate</v>
      </c>
      <c r="I45" s="548"/>
      <c r="J45" s="549"/>
    </row>
    <row r="46" spans="2:10" ht="15">
      <c r="B46" s="113" t="s">
        <v>142</v>
      </c>
      <c r="C46" s="301">
        <v>0</v>
      </c>
      <c r="D46" s="287">
        <f>C74</f>
        <v>0</v>
      </c>
      <c r="E46" s="174">
        <f>D74</f>
        <v>0</v>
      </c>
      <c r="G46" s="561">
        <f>summ!E26</f>
        <v>89.19</v>
      </c>
      <c r="H46" s="544" t="str">
        <f>CONCATENATE("Total ",E1-1," Mill Rate")</f>
        <v>Total 2013 Mill Rate</v>
      </c>
      <c r="I46" s="545"/>
      <c r="J46" s="546"/>
    </row>
    <row r="47" spans="2:5" ht="15">
      <c r="B47" s="124" t="s">
        <v>144</v>
      </c>
      <c r="C47" s="113"/>
      <c r="D47" s="287"/>
      <c r="E47" s="174"/>
    </row>
    <row r="48" spans="2:9" ht="15">
      <c r="B48" s="113" t="s">
        <v>25</v>
      </c>
      <c r="C48" s="301">
        <v>2032</v>
      </c>
      <c r="D48" s="287">
        <f>IF(inputPrYr!H16&gt;0,inputPrYr!G19,inputPrYr!E19)</f>
        <v>2164</v>
      </c>
      <c r="E48" s="232" t="s">
        <v>13</v>
      </c>
      <c r="G48" s="582" t="s">
        <v>358</v>
      </c>
      <c r="H48" s="575"/>
      <c r="I48" s="574" t="str">
        <f>cert!F49</f>
        <v>No</v>
      </c>
    </row>
    <row r="49" spans="2:5" ht="15">
      <c r="B49" s="113" t="s">
        <v>26</v>
      </c>
      <c r="C49" s="301">
        <v>160</v>
      </c>
      <c r="D49" s="205">
        <v>240</v>
      </c>
      <c r="E49" s="32">
        <v>240</v>
      </c>
    </row>
    <row r="50" spans="2:5" ht="15">
      <c r="B50" s="113" t="s">
        <v>27</v>
      </c>
      <c r="C50" s="301">
        <v>411</v>
      </c>
      <c r="D50" s="205">
        <v>476</v>
      </c>
      <c r="E50" s="174">
        <f>mvalloc!D9</f>
        <v>324</v>
      </c>
    </row>
    <row r="51" spans="2:5" ht="15">
      <c r="B51" s="113" t="s">
        <v>28</v>
      </c>
      <c r="C51" s="301">
        <v>12</v>
      </c>
      <c r="D51" s="205">
        <v>9</v>
      </c>
      <c r="E51" s="174">
        <f>mvalloc!E9</f>
        <v>9</v>
      </c>
    </row>
    <row r="52" spans="2:5" ht="15">
      <c r="B52" s="220" t="s">
        <v>119</v>
      </c>
      <c r="C52" s="301">
        <v>59</v>
      </c>
      <c r="D52" s="205">
        <v>60</v>
      </c>
      <c r="E52" s="174">
        <f>mvalloc!F9</f>
        <v>60</v>
      </c>
    </row>
    <row r="53" spans="2:5" ht="15">
      <c r="B53" s="219" t="s">
        <v>410</v>
      </c>
      <c r="C53" s="301">
        <v>43</v>
      </c>
      <c r="D53" s="205">
        <v>48</v>
      </c>
      <c r="E53" s="32">
        <v>334</v>
      </c>
    </row>
    <row r="54" spans="2:5" ht="15">
      <c r="B54" s="205"/>
      <c r="C54" s="301"/>
      <c r="D54" s="205"/>
      <c r="E54" s="32"/>
    </row>
    <row r="55" spans="2:5" ht="15">
      <c r="B55" s="211"/>
      <c r="C55" s="301"/>
      <c r="D55" s="205"/>
      <c r="E55" s="32"/>
    </row>
    <row r="56" spans="2:5" ht="15">
      <c r="B56" s="211"/>
      <c r="C56" s="301"/>
      <c r="D56" s="205"/>
      <c r="E56" s="32"/>
    </row>
    <row r="57" spans="2:5" ht="15">
      <c r="B57" s="240" t="s">
        <v>30</v>
      </c>
      <c r="C57" s="301"/>
      <c r="D57" s="205"/>
      <c r="E57" s="32"/>
    </row>
    <row r="58" spans="2:5" ht="15">
      <c r="B58" s="113" t="s">
        <v>219</v>
      </c>
      <c r="C58" s="301"/>
      <c r="D58" s="205"/>
      <c r="E58" s="32"/>
    </row>
    <row r="59" spans="2:5" ht="15">
      <c r="B59" s="113" t="s">
        <v>271</v>
      </c>
      <c r="C59" s="289">
        <f>IF(C60*0.1&lt;C58,"Exceed 10% Rule","")</f>
      </c>
      <c r="D59" s="306">
        <f>IF(D60*0.1&lt;D58,"Exceed 10% Rule","")</f>
      </c>
      <c r="E59" s="233">
        <f>IF(E61*0.01+E80&lt;E58,"Exceed 10% Rule","")</f>
      </c>
    </row>
    <row r="60" spans="2:5" ht="15">
      <c r="B60" s="213" t="s">
        <v>31</v>
      </c>
      <c r="C60" s="302">
        <f>SUM(C48:C58)</f>
        <v>2717</v>
      </c>
      <c r="D60" s="302">
        <f>SUM(D48:D58)</f>
        <v>2997</v>
      </c>
      <c r="E60" s="214">
        <f>SUM(E48:E58)</f>
        <v>967</v>
      </c>
    </row>
    <row r="61" spans="2:5" ht="15">
      <c r="B61" s="213" t="s">
        <v>32</v>
      </c>
      <c r="C61" s="302">
        <f>C46+C60</f>
        <v>2717</v>
      </c>
      <c r="D61" s="302">
        <f>D46+D60</f>
        <v>2997</v>
      </c>
      <c r="E61" s="214">
        <f>E46+E60</f>
        <v>967</v>
      </c>
    </row>
    <row r="62" spans="2:5" ht="15">
      <c r="B62" s="113" t="s">
        <v>34</v>
      </c>
      <c r="C62" s="113"/>
      <c r="D62" s="287"/>
      <c r="E62" s="174"/>
    </row>
    <row r="63" spans="2:5" ht="15">
      <c r="B63" s="591" t="s">
        <v>411</v>
      </c>
      <c r="C63" s="301"/>
      <c r="D63" s="205"/>
      <c r="E63" s="32"/>
    </row>
    <row r="64" spans="2:10" ht="15">
      <c r="B64" s="591" t="s">
        <v>412</v>
      </c>
      <c r="C64" s="301">
        <v>2717</v>
      </c>
      <c r="D64" s="205">
        <v>2949</v>
      </c>
      <c r="E64" s="32">
        <v>3432</v>
      </c>
      <c r="G64" s="661" t="str">
        <f>CONCATENATE("Desired Carryover Into ",E1+1,"")</f>
        <v>Desired Carryover Into 2015</v>
      </c>
      <c r="H64" s="662"/>
      <c r="I64" s="662"/>
      <c r="J64" s="663"/>
    </row>
    <row r="65" spans="2:10" ht="15">
      <c r="B65" s="588" t="s">
        <v>413</v>
      </c>
      <c r="C65" s="301">
        <v>0</v>
      </c>
      <c r="D65" s="205">
        <v>48</v>
      </c>
      <c r="E65" s="32">
        <v>0</v>
      </c>
      <c r="G65" s="438"/>
      <c r="H65" s="434"/>
      <c r="I65" s="436"/>
      <c r="J65" s="439"/>
    </row>
    <row r="66" spans="2:10" ht="15">
      <c r="B66" s="211"/>
      <c r="C66" s="301"/>
      <c r="D66" s="205"/>
      <c r="E66" s="32"/>
      <c r="G66" s="437" t="s">
        <v>263</v>
      </c>
      <c r="H66" s="436"/>
      <c r="I66" s="436"/>
      <c r="J66" s="435">
        <v>0</v>
      </c>
    </row>
    <row r="67" spans="2:10" ht="15">
      <c r="B67" s="211"/>
      <c r="C67" s="301"/>
      <c r="D67" s="205"/>
      <c r="E67" s="32"/>
      <c r="G67" s="438" t="s">
        <v>264</v>
      </c>
      <c r="H67" s="434"/>
      <c r="I67" s="434"/>
      <c r="J67" s="446">
        <f>IF(J66=0,"",ROUND((J66+E80-G79)/inputOth!E7*1000,3)-G84)</f>
      </c>
    </row>
    <row r="68" spans="2:10" ht="15">
      <c r="B68" s="211"/>
      <c r="C68" s="301"/>
      <c r="D68" s="205"/>
      <c r="E68" s="32"/>
      <c r="G68" s="443" t="str">
        <f>CONCATENATE("",E1," Tot Exp/Non-Appr Must Be:")</f>
        <v>2014 Tot Exp/Non-Appr Must Be:</v>
      </c>
      <c r="H68" s="441"/>
      <c r="I68" s="442"/>
      <c r="J68" s="440">
        <f>IF(J66&gt;0,IF(E77&lt;E61,IF(J66=G79,E77,((J66-G79)*(1-D79))+E61),E77+(J66-G79)),0)</f>
        <v>0</v>
      </c>
    </row>
    <row r="69" spans="2:10" ht="15">
      <c r="B69" s="211"/>
      <c r="C69" s="301"/>
      <c r="D69" s="205"/>
      <c r="E69" s="32"/>
      <c r="G69" s="445" t="s">
        <v>284</v>
      </c>
      <c r="H69" s="447"/>
      <c r="I69" s="447"/>
      <c r="J69" s="444">
        <f>IF(J66&gt;0,J68-E77,0)</f>
        <v>0</v>
      </c>
    </row>
    <row r="70" spans="2:5" ht="15">
      <c r="B70" s="220" t="s">
        <v>220</v>
      </c>
      <c r="C70" s="301"/>
      <c r="D70" s="205"/>
      <c r="E70" s="174"/>
    </row>
    <row r="71" spans="2:10" ht="15">
      <c r="B71" s="220" t="s">
        <v>219</v>
      </c>
      <c r="C71" s="301"/>
      <c r="D71" s="205"/>
      <c r="E71" s="32"/>
      <c r="G71" s="661" t="str">
        <f>CONCATENATE("Projected Carryover Into ",E1+1,"")</f>
        <v>Projected Carryover Into 2015</v>
      </c>
      <c r="H71" s="667"/>
      <c r="I71" s="667"/>
      <c r="J71" s="656"/>
    </row>
    <row r="72" spans="2:10" ht="15">
      <c r="B72" s="220" t="s">
        <v>258</v>
      </c>
      <c r="C72" s="289">
        <f>IF(C73*0.1&lt;C71,"Exceed 10% Rule","")</f>
      </c>
      <c r="D72" s="306">
        <f>IF(D73*0.1&lt;D71,"Exceed 10% Rule","")</f>
      </c>
      <c r="E72" s="233">
        <f>IF(E73*0.1&lt;E71,"Exceed 10% Rule","")</f>
      </c>
      <c r="G72" s="449"/>
      <c r="H72" s="448"/>
      <c r="I72" s="448"/>
      <c r="J72" s="554"/>
    </row>
    <row r="73" spans="2:10" ht="15">
      <c r="B73" s="213" t="s">
        <v>37</v>
      </c>
      <c r="C73" s="302">
        <f>SUM(C63:C71)</f>
        <v>2717</v>
      </c>
      <c r="D73" s="302">
        <f>SUM(D63:D71)</f>
        <v>2997</v>
      </c>
      <c r="E73" s="214">
        <f>SUM(E63:E71)</f>
        <v>3432</v>
      </c>
      <c r="G73" s="451">
        <f>D74</f>
        <v>0</v>
      </c>
      <c r="H73" s="452" t="str">
        <f>CONCATENATE("",E1-1," Ending Cash Balance (est.)")</f>
        <v>2013 Ending Cash Balance (est.)</v>
      </c>
      <c r="I73" s="453"/>
      <c r="J73" s="554"/>
    </row>
    <row r="74" spans="2:10" ht="15">
      <c r="B74" s="113" t="s">
        <v>143</v>
      </c>
      <c r="C74" s="303">
        <f>C61-C73</f>
        <v>0</v>
      </c>
      <c r="D74" s="303">
        <f>D61-D73</f>
        <v>0</v>
      </c>
      <c r="E74" s="232" t="s">
        <v>13</v>
      </c>
      <c r="G74" s="451">
        <f>E60</f>
        <v>967</v>
      </c>
      <c r="H74" s="454" t="str">
        <f>CONCATENATE("",E1," Non-AV Receipts (est.)")</f>
        <v>2014 Non-AV Receipts (est.)</v>
      </c>
      <c r="I74" s="453"/>
      <c r="J74" s="554"/>
    </row>
    <row r="75" spans="2:11" ht="15">
      <c r="B75" s="101" t="str">
        <f>CONCATENATE("",E1-2,"/",E1-1," Budget Authority Amount:")</f>
        <v>2012/2013 Budget Authority Amount:</v>
      </c>
      <c r="C75" s="164">
        <f>inputOth!B63</f>
        <v>3177</v>
      </c>
      <c r="D75" s="164">
        <f>inputPrYr!D19</f>
        <v>3432</v>
      </c>
      <c r="E75" s="232" t="s">
        <v>13</v>
      </c>
      <c r="F75" s="223"/>
      <c r="G75" s="455">
        <f>IF(E79&gt;0,E78,E80)</f>
        <v>2465</v>
      </c>
      <c r="H75" s="454" t="str">
        <f>CONCATENATE("",E1," Ad Valorem Tax (est.)")</f>
        <v>2014 Ad Valorem Tax (est.)</v>
      </c>
      <c r="I75" s="453"/>
      <c r="J75" s="554"/>
      <c r="K75" s="431">
        <f>IF(G75=E80,"","Note: Does not include Delinquent Taxes")</f>
      </c>
    </row>
    <row r="76" spans="2:10" ht="15">
      <c r="B76" s="101"/>
      <c r="C76" s="649" t="s">
        <v>255</v>
      </c>
      <c r="D76" s="650"/>
      <c r="E76" s="32"/>
      <c r="F76" s="568">
        <f>IF(E73/0.95-E73&lt;E76,"Exceeds 5%","")</f>
      </c>
      <c r="G76" s="457">
        <f>SUM(G73:G75)</f>
        <v>3432</v>
      </c>
      <c r="H76" s="454" t="str">
        <f>CONCATENATE("Total ",E1," Resources Available")</f>
        <v>Total 2014 Resources Available</v>
      </c>
      <c r="I76" s="450"/>
      <c r="J76" s="554"/>
    </row>
    <row r="77" spans="2:10" ht="15">
      <c r="B77" s="308" t="str">
        <f>CONCATENATE(C93,"     ",D93)</f>
        <v>     </v>
      </c>
      <c r="C77" s="651" t="s">
        <v>256</v>
      </c>
      <c r="D77" s="652"/>
      <c r="E77" s="174">
        <f>E73+E76</f>
        <v>3432</v>
      </c>
      <c r="G77" s="460"/>
      <c r="H77" s="458"/>
      <c r="I77" s="448"/>
      <c r="J77" s="554"/>
    </row>
    <row r="78" spans="2:10" ht="15">
      <c r="B78" s="308" t="str">
        <f>CONCATENATE(C94,"     ",D94)</f>
        <v>     </v>
      </c>
      <c r="C78" s="224"/>
      <c r="D78" s="129" t="s">
        <v>38</v>
      </c>
      <c r="E78" s="39">
        <f>IF(E77-E61&gt;0,E77-E61,0)</f>
        <v>2465</v>
      </c>
      <c r="G78" s="459">
        <f>ROUND(C73*0.05+C73,0)</f>
        <v>2853</v>
      </c>
      <c r="H78" s="458" t="str">
        <f>CONCATENATE("Less ",E1-2," Expenditures + 5%")</f>
        <v>Less 2012 Expenditures + 5%</v>
      </c>
      <c r="I78" s="450"/>
      <c r="J78" s="554"/>
    </row>
    <row r="79" spans="2:10" ht="15">
      <c r="B79" s="129"/>
      <c r="C79" s="294" t="s">
        <v>257</v>
      </c>
      <c r="D79" s="430">
        <f>inputOth!E47</f>
        <v>0</v>
      </c>
      <c r="E79" s="174">
        <f>ROUND(IF(D79&gt;0,(E78*D79),0),0)</f>
        <v>0</v>
      </c>
      <c r="G79" s="461">
        <f>G76-G78</f>
        <v>579</v>
      </c>
      <c r="H79" s="462" t="str">
        <f>CONCATENATE("Projected ",E1+1," carryover (est.)")</f>
        <v>Projected 2015 carryover (est.)</v>
      </c>
      <c r="I79" s="456"/>
      <c r="J79" s="410"/>
    </row>
    <row r="80" spans="2:6" ht="15.75" thickBot="1">
      <c r="B80" s="4"/>
      <c r="C80" s="664" t="str">
        <f>CONCATENATE("Amount of  ",E1-1," Ad Valorem Tax")</f>
        <v>Amount of  2013 Ad Valorem Tax</v>
      </c>
      <c r="D80" s="665"/>
      <c r="E80" s="238">
        <f>E78+E79</f>
        <v>2465</v>
      </c>
      <c r="F80" s="413" t="str">
        <f>IF('Library Grant '!F33="","",IF('Library Grant '!F33="Qualify","Qualifies for State Library Grant","See 'Library Grant' tab"))</f>
        <v>Qualifies for State Library Grant</v>
      </c>
    </row>
    <row r="81" spans="2:10" ht="15.75" thickTop="1">
      <c r="B81" s="4"/>
      <c r="C81" s="664"/>
      <c r="D81" s="664"/>
      <c r="E81" s="4"/>
      <c r="G81" s="657" t="s">
        <v>340</v>
      </c>
      <c r="H81" s="658"/>
      <c r="I81" s="658"/>
      <c r="J81" s="659"/>
    </row>
    <row r="82" spans="2:10" ht="15">
      <c r="B82" s="637" t="s">
        <v>445</v>
      </c>
      <c r="C82" s="638"/>
      <c r="D82" s="638"/>
      <c r="E82" s="638"/>
      <c r="G82" s="560"/>
      <c r="H82" s="519"/>
      <c r="I82" s="548"/>
      <c r="J82" s="549"/>
    </row>
    <row r="83" spans="2:10" ht="15">
      <c r="B83" s="101" t="s">
        <v>40</v>
      </c>
      <c r="C83" s="592">
        <v>9</v>
      </c>
      <c r="D83" s="60"/>
      <c r="E83" s="4"/>
      <c r="G83" s="562">
        <f>summ!H18</f>
        <v>4</v>
      </c>
      <c r="H83" s="519" t="str">
        <f>CONCATENATE("",E1," Fund Mill Rate")</f>
        <v>2014 Fund Mill Rate</v>
      </c>
      <c r="I83" s="548"/>
      <c r="J83" s="549"/>
    </row>
    <row r="84" spans="2:10" ht="15">
      <c r="B84" s="293"/>
      <c r="G84" s="561">
        <f>summ!E18</f>
        <v>4</v>
      </c>
      <c r="H84" s="519" t="str">
        <f>CONCATENATE("",E1-1," Fund Mill Rate")</f>
        <v>2013 Fund Mill Rate</v>
      </c>
      <c r="I84" s="548"/>
      <c r="J84" s="549"/>
    </row>
    <row r="85" spans="3:10" ht="15">
      <c r="C85" s="65"/>
      <c r="G85" s="563">
        <f>summ!H26</f>
        <v>88.219</v>
      </c>
      <c r="H85" s="519" t="str">
        <f>CONCATENATE("Total ",E1," Mill Rate")</f>
        <v>Total 2014 Mill Rate</v>
      </c>
      <c r="I85" s="548"/>
      <c r="J85" s="549"/>
    </row>
    <row r="86" spans="2:10" ht="15">
      <c r="B86" s="65"/>
      <c r="G86" s="561">
        <f>summ!E26</f>
        <v>89.19</v>
      </c>
      <c r="H86" s="544" t="str">
        <f>CONCATENATE("Total ",E1-1," Mill Rate")</f>
        <v>Total 2013 Mill Rate</v>
      </c>
      <c r="I86" s="545"/>
      <c r="J86" s="546"/>
    </row>
    <row r="88" spans="7:9" ht="15">
      <c r="G88" s="582" t="s">
        <v>358</v>
      </c>
      <c r="H88" s="577"/>
      <c r="I88" s="576" t="str">
        <f>cert!F49</f>
        <v>No</v>
      </c>
    </row>
    <row r="90" spans="3:4" ht="15" hidden="1">
      <c r="C90" s="5">
        <f>IF(C33&gt;C35,"See Tab A","")</f>
      </c>
      <c r="D90" s="5">
        <f>IF(D33&gt;D35,"See Tab C","")</f>
      </c>
    </row>
    <row r="91" spans="3:4" ht="15" hidden="1">
      <c r="C91" s="5">
        <f>IF(C34&lt;0,"See Tab B","")</f>
      </c>
      <c r="D91" s="5">
        <f>IF(D34&lt;0,"See Tab D","")</f>
      </c>
    </row>
    <row r="92" ht="15" hidden="1"/>
    <row r="93" spans="3:4" ht="15" hidden="1">
      <c r="C93" s="5">
        <f>IF(C73&gt;C75,"See Tab A","")</f>
      </c>
      <c r="D93" s="5">
        <f>IF(D73&gt;D75,"See Tab C","")</f>
      </c>
    </row>
    <row r="94" spans="3:4" ht="15" hidden="1">
      <c r="C94" s="5">
        <f>IF(C74&lt;0,"See Tab B","")</f>
      </c>
      <c r="D94" s="5">
        <f>IF(D74&lt;0,"See Tab D","")</f>
      </c>
    </row>
  </sheetData>
  <sheetProtection/>
  <mergeCells count="15">
    <mergeCell ref="C41:D41"/>
    <mergeCell ref="G31:J31"/>
    <mergeCell ref="G41:J41"/>
    <mergeCell ref="G71:J71"/>
    <mergeCell ref="B82:E82"/>
    <mergeCell ref="G24:J24"/>
    <mergeCell ref="G64:J64"/>
    <mergeCell ref="C81:D81"/>
    <mergeCell ref="C80:D80"/>
    <mergeCell ref="C76:D76"/>
    <mergeCell ref="C77:D77"/>
    <mergeCell ref="C36:D36"/>
    <mergeCell ref="G81:J81"/>
    <mergeCell ref="C37:D37"/>
    <mergeCell ref="C40:D40"/>
  </mergeCells>
  <conditionalFormatting sqref="E71">
    <cfRule type="cellIs" priority="20" dxfId="108" operator="greaterThan" stopIfTrue="1">
      <formula>$E$73*0.1</formula>
    </cfRule>
  </conditionalFormatting>
  <conditionalFormatting sqref="E76">
    <cfRule type="cellIs" priority="19" dxfId="108" operator="greaterThan" stopIfTrue="1">
      <formula>$E$73/0.95-$E$73</formula>
    </cfRule>
  </conditionalFormatting>
  <conditionalFormatting sqref="E31">
    <cfRule type="cellIs" priority="18" dxfId="108" operator="greaterThan" stopIfTrue="1">
      <formula>$E$33*0.1</formula>
    </cfRule>
  </conditionalFormatting>
  <conditionalFormatting sqref="E36">
    <cfRule type="cellIs" priority="17" dxfId="108" operator="greaterThan" stopIfTrue="1">
      <formula>$E$33/0.95-$E$33</formula>
    </cfRule>
  </conditionalFormatting>
  <conditionalFormatting sqref="C73">
    <cfRule type="cellIs" priority="16" dxfId="2" operator="greaterThan" stopIfTrue="1">
      <formula>$C$75</formula>
    </cfRule>
  </conditionalFormatting>
  <conditionalFormatting sqref="C74 C34">
    <cfRule type="cellIs" priority="15" dxfId="2" operator="lessThan" stopIfTrue="1">
      <formula>0</formula>
    </cfRule>
  </conditionalFormatting>
  <conditionalFormatting sqref="D73">
    <cfRule type="cellIs" priority="14" dxfId="2" operator="greaterThan" stopIfTrue="1">
      <formula>$D$75</formula>
    </cfRule>
  </conditionalFormatting>
  <conditionalFormatting sqref="C33">
    <cfRule type="cellIs" priority="13" dxfId="2" operator="greaterThan" stopIfTrue="1">
      <formula>$C$35</formula>
    </cfRule>
  </conditionalFormatting>
  <conditionalFormatting sqref="D33">
    <cfRule type="cellIs" priority="12" dxfId="2" operator="greaterThan" stopIfTrue="1">
      <formula>$D$35</formula>
    </cfRule>
  </conditionalFormatting>
  <conditionalFormatting sqref="C31">
    <cfRule type="cellIs" priority="11" dxfId="2" operator="greaterThan" stopIfTrue="1">
      <formula>$C$33*0.1</formula>
    </cfRule>
  </conditionalFormatting>
  <conditionalFormatting sqref="D31">
    <cfRule type="cellIs" priority="10" dxfId="2" operator="greaterThan" stopIfTrue="1">
      <formula>$D$33*0.1</formula>
    </cfRule>
  </conditionalFormatting>
  <conditionalFormatting sqref="C71">
    <cfRule type="cellIs" priority="9" dxfId="2" operator="greaterThan" stopIfTrue="1">
      <formula>$C$73*0.1</formula>
    </cfRule>
  </conditionalFormatting>
  <conditionalFormatting sqref="D71">
    <cfRule type="cellIs" priority="8" dxfId="2" operator="greaterThan" stopIfTrue="1">
      <formula>$D$73*0.1</formula>
    </cfRule>
  </conditionalFormatting>
  <conditionalFormatting sqref="D18">
    <cfRule type="cellIs" priority="7" dxfId="2" operator="greaterThan" stopIfTrue="1">
      <formula>$D$20*0.1</formula>
    </cfRule>
  </conditionalFormatting>
  <conditionalFormatting sqref="C18">
    <cfRule type="cellIs" priority="6" dxfId="2" operator="greaterThan" stopIfTrue="1">
      <formula>$C$20*0.1</formula>
    </cfRule>
  </conditionalFormatting>
  <conditionalFormatting sqref="E18">
    <cfRule type="cellIs" priority="5" dxfId="108" operator="greaterThan" stopIfTrue="1">
      <formula>$E$20*0.1+E40</formula>
    </cfRule>
  </conditionalFormatting>
  <conditionalFormatting sqref="C58">
    <cfRule type="cellIs" priority="4" dxfId="108" operator="greaterThan" stopIfTrue="1">
      <formula>$C$60*0.1</formula>
    </cfRule>
  </conditionalFormatting>
  <conditionalFormatting sqref="D58">
    <cfRule type="cellIs" priority="3" dxfId="108" operator="greaterThan" stopIfTrue="1">
      <formula>$D$60*0.1</formula>
    </cfRule>
  </conditionalFormatting>
  <conditionalFormatting sqref="E58">
    <cfRule type="cellIs" priority="2" dxfId="108" operator="greaterThan" stopIfTrue="1">
      <formula>$E$60*0.1+E80</formula>
    </cfRule>
  </conditionalFormatting>
  <conditionalFormatting sqref="D74 D34">
    <cfRule type="cellIs" priority="1" dxfId="0"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83" sqref="B83"/>
    </sheetView>
  </sheetViews>
  <sheetFormatPr defaultColWidth="8.8984375" defaultRowHeight="15"/>
  <cols>
    <col min="1" max="1" width="2.3984375" style="5" customWidth="1"/>
    <col min="2" max="2" width="31.09765625" style="5" customWidth="1"/>
    <col min="3" max="4" width="15.69921875" style="5" customWidth="1"/>
    <col min="5" max="5" width="16.296875" style="5" customWidth="1"/>
    <col min="6" max="6" width="8.8984375" style="5" customWidth="1"/>
    <col min="7" max="7" width="10.19921875" style="5" customWidth="1"/>
    <col min="8" max="8" width="8.8984375" style="5" customWidth="1"/>
    <col min="9" max="9" width="5" style="5" customWidth="1"/>
    <col min="10" max="10" width="10" style="5" customWidth="1"/>
    <col min="11" max="16384" width="8.8984375" style="5" customWidth="1"/>
  </cols>
  <sheetData>
    <row r="1" spans="2:5" ht="15">
      <c r="B1" s="133" t="str">
        <f>(inputPrYr!D2)</f>
        <v>City of Toronto</v>
      </c>
      <c r="C1" s="4"/>
      <c r="D1" s="4"/>
      <c r="E1" s="193">
        <f>inputPrYr!C5</f>
        <v>2014</v>
      </c>
    </row>
    <row r="2" spans="2:5" ht="15">
      <c r="B2" s="4"/>
      <c r="C2" s="4"/>
      <c r="D2" s="4"/>
      <c r="E2" s="129"/>
    </row>
    <row r="3" spans="2:5" ht="15">
      <c r="B3" s="23" t="s">
        <v>87</v>
      </c>
      <c r="C3" s="151"/>
      <c r="D3" s="151"/>
      <c r="E3" s="235"/>
    </row>
    <row r="4" spans="2:5" ht="15">
      <c r="B4" s="11" t="s">
        <v>24</v>
      </c>
      <c r="C4" s="487" t="s">
        <v>279</v>
      </c>
      <c r="D4" s="488" t="s">
        <v>282</v>
      </c>
      <c r="E4" s="107" t="s">
        <v>283</v>
      </c>
    </row>
    <row r="5" spans="2:5" ht="15">
      <c r="B5" s="305" t="str">
        <f>inputPrYr!B21</f>
        <v>Special Liabilty</v>
      </c>
      <c r="C5" s="288" t="str">
        <f>CONCATENATE("Actual for ",E1-2,"")</f>
        <v>Actual for 2012</v>
      </c>
      <c r="D5" s="288" t="str">
        <f>CONCATENATE("Estimate for ",E1-1,"")</f>
        <v>Estimate for 2013</v>
      </c>
      <c r="E5" s="203" t="str">
        <f>CONCATENATE("Year for ",E1,"")</f>
        <v>Year for 2014</v>
      </c>
    </row>
    <row r="6" spans="2:5" ht="15">
      <c r="B6" s="204" t="s">
        <v>142</v>
      </c>
      <c r="C6" s="205">
        <v>10248</v>
      </c>
      <c r="D6" s="287">
        <f>C34</f>
        <v>11056</v>
      </c>
      <c r="E6" s="174">
        <f>D34</f>
        <v>11935</v>
      </c>
    </row>
    <row r="7" spans="2:5" ht="15">
      <c r="B7" s="207" t="s">
        <v>144</v>
      </c>
      <c r="C7" s="121"/>
      <c r="D7" s="121"/>
      <c r="E7" s="50"/>
    </row>
    <row r="8" spans="2:5" ht="15">
      <c r="B8" s="113" t="s">
        <v>25</v>
      </c>
      <c r="C8" s="205">
        <v>2032</v>
      </c>
      <c r="D8" s="287">
        <f>IF(inputPrYr!H16&gt;0,inputPrYr!G21,inputPrYr!E21)</f>
        <v>2164</v>
      </c>
      <c r="E8" s="232" t="s">
        <v>13</v>
      </c>
    </row>
    <row r="9" spans="2:5" ht="15">
      <c r="B9" s="113" t="s">
        <v>26</v>
      </c>
      <c r="C9" s="205">
        <v>160</v>
      </c>
      <c r="D9" s="205">
        <v>240</v>
      </c>
      <c r="E9" s="32">
        <v>240</v>
      </c>
    </row>
    <row r="10" spans="2:5" ht="15">
      <c r="B10" s="113" t="s">
        <v>27</v>
      </c>
      <c r="C10" s="205">
        <v>411</v>
      </c>
      <c r="D10" s="205">
        <v>476</v>
      </c>
      <c r="E10" s="174">
        <f>mvalloc!D10</f>
        <v>324</v>
      </c>
    </row>
    <row r="11" spans="2:5" ht="15">
      <c r="B11" s="113" t="s">
        <v>28</v>
      </c>
      <c r="C11" s="205">
        <v>12</v>
      </c>
      <c r="D11" s="205">
        <v>9</v>
      </c>
      <c r="E11" s="174">
        <f>mvalloc!E10</f>
        <v>9</v>
      </c>
    </row>
    <row r="12" spans="2:5" ht="15">
      <c r="B12" s="121" t="s">
        <v>119</v>
      </c>
      <c r="C12" s="205">
        <v>60</v>
      </c>
      <c r="D12" s="205">
        <v>60</v>
      </c>
      <c r="E12" s="174">
        <f>mvalloc!F10</f>
        <v>60</v>
      </c>
    </row>
    <row r="13" spans="2:5" ht="15">
      <c r="B13" s="32"/>
      <c r="C13" s="205"/>
      <c r="D13" s="205"/>
      <c r="E13" s="32"/>
    </row>
    <row r="14" spans="2:5" ht="15">
      <c r="B14" s="219"/>
      <c r="C14" s="205"/>
      <c r="D14" s="205"/>
      <c r="E14" s="32"/>
    </row>
    <row r="15" spans="2:5" ht="15">
      <c r="B15" s="219"/>
      <c r="C15" s="205"/>
      <c r="D15" s="205"/>
      <c r="E15" s="32"/>
    </row>
    <row r="16" spans="2:5" ht="15">
      <c r="B16" s="219"/>
      <c r="C16" s="205"/>
      <c r="D16" s="205"/>
      <c r="E16" s="32"/>
    </row>
    <row r="17" spans="2:5" ht="15">
      <c r="B17" s="211" t="s">
        <v>30</v>
      </c>
      <c r="C17" s="205"/>
      <c r="D17" s="205"/>
      <c r="E17" s="32"/>
    </row>
    <row r="18" spans="2:5" ht="15">
      <c r="B18" s="121" t="s">
        <v>219</v>
      </c>
      <c r="C18" s="205"/>
      <c r="D18" s="205"/>
      <c r="E18" s="32"/>
    </row>
    <row r="19" spans="2:5" ht="15">
      <c r="B19" s="204" t="s">
        <v>271</v>
      </c>
      <c r="C19" s="285">
        <f>IF(C20*0.1&lt;C18,"Exceed 10% Rule","")</f>
      </c>
      <c r="D19" s="285">
        <f>IF(D20*0.1&lt;D18,"Exceed 10% Rule","")</f>
      </c>
      <c r="E19" s="292">
        <f>IF(E20*0.1+E40&lt;E18,"Exceed 10% Rule","")</f>
      </c>
    </row>
    <row r="20" spans="2:5" ht="15">
      <c r="B20" s="213" t="s">
        <v>31</v>
      </c>
      <c r="C20" s="290">
        <f>SUM(C8:C18)</f>
        <v>2675</v>
      </c>
      <c r="D20" s="290">
        <f>SUM(D8:D18)</f>
        <v>2949</v>
      </c>
      <c r="E20" s="237">
        <f>SUM(E8:E18)</f>
        <v>633</v>
      </c>
    </row>
    <row r="21" spans="2:5" ht="15">
      <c r="B21" s="213" t="s">
        <v>32</v>
      </c>
      <c r="C21" s="287">
        <f>C6+C20</f>
        <v>12923</v>
      </c>
      <c r="D21" s="287">
        <f>D6+D20</f>
        <v>14005</v>
      </c>
      <c r="E21" s="174">
        <f>E6+E20</f>
        <v>12568</v>
      </c>
    </row>
    <row r="22" spans="2:5" ht="15">
      <c r="B22" s="113" t="s">
        <v>34</v>
      </c>
      <c r="C22" s="220"/>
      <c r="D22" s="220"/>
      <c r="E22" s="30"/>
    </row>
    <row r="23" spans="2:5" ht="15">
      <c r="B23" s="591" t="s">
        <v>395</v>
      </c>
      <c r="C23" s="205"/>
      <c r="D23" s="205"/>
      <c r="E23" s="32"/>
    </row>
    <row r="24" spans="2:10" ht="15">
      <c r="B24" s="591" t="s">
        <v>414</v>
      </c>
      <c r="C24" s="205">
        <v>1867</v>
      </c>
      <c r="D24" s="205">
        <v>2070</v>
      </c>
      <c r="E24" s="32">
        <v>15033</v>
      </c>
      <c r="G24" s="660" t="str">
        <f>CONCATENATE("Desired Carryover Into ",E1+1,"")</f>
        <v>Desired Carryover Into 2015</v>
      </c>
      <c r="H24" s="639"/>
      <c r="I24" s="639"/>
      <c r="J24" s="656"/>
    </row>
    <row r="25" spans="2:10" ht="15">
      <c r="B25" s="219"/>
      <c r="C25" s="205"/>
      <c r="D25" s="205"/>
      <c r="E25" s="32"/>
      <c r="G25" s="527"/>
      <c r="H25" s="514"/>
      <c r="I25" s="521"/>
      <c r="J25" s="528"/>
    </row>
    <row r="26" spans="2:10" ht="15">
      <c r="B26" s="219"/>
      <c r="C26" s="205"/>
      <c r="D26" s="205"/>
      <c r="E26" s="32"/>
      <c r="G26" s="526" t="s">
        <v>263</v>
      </c>
      <c r="H26" s="521"/>
      <c r="I26" s="521"/>
      <c r="J26" s="515">
        <v>0</v>
      </c>
    </row>
    <row r="27" spans="2:10" ht="15">
      <c r="B27" s="219"/>
      <c r="C27" s="205"/>
      <c r="D27" s="205"/>
      <c r="E27" s="32"/>
      <c r="G27" s="527" t="s">
        <v>264</v>
      </c>
      <c r="H27" s="514"/>
      <c r="I27" s="514"/>
      <c r="J27" s="555">
        <f>IF(J26=0,"",ROUND((J26+E40-G39)/inputOth!E7*1000,3)-G44)</f>
      </c>
    </row>
    <row r="28" spans="2:10" ht="15">
      <c r="B28" s="219"/>
      <c r="C28" s="205"/>
      <c r="D28" s="205"/>
      <c r="E28" s="32"/>
      <c r="G28" s="552" t="str">
        <f>CONCATENATE("",E1," Tot Exp/Non-Appr Must Be:")</f>
        <v>2014 Tot Exp/Non-Appr Must Be:</v>
      </c>
      <c r="H28" s="550"/>
      <c r="I28" s="551"/>
      <c r="J28" s="547">
        <f>IF(J26&gt;0,IF(E37&lt;E21,IF(J26=G39,E37,((J26-G39)*(1-D39))+E21),E37+(J26-G39)),0)</f>
        <v>0</v>
      </c>
    </row>
    <row r="29" spans="2:10" ht="15">
      <c r="B29" s="219"/>
      <c r="C29" s="205"/>
      <c r="D29" s="205"/>
      <c r="E29" s="32"/>
      <c r="G29" s="428" t="s">
        <v>284</v>
      </c>
      <c r="H29" s="558"/>
      <c r="I29" s="558"/>
      <c r="J29" s="553">
        <f>IF(J26&gt;0,J28-E37,0)</f>
        <v>0</v>
      </c>
    </row>
    <row r="30" spans="2:10" ht="15">
      <c r="B30" s="220" t="s">
        <v>220</v>
      </c>
      <c r="C30" s="205"/>
      <c r="D30" s="205"/>
      <c r="E30" s="39"/>
      <c r="J30" s="504"/>
    </row>
    <row r="31" spans="2:10" ht="15">
      <c r="B31" s="220" t="s">
        <v>219</v>
      </c>
      <c r="C31" s="205"/>
      <c r="D31" s="205"/>
      <c r="E31" s="32"/>
      <c r="G31" s="660" t="str">
        <f>CONCATENATE("Projected Carryover Into ",E1+1,"")</f>
        <v>Projected Carryover Into 2015</v>
      </c>
      <c r="H31" s="638"/>
      <c r="I31" s="638"/>
      <c r="J31" s="668"/>
    </row>
    <row r="32" spans="2:10" ht="15">
      <c r="B32" s="220" t="s">
        <v>272</v>
      </c>
      <c r="C32" s="285">
        <f>IF(C33*0.1&lt;C31,"Exceed 10% Rule","")</f>
      </c>
      <c r="D32" s="285">
        <f>IF(D33*0.1&lt;D31,"Exceed 10% Rule","")</f>
      </c>
      <c r="E32" s="292">
        <f>IF(E33*0.1&lt;E31,"Exceed 10% Rule","")</f>
      </c>
      <c r="G32" s="527"/>
      <c r="H32" s="521"/>
      <c r="I32" s="521"/>
      <c r="J32" s="564"/>
    </row>
    <row r="33" spans="2:10" ht="15">
      <c r="B33" s="213" t="s">
        <v>37</v>
      </c>
      <c r="C33" s="290">
        <f>SUM(C23:C31)</f>
        <v>1867</v>
      </c>
      <c r="D33" s="290">
        <f>SUM(D23:D31)</f>
        <v>2070</v>
      </c>
      <c r="E33" s="237">
        <f>SUM(E23:E31)</f>
        <v>15033</v>
      </c>
      <c r="G33" s="518">
        <f>D34</f>
        <v>11935</v>
      </c>
      <c r="H33" s="519" t="str">
        <f>CONCATENATE("",E1-1," Ending Cash Balance (est.)")</f>
        <v>2013 Ending Cash Balance (est.)</v>
      </c>
      <c r="I33" s="520"/>
      <c r="J33" s="564"/>
    </row>
    <row r="34" spans="2:10" ht="15">
      <c r="B34" s="113" t="s">
        <v>143</v>
      </c>
      <c r="C34" s="287">
        <f>C21-C33</f>
        <v>11056</v>
      </c>
      <c r="D34" s="287">
        <f>D21-D33</f>
        <v>11935</v>
      </c>
      <c r="E34" s="232" t="s">
        <v>13</v>
      </c>
      <c r="G34" s="518">
        <f>E20</f>
        <v>633</v>
      </c>
      <c r="H34" s="521" t="str">
        <f>CONCATENATE("",E1," Non-AV Receipts (est.)")</f>
        <v>2014 Non-AV Receipts (est.)</v>
      </c>
      <c r="I34" s="520"/>
      <c r="J34" s="564"/>
    </row>
    <row r="35" spans="2:11" ht="15">
      <c r="B35" s="101" t="str">
        <f>CONCATENATE("",$E$1-2,"/",$E$1-1," Budget Authority Amount:")</f>
        <v>2012/2013 Budget Authority Amount:</v>
      </c>
      <c r="C35" s="164">
        <f>inputOth!B64</f>
        <v>13548</v>
      </c>
      <c r="D35" s="222">
        <f>inputPrYr!D21</f>
        <v>14586</v>
      </c>
      <c r="E35" s="232" t="s">
        <v>13</v>
      </c>
      <c r="F35" s="223"/>
      <c r="G35" s="522">
        <f>IF(E39&gt;0,E38,E40)</f>
        <v>2465</v>
      </c>
      <c r="H35" s="521" t="str">
        <f>CONCATENATE("",E1," Ad Valorem Tax (est.)")</f>
        <v>2014 Ad Valorem Tax (est.)</v>
      </c>
      <c r="I35" s="520"/>
      <c r="J35" s="566"/>
      <c r="K35" s="431">
        <f>IF(G35=E40,"","Note: Does not include Delinquent Taxes")</f>
      </c>
    </row>
    <row r="36" spans="2:10" ht="15">
      <c r="B36" s="101"/>
      <c r="C36" s="649" t="s">
        <v>255</v>
      </c>
      <c r="D36" s="650"/>
      <c r="E36" s="32"/>
      <c r="F36" s="568">
        <f>IF(E33/0.95-E33&lt;E36,"Exceeds 5%","")</f>
      </c>
      <c r="G36" s="518">
        <f>SUM(G33:G35)</f>
        <v>15033</v>
      </c>
      <c r="H36" s="521" t="str">
        <f>CONCATENATE("Total ",E1," Resources Available")</f>
        <v>Total 2014 Resources Available</v>
      </c>
      <c r="I36" s="520"/>
      <c r="J36" s="564"/>
    </row>
    <row r="37" spans="2:10" ht="15">
      <c r="B37" s="308" t="str">
        <f>CONCATENATE(C95,"     ",D95)</f>
        <v>     </v>
      </c>
      <c r="C37" s="651" t="s">
        <v>256</v>
      </c>
      <c r="D37" s="652"/>
      <c r="E37" s="174">
        <f>SUM(E33+E36)</f>
        <v>15033</v>
      </c>
      <c r="G37" s="523"/>
      <c r="H37" s="521"/>
      <c r="I37" s="521"/>
      <c r="J37" s="564"/>
    </row>
    <row r="38" spans="2:10" ht="15">
      <c r="B38" s="308" t="str">
        <f>CONCATENATE(C96,"     ",D96)</f>
        <v>     </v>
      </c>
      <c r="C38" s="294"/>
      <c r="D38" s="129" t="s">
        <v>38</v>
      </c>
      <c r="E38" s="174">
        <f>IF(E37-E21&gt;0,E37-E21,0)</f>
        <v>2465</v>
      </c>
      <c r="G38" s="522">
        <f>ROUND(C33*0.05+C33,0)</f>
        <v>1960</v>
      </c>
      <c r="H38" s="521" t="str">
        <f>CONCATENATE("Less ",E1-2," Expenditures + 5%")</f>
        <v>Less 2012 Expenditures + 5%</v>
      </c>
      <c r="I38" s="520"/>
      <c r="J38" s="564"/>
    </row>
    <row r="39" spans="2:10" ht="15">
      <c r="B39" s="308"/>
      <c r="C39" s="294" t="s">
        <v>257</v>
      </c>
      <c r="D39" s="430">
        <f>inputOth!$E$47</f>
        <v>0</v>
      </c>
      <c r="E39" s="174">
        <f>ROUND(IF(D39&gt;0,(E38*D39),0),0)</f>
        <v>0</v>
      </c>
      <c r="G39" s="556">
        <f>G36-G38</f>
        <v>13073</v>
      </c>
      <c r="H39" s="557" t="str">
        <f>CONCATENATE("Projected ",E1+1," carryover (est.)")</f>
        <v>Projected 2015 carryover (est.)</v>
      </c>
      <c r="I39" s="524"/>
      <c r="J39" s="565"/>
    </row>
    <row r="40" spans="2:10" ht="15.75" thickBot="1">
      <c r="B40" s="4"/>
      <c r="C40" s="653" t="str">
        <f>CONCATENATE("Amount of  ",$E$1-1," Ad Valorem Tax")</f>
        <v>Amount of  2013 Ad Valorem Tax</v>
      </c>
      <c r="D40" s="654"/>
      <c r="E40" s="238">
        <f>SUM(E38:E39)</f>
        <v>2465</v>
      </c>
      <c r="G40" s="504"/>
      <c r="H40" s="504"/>
      <c r="I40" s="504"/>
      <c r="J40" s="504"/>
    </row>
    <row r="41" spans="2:10" ht="15.75" thickTop="1">
      <c r="B41" s="4"/>
      <c r="C41" s="664"/>
      <c r="D41" s="664"/>
      <c r="E41" s="4"/>
      <c r="G41" s="657" t="s">
        <v>340</v>
      </c>
      <c r="H41" s="658"/>
      <c r="I41" s="658"/>
      <c r="J41" s="659"/>
    </row>
    <row r="42" spans="2:10" ht="15">
      <c r="B42" s="4"/>
      <c r="C42" s="4"/>
      <c r="D42" s="4"/>
      <c r="E42" s="4"/>
      <c r="G42" s="560"/>
      <c r="H42" s="519"/>
      <c r="I42" s="548"/>
      <c r="J42" s="549"/>
    </row>
    <row r="43" spans="2:10" ht="15">
      <c r="B43" s="11"/>
      <c r="C43" s="236"/>
      <c r="D43" s="236"/>
      <c r="E43" s="236"/>
      <c r="G43" s="562">
        <f>summ!H19</f>
        <v>4</v>
      </c>
      <c r="H43" s="519" t="str">
        <f>CONCATENATE("",E1," Fund Mill Rate")</f>
        <v>2014 Fund Mill Rate</v>
      </c>
      <c r="I43" s="548"/>
      <c r="J43" s="549"/>
    </row>
    <row r="44" spans="2:10" ht="15">
      <c r="B44" s="11" t="s">
        <v>24</v>
      </c>
      <c r="C44" s="487" t="str">
        <f aca="true" t="shared" si="0" ref="C44:E45">C4</f>
        <v>Prior Year </v>
      </c>
      <c r="D44" s="488" t="str">
        <f t="shared" si="0"/>
        <v>Current Year </v>
      </c>
      <c r="E44" s="107" t="str">
        <f t="shared" si="0"/>
        <v>Proposed Budget </v>
      </c>
      <c r="G44" s="561">
        <f>summ!E19</f>
        <v>4</v>
      </c>
      <c r="H44" s="519" t="str">
        <f>CONCATENATE("",E1-1," Fund Mill Rate")</f>
        <v>2013 Fund Mill Rate</v>
      </c>
      <c r="I44" s="548"/>
      <c r="J44" s="549"/>
    </row>
    <row r="45" spans="2:10" ht="15">
      <c r="B45" s="304"/>
      <c r="C45" s="288" t="str">
        <f t="shared" si="0"/>
        <v>Actual for 2012</v>
      </c>
      <c r="D45" s="288" t="str">
        <f t="shared" si="0"/>
        <v>Estimate for 2013</v>
      </c>
      <c r="E45" s="160" t="str">
        <f t="shared" si="0"/>
        <v>Year for 2014</v>
      </c>
      <c r="G45" s="563">
        <f>summ!H26</f>
        <v>88.219</v>
      </c>
      <c r="H45" s="519" t="str">
        <f>CONCATENATE("Total ",E1," Mill Rate")</f>
        <v>Total 2014 Mill Rate</v>
      </c>
      <c r="I45" s="548"/>
      <c r="J45" s="549"/>
    </row>
    <row r="46" spans="2:10" ht="15">
      <c r="B46" s="204" t="s">
        <v>142</v>
      </c>
      <c r="C46" s="205"/>
      <c r="D46" s="287">
        <f>C74</f>
        <v>0</v>
      </c>
      <c r="E46" s="174">
        <f>D74</f>
        <v>0</v>
      </c>
      <c r="G46" s="561">
        <f>summ!E26</f>
        <v>89.19</v>
      </c>
      <c r="H46" s="544" t="str">
        <f>CONCATENATE("Total ",E1-1," Mill Rate")</f>
        <v>Total 2013 Mill Rate</v>
      </c>
      <c r="I46" s="545"/>
      <c r="J46" s="546"/>
    </row>
    <row r="47" spans="2:5" ht="15">
      <c r="B47" s="204" t="s">
        <v>144</v>
      </c>
      <c r="C47" s="121"/>
      <c r="D47" s="121"/>
      <c r="E47" s="50"/>
    </row>
    <row r="48" spans="2:9" ht="15">
      <c r="B48" s="113" t="s">
        <v>25</v>
      </c>
      <c r="C48" s="205"/>
      <c r="D48" s="287">
        <f>IF(inputPrYr!H16&gt;0,inputPrYr!G22,inputPrYr!E22)</f>
        <v>0</v>
      </c>
      <c r="E48" s="232" t="s">
        <v>13</v>
      </c>
      <c r="G48" s="582" t="s">
        <v>358</v>
      </c>
      <c r="H48" s="579"/>
      <c r="I48" s="578" t="str">
        <f>cert!F49</f>
        <v>No</v>
      </c>
    </row>
    <row r="49" spans="2:5" ht="15">
      <c r="B49" s="113" t="s">
        <v>26</v>
      </c>
      <c r="C49" s="205"/>
      <c r="D49" s="205"/>
      <c r="E49" s="32"/>
    </row>
    <row r="50" spans="2:5" ht="15">
      <c r="B50" s="113" t="s">
        <v>27</v>
      </c>
      <c r="C50" s="205"/>
      <c r="D50" s="205"/>
      <c r="E50" s="174" t="str">
        <f>mvalloc!D11</f>
        <v>  </v>
      </c>
    </row>
    <row r="51" spans="2:5" ht="15">
      <c r="B51" s="113" t="s">
        <v>28</v>
      </c>
      <c r="C51" s="205"/>
      <c r="D51" s="205"/>
      <c r="E51" s="174" t="str">
        <f>mvalloc!E11</f>
        <v> </v>
      </c>
    </row>
    <row r="52" spans="2:5" ht="15">
      <c r="B52" s="121" t="s">
        <v>119</v>
      </c>
      <c r="C52" s="205"/>
      <c r="D52" s="205"/>
      <c r="E52" s="174" t="str">
        <f>mvalloc!F11</f>
        <v> </v>
      </c>
    </row>
    <row r="53" spans="2:5" ht="15">
      <c r="B53" s="32"/>
      <c r="C53" s="205"/>
      <c r="D53" s="205"/>
      <c r="E53" s="32"/>
    </row>
    <row r="54" spans="2:5" ht="15">
      <c r="B54" s="219"/>
      <c r="C54" s="205"/>
      <c r="D54" s="205"/>
      <c r="E54" s="32"/>
    </row>
    <row r="55" spans="2:5" ht="15">
      <c r="B55" s="219"/>
      <c r="C55" s="205"/>
      <c r="D55" s="205"/>
      <c r="E55" s="32"/>
    </row>
    <row r="56" spans="2:5" ht="15">
      <c r="B56" s="219"/>
      <c r="C56" s="205"/>
      <c r="D56" s="205"/>
      <c r="E56" s="32"/>
    </row>
    <row r="57" spans="2:5" ht="15">
      <c r="B57" s="211" t="s">
        <v>30</v>
      </c>
      <c r="C57" s="205"/>
      <c r="D57" s="205"/>
      <c r="E57" s="32"/>
    </row>
    <row r="58" spans="2:5" ht="15">
      <c r="B58" s="121" t="s">
        <v>219</v>
      </c>
      <c r="C58" s="205"/>
      <c r="D58" s="205"/>
      <c r="E58" s="32"/>
    </row>
    <row r="59" spans="2:5" ht="15">
      <c r="B59" s="204" t="s">
        <v>271</v>
      </c>
      <c r="C59" s="285">
        <f>IF(C60*0.1&lt;C58,"Exceed 10% Rule","")</f>
      </c>
      <c r="D59" s="285">
        <f>IF(D60*0.1&lt;D58,"Exceed 10% Rule","")</f>
      </c>
      <c r="E59" s="292">
        <f>IF(E60*0.1+E80&lt;E58,"Exceed 10% Rule","")</f>
      </c>
    </row>
    <row r="60" spans="2:5" ht="15">
      <c r="B60" s="213" t="s">
        <v>31</v>
      </c>
      <c r="C60" s="290">
        <f>SUM(C48:C58)</f>
        <v>0</v>
      </c>
      <c r="D60" s="290">
        <f>SUM(D48:D58)</f>
        <v>0</v>
      </c>
      <c r="E60" s="237">
        <f>SUM(E48:E58)</f>
        <v>0</v>
      </c>
    </row>
    <row r="61" spans="2:5" ht="15">
      <c r="B61" s="213" t="s">
        <v>32</v>
      </c>
      <c r="C61" s="290">
        <f>C46+C60</f>
        <v>0</v>
      </c>
      <c r="D61" s="290">
        <f>D46+D60</f>
        <v>0</v>
      </c>
      <c r="E61" s="237">
        <f>E46+E60</f>
        <v>0</v>
      </c>
    </row>
    <row r="62" spans="2:5" ht="15">
      <c r="B62" s="113" t="s">
        <v>34</v>
      </c>
      <c r="C62" s="220"/>
      <c r="D62" s="220"/>
      <c r="E62" s="30"/>
    </row>
    <row r="63" spans="2:5" ht="15">
      <c r="B63" s="219"/>
      <c r="C63" s="205"/>
      <c r="D63" s="205"/>
      <c r="E63" s="32"/>
    </row>
    <row r="64" spans="2:10" ht="15">
      <c r="B64" s="219"/>
      <c r="C64" s="205"/>
      <c r="D64" s="205"/>
      <c r="E64" s="32"/>
      <c r="G64" s="660" t="str">
        <f>CONCATENATE("Desired Carryover Into ",E1+1,"")</f>
        <v>Desired Carryover Into 2015</v>
      </c>
      <c r="H64" s="639"/>
      <c r="I64" s="639"/>
      <c r="J64" s="656"/>
    </row>
    <row r="65" spans="2:10" ht="15">
      <c r="B65" s="219"/>
      <c r="C65" s="205"/>
      <c r="D65" s="205"/>
      <c r="E65" s="32"/>
      <c r="G65" s="527"/>
      <c r="H65" s="514"/>
      <c r="I65" s="521"/>
      <c r="J65" s="528"/>
    </row>
    <row r="66" spans="2:10" ht="15">
      <c r="B66" s="219"/>
      <c r="C66" s="205"/>
      <c r="D66" s="205"/>
      <c r="E66" s="32"/>
      <c r="G66" s="526" t="s">
        <v>263</v>
      </c>
      <c r="H66" s="521"/>
      <c r="I66" s="521"/>
      <c r="J66" s="515">
        <v>0</v>
      </c>
    </row>
    <row r="67" spans="2:10" ht="15">
      <c r="B67" s="219"/>
      <c r="C67" s="205"/>
      <c r="D67" s="205"/>
      <c r="E67" s="32"/>
      <c r="G67" s="527" t="s">
        <v>264</v>
      </c>
      <c r="H67" s="514"/>
      <c r="I67" s="514"/>
      <c r="J67" s="555">
        <f>IF(J66=0,"",ROUND((J66+E80-G79)/inputOth!E7*1000,3)-G84)</f>
      </c>
    </row>
    <row r="68" spans="2:10" ht="15">
      <c r="B68" s="219"/>
      <c r="C68" s="205"/>
      <c r="D68" s="205"/>
      <c r="E68" s="32"/>
      <c r="G68" s="552" t="str">
        <f>CONCATENATE("",E1," Tot Exp/Non-Appr Must Be:")</f>
        <v>2014 Tot Exp/Non-Appr Must Be:</v>
      </c>
      <c r="H68" s="550"/>
      <c r="I68" s="551"/>
      <c r="J68" s="547">
        <f>IF(J66&gt;0,IF(E77&lt;E61,IF(J66=G79,E77,((J66-G79)*(1-D79))+E61),E77+(J66-G79)),0)</f>
        <v>0</v>
      </c>
    </row>
    <row r="69" spans="2:10" ht="15">
      <c r="B69" s="219"/>
      <c r="C69" s="205"/>
      <c r="D69" s="205"/>
      <c r="E69" s="32"/>
      <c r="G69" s="428" t="s">
        <v>284</v>
      </c>
      <c r="H69" s="558"/>
      <c r="I69" s="558"/>
      <c r="J69" s="553">
        <f>IF(J66&gt;0,J68-E77,0)</f>
        <v>0</v>
      </c>
    </row>
    <row r="70" spans="2:10" ht="15">
      <c r="B70" s="220" t="s">
        <v>220</v>
      </c>
      <c r="C70" s="205"/>
      <c r="D70" s="205"/>
      <c r="E70" s="39"/>
      <c r="J70" s="504"/>
    </row>
    <row r="71" spans="2:10" ht="15">
      <c r="B71" s="220" t="s">
        <v>219</v>
      </c>
      <c r="C71" s="205"/>
      <c r="D71" s="205"/>
      <c r="E71" s="32"/>
      <c r="G71" s="660" t="str">
        <f>CONCATENATE("Projected Carryover Into ",E1+1,"")</f>
        <v>Projected Carryover Into 2015</v>
      </c>
      <c r="H71" s="669"/>
      <c r="I71" s="669"/>
      <c r="J71" s="668"/>
    </row>
    <row r="72" spans="2:10" ht="15">
      <c r="B72" s="220" t="s">
        <v>272</v>
      </c>
      <c r="C72" s="285">
        <f>IF(C73*0.1&lt;C71,"Exceed 10% Rule","")</f>
      </c>
      <c r="D72" s="285">
        <f>IF(D73*0.1&lt;D71,"Exceed 10% Rule","")</f>
      </c>
      <c r="E72" s="292">
        <f>IF(E73*0.1&lt;E71,"Exceed 10% Rule","")</f>
      </c>
      <c r="G72" s="516"/>
      <c r="H72" s="514"/>
      <c r="I72" s="514"/>
      <c r="J72" s="507"/>
    </row>
    <row r="73" spans="2:10" ht="15">
      <c r="B73" s="213" t="s">
        <v>37</v>
      </c>
      <c r="C73" s="290">
        <f>SUM(C63:C71)</f>
        <v>0</v>
      </c>
      <c r="D73" s="290">
        <f>SUM(D63:D71)</f>
        <v>0</v>
      </c>
      <c r="E73" s="237">
        <f>SUM(E63:E71)</f>
        <v>0</v>
      </c>
      <c r="G73" s="518">
        <f>D74</f>
        <v>0</v>
      </c>
      <c r="H73" s="519" t="str">
        <f>CONCATENATE("",E1-1," Ending Cash Balance (est.)")</f>
        <v>2013 Ending Cash Balance (est.)</v>
      </c>
      <c r="I73" s="520"/>
      <c r="J73" s="507"/>
    </row>
    <row r="74" spans="2:10" ht="15">
      <c r="B74" s="113" t="s">
        <v>143</v>
      </c>
      <c r="C74" s="287">
        <f>C61-C73</f>
        <v>0</v>
      </c>
      <c r="D74" s="287">
        <f>D61-D73</f>
        <v>0</v>
      </c>
      <c r="E74" s="232" t="s">
        <v>13</v>
      </c>
      <c r="G74" s="518">
        <f>E60</f>
        <v>0</v>
      </c>
      <c r="H74" s="521" t="str">
        <f>CONCATENATE("",E1," Non-AV Receipts (est.)")</f>
        <v>2014 Non-AV Receipts (est.)</v>
      </c>
      <c r="I74" s="520"/>
      <c r="J74" s="507"/>
    </row>
    <row r="75" spans="2:11" ht="15">
      <c r="B75" s="101" t="str">
        <f>CONCATENATE("",$E$1-2,"/",$E$1-1," Budget Authority Amount:")</f>
        <v>2012/2013 Budget Authority Amount:</v>
      </c>
      <c r="C75" s="164">
        <f>inputOth!B65</f>
        <v>0</v>
      </c>
      <c r="D75" s="222">
        <f>inputPrYr!D22</f>
        <v>0</v>
      </c>
      <c r="E75" s="232" t="s">
        <v>13</v>
      </c>
      <c r="F75" s="223"/>
      <c r="G75" s="522">
        <f>IF(D79&gt;0,E78,E80)</f>
        <v>0</v>
      </c>
      <c r="H75" s="521" t="str">
        <f>CONCATENATE("",E1," Ad Valorem Tax (est.)")</f>
        <v>2014 Ad Valorem Tax (est.)</v>
      </c>
      <c r="I75" s="520"/>
      <c r="J75" s="507"/>
      <c r="K75" s="431">
        <f>IF(G75=E80,"","Note: Does not include Delinquent Taxes")</f>
      </c>
    </row>
    <row r="76" spans="2:10" ht="15">
      <c r="B76" s="101"/>
      <c r="C76" s="649" t="s">
        <v>255</v>
      </c>
      <c r="D76" s="650"/>
      <c r="E76" s="32"/>
      <c r="F76" s="568">
        <f>IF(E73/0.95-E73&lt;E76,"Exceeds 5%","")</f>
      </c>
      <c r="G76" s="529">
        <f>SUM(G73:G75)</f>
        <v>0</v>
      </c>
      <c r="H76" s="521" t="str">
        <f>CONCATENATE("Total ",E1," Resources Available")</f>
        <v>Total 2014 Resources Available</v>
      </c>
      <c r="I76" s="517"/>
      <c r="J76" s="507"/>
    </row>
    <row r="77" spans="2:10" ht="15">
      <c r="B77" s="308" t="str">
        <f>CONCATENATE(C97,"     ",D97)</f>
        <v>     </v>
      </c>
      <c r="C77" s="651" t="s">
        <v>256</v>
      </c>
      <c r="D77" s="652"/>
      <c r="E77" s="174">
        <f>E73+E76</f>
        <v>0</v>
      </c>
      <c r="G77" s="532"/>
      <c r="H77" s="530"/>
      <c r="I77" s="514"/>
      <c r="J77" s="507"/>
    </row>
    <row r="78" spans="2:10" ht="15">
      <c r="B78" s="308" t="str">
        <f>CONCATENATE(C98,"     ",D98)</f>
        <v>     </v>
      </c>
      <c r="C78" s="224"/>
      <c r="D78" s="129" t="s">
        <v>38</v>
      </c>
      <c r="E78" s="174">
        <f>IF(E77-E61&gt;0,E77-E61,0)</f>
        <v>0</v>
      </c>
      <c r="G78" s="531">
        <f>ROUND(C73*0.05+C73,0)</f>
        <v>0</v>
      </c>
      <c r="H78" s="530" t="str">
        <f>CONCATENATE("Less ",E1-2," Expenditures + 5%")</f>
        <v>Less 2012 Expenditures + 5%</v>
      </c>
      <c r="I78" s="517"/>
      <c r="J78" s="507"/>
    </row>
    <row r="79" spans="2:10" ht="15">
      <c r="B79" s="101"/>
      <c r="C79" s="294" t="s">
        <v>257</v>
      </c>
      <c r="D79" s="430">
        <f>inputOth!E47</f>
        <v>0</v>
      </c>
      <c r="E79" s="174">
        <f>ROUND(IF(D79&gt;0,(E78*D79),0),0)</f>
        <v>0</v>
      </c>
      <c r="G79" s="533">
        <f>G76-G78</f>
        <v>0</v>
      </c>
      <c r="H79" s="534" t="str">
        <f>CONCATENATE("Projected ",E1+1," carryover (est.)")</f>
        <v>Projected 2015 carryover (est.)</v>
      </c>
      <c r="I79" s="525"/>
      <c r="J79" s="565"/>
    </row>
    <row r="80" spans="2:9" ht="15.75" thickBot="1">
      <c r="B80" s="129"/>
      <c r="C80" s="653" t="str">
        <f>CONCATENATE("Amount of  ",$E$1-1," Ad Valorem Tax")</f>
        <v>Amount of  2013 Ad Valorem Tax</v>
      </c>
      <c r="D80" s="654"/>
      <c r="E80" s="238">
        <f>E78+E79</f>
        <v>0</v>
      </c>
      <c r="G80" s="504"/>
      <c r="H80" s="504"/>
      <c r="I80" s="504"/>
    </row>
    <row r="81" spans="2:10" ht="15.75" thickTop="1">
      <c r="B81" s="129"/>
      <c r="C81" s="664"/>
      <c r="D81" s="664"/>
      <c r="E81" s="129"/>
      <c r="G81" s="657" t="s">
        <v>340</v>
      </c>
      <c r="H81" s="658"/>
      <c r="I81" s="658"/>
      <c r="J81" s="659"/>
    </row>
    <row r="82" spans="2:10" ht="15">
      <c r="B82" s="637" t="s">
        <v>445</v>
      </c>
      <c r="C82" s="638"/>
      <c r="D82" s="638"/>
      <c r="E82" s="638"/>
      <c r="G82" s="560"/>
      <c r="H82" s="519"/>
      <c r="I82" s="548"/>
      <c r="J82" s="549"/>
    </row>
    <row r="83" spans="2:10" ht="15">
      <c r="B83" s="101" t="s">
        <v>40</v>
      </c>
      <c r="C83" s="593">
        <v>10</v>
      </c>
      <c r="D83" s="4"/>
      <c r="E83" s="4"/>
      <c r="G83" s="562" t="e">
        <f>summ!#REF!</f>
        <v>#REF!</v>
      </c>
      <c r="H83" s="519" t="str">
        <f>CONCATENATE("",E1," Fund Mill Rate")</f>
        <v>2014 Fund Mill Rate</v>
      </c>
      <c r="I83" s="548"/>
      <c r="J83" s="549"/>
    </row>
    <row r="84" spans="2:10" ht="15">
      <c r="B84" s="293"/>
      <c r="G84" s="561" t="e">
        <f>summ!#REF!</f>
        <v>#REF!</v>
      </c>
      <c r="H84" s="519" t="str">
        <f>CONCATENATE("",E1-1," Fund Mill Rate")</f>
        <v>2013 Fund Mill Rate</v>
      </c>
      <c r="I84" s="548"/>
      <c r="J84" s="549"/>
    </row>
    <row r="85" spans="2:10" ht="15">
      <c r="B85" s="1"/>
      <c r="G85" s="563">
        <f>summ!H26</f>
        <v>88.219</v>
      </c>
      <c r="H85" s="519" t="str">
        <f>CONCATENATE("Total ",E1," Mill Rate")</f>
        <v>Total 2014 Mill Rate</v>
      </c>
      <c r="I85" s="548"/>
      <c r="J85" s="549"/>
    </row>
    <row r="86" spans="7:10" ht="15">
      <c r="G86" s="561">
        <f>summ!E26</f>
        <v>89.19</v>
      </c>
      <c r="H86" s="544" t="str">
        <f>CONCATENATE("Total ",E1-1," Mill Rate")</f>
        <v>Total 2013 Mill Rate</v>
      </c>
      <c r="I86" s="545"/>
      <c r="J86" s="546"/>
    </row>
    <row r="88" spans="7:9" ht="15">
      <c r="G88" s="582" t="s">
        <v>358</v>
      </c>
      <c r="H88" s="581"/>
      <c r="I88" s="580" t="str">
        <f>cert!F49</f>
        <v>No</v>
      </c>
    </row>
    <row r="95" spans="3:4" ht="15" hidden="1">
      <c r="C95" s="309">
        <f>IF(C33&gt;C35,"See Tab A","")</f>
      </c>
      <c r="D95" s="309">
        <f>IF(D33&gt;D35,"See Tab C","")</f>
      </c>
    </row>
    <row r="96" spans="3:4" ht="15" hidden="1">
      <c r="C96" s="309">
        <f>IF(C34&lt;0,"See Tab B","")</f>
      </c>
      <c r="D96" s="309">
        <f>IF(D34&lt;0,"See Tab D","")</f>
      </c>
    </row>
    <row r="97" spans="3:4" ht="15" hidden="1">
      <c r="C97" s="309">
        <f>IF(C73&gt;C75,"See Tab A","")</f>
      </c>
      <c r="D97" s="309">
        <f>IF(D73&gt;D75,"See Tab C","")</f>
      </c>
    </row>
    <row r="98" spans="3:4" ht="15" hidden="1">
      <c r="C98" s="309">
        <f>IF(C74&lt;0,"See Tab B","")</f>
      </c>
      <c r="D98" s="309">
        <f>IF(D74&lt;0,"See Tab D","")</f>
      </c>
    </row>
  </sheetData>
  <sheetProtection/>
  <mergeCells count="15">
    <mergeCell ref="C77:D77"/>
    <mergeCell ref="C36:D36"/>
    <mergeCell ref="C37:D37"/>
    <mergeCell ref="C80:D80"/>
    <mergeCell ref="C40:D40"/>
    <mergeCell ref="B82:E82"/>
    <mergeCell ref="C81:D81"/>
    <mergeCell ref="C41:D41"/>
    <mergeCell ref="C76:D76"/>
    <mergeCell ref="G24:J24"/>
    <mergeCell ref="G31:J31"/>
    <mergeCell ref="G41:J41"/>
    <mergeCell ref="G64:J64"/>
    <mergeCell ref="G71:J71"/>
    <mergeCell ref="G81:J81"/>
  </mergeCells>
  <conditionalFormatting sqref="E71">
    <cfRule type="cellIs" priority="4" dxfId="108" operator="greaterThan" stopIfTrue="1">
      <formula>$E$73*0.1</formula>
    </cfRule>
  </conditionalFormatting>
  <conditionalFormatting sqref="E76">
    <cfRule type="cellIs" priority="5" dxfId="108" operator="greaterThan" stopIfTrue="1">
      <formula>$E$73/0.95-$E$73</formula>
    </cfRule>
  </conditionalFormatting>
  <conditionalFormatting sqref="E31">
    <cfRule type="cellIs" priority="6" dxfId="108" operator="greaterThan" stopIfTrue="1">
      <formula>$E$33*0.1</formula>
    </cfRule>
  </conditionalFormatting>
  <conditionalFormatting sqref="D33">
    <cfRule type="cellIs" priority="8" dxfId="2" operator="greaterThan" stopIfTrue="1">
      <formula>$D$35</formula>
    </cfRule>
  </conditionalFormatting>
  <conditionalFormatting sqref="C33">
    <cfRule type="cellIs" priority="9" dxfId="2" operator="greaterThan" stopIfTrue="1">
      <formula>$C$35</formula>
    </cfRule>
  </conditionalFormatting>
  <conditionalFormatting sqref="C34 C74">
    <cfRule type="cellIs" priority="10" dxfId="2" operator="lessThan" stopIfTrue="1">
      <formula>0</formula>
    </cfRule>
  </conditionalFormatting>
  <conditionalFormatting sqref="D73">
    <cfRule type="cellIs" priority="11" dxfId="2" operator="greaterThan" stopIfTrue="1">
      <formula>$D$75</formula>
    </cfRule>
  </conditionalFormatting>
  <conditionalFormatting sqref="C73">
    <cfRule type="cellIs" priority="12" dxfId="2" operator="greaterThan" stopIfTrue="1">
      <formula>$C$75</formula>
    </cfRule>
  </conditionalFormatting>
  <conditionalFormatting sqref="C31">
    <cfRule type="cellIs" priority="13" dxfId="2" operator="greaterThan" stopIfTrue="1">
      <formula>$C$33*0.1</formula>
    </cfRule>
  </conditionalFormatting>
  <conditionalFormatting sqref="D31">
    <cfRule type="cellIs" priority="14" dxfId="2" operator="greaterThan" stopIfTrue="1">
      <formula>$D$33*0.1</formula>
    </cfRule>
  </conditionalFormatting>
  <conditionalFormatting sqref="C71">
    <cfRule type="cellIs" priority="15" dxfId="2" operator="greaterThan" stopIfTrue="1">
      <formula>$C$73*0.1</formula>
    </cfRule>
  </conditionalFormatting>
  <conditionalFormatting sqref="D71">
    <cfRule type="cellIs" priority="16" dxfId="2" operator="greaterThan" stopIfTrue="1">
      <formula>$D$73*0.1</formula>
    </cfRule>
  </conditionalFormatting>
  <conditionalFormatting sqref="D18">
    <cfRule type="cellIs" priority="17" dxfId="2" operator="greaterThan" stopIfTrue="1">
      <formula>$D$20*0.1</formula>
    </cfRule>
  </conditionalFormatting>
  <conditionalFormatting sqref="C18">
    <cfRule type="cellIs" priority="18" dxfId="2" operator="greaterThan" stopIfTrue="1">
      <formula>$C$20*0.1</formula>
    </cfRule>
  </conditionalFormatting>
  <conditionalFormatting sqref="D58">
    <cfRule type="cellIs" priority="19" dxfId="2" operator="greaterThan" stopIfTrue="1">
      <formula>$D$60*0.1</formula>
    </cfRule>
  </conditionalFormatting>
  <conditionalFormatting sqref="C58">
    <cfRule type="cellIs" priority="20" dxfId="2" operator="greaterThan" stopIfTrue="1">
      <formula>$C$60*0.1</formula>
    </cfRule>
  </conditionalFormatting>
  <conditionalFormatting sqref="E58">
    <cfRule type="cellIs" priority="21" dxfId="108" operator="greaterThan" stopIfTrue="1">
      <formula>$E$60*0.1+E80</formula>
    </cfRule>
  </conditionalFormatting>
  <conditionalFormatting sqref="E18">
    <cfRule type="cellIs" priority="22" dxfId="108" operator="greaterThan" stopIfTrue="1">
      <formula>$E$20*0.1+E40</formula>
    </cfRule>
  </conditionalFormatting>
  <conditionalFormatting sqref="D74 D34">
    <cfRule type="cellIs" priority="3" dxfId="0" operator="lessThan" stopIfTrue="1">
      <formula>0</formula>
    </cfRule>
  </conditionalFormatting>
  <conditionalFormatting sqref="E36">
    <cfRule type="cellIs" priority="1" dxfId="108" operator="greaterThan" stopIfTrue="1">
      <formula>$E$33/0.95-$E$33</formula>
    </cfRule>
  </conditionalFormatting>
  <printOptions/>
  <pageMargins left="0.5" right="0.5" top="1" bottom="0.5" header="0.5" footer="0.5"/>
  <pageSetup blackAndWhite="1" fitToHeight="1" fitToWidth="1" horizontalDpi="120" verticalDpi="120" orientation="portrait" scale="58"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B65" sqref="B65"/>
    </sheetView>
  </sheetViews>
  <sheetFormatPr defaultColWidth="8.8984375" defaultRowHeight="15"/>
  <cols>
    <col min="1" max="1" width="2.3984375" style="5" customWidth="1"/>
    <col min="2" max="2" width="31.09765625" style="5" customWidth="1"/>
    <col min="3" max="4" width="15.69921875" style="5" customWidth="1"/>
    <col min="5" max="5" width="16.19921875" style="5" customWidth="1"/>
    <col min="6" max="16384" width="8.8984375" style="5" customWidth="1"/>
  </cols>
  <sheetData>
    <row r="1" spans="2:5" ht="15">
      <c r="B1" s="133" t="str">
        <f>(inputPrYr!D2)</f>
        <v>City of Toronto</v>
      </c>
      <c r="C1" s="4"/>
      <c r="D1" s="4"/>
      <c r="E1" s="193">
        <f>inputPrYr!C5</f>
        <v>2014</v>
      </c>
    </row>
    <row r="2" spans="2:5" ht="15">
      <c r="B2" s="4"/>
      <c r="C2" s="4"/>
      <c r="D2" s="4"/>
      <c r="E2" s="129"/>
    </row>
    <row r="3" spans="2:5" ht="15">
      <c r="B3" s="23" t="s">
        <v>88</v>
      </c>
      <c r="C3" s="236"/>
      <c r="D3" s="236"/>
      <c r="E3" s="236"/>
    </row>
    <row r="4" spans="2:5" ht="15">
      <c r="B4" s="11" t="s">
        <v>24</v>
      </c>
      <c r="C4" s="487" t="s">
        <v>279</v>
      </c>
      <c r="D4" s="488" t="s">
        <v>280</v>
      </c>
      <c r="E4" s="107" t="s">
        <v>281</v>
      </c>
    </row>
    <row r="5" spans="2:5" ht="15">
      <c r="B5" s="305" t="str">
        <f>(inputPrYr!B34)</f>
        <v>Special Highway</v>
      </c>
      <c r="C5" s="288" t="str">
        <f>CONCATENATE("Actual for ",E1-2,"")</f>
        <v>Actual for 2012</v>
      </c>
      <c r="D5" s="288" t="str">
        <f>CONCATENATE("Estimate for ",E1-1,"")</f>
        <v>Estimate for 2013</v>
      </c>
      <c r="E5" s="203" t="str">
        <f>CONCATENATE("Year for ",E1,"")</f>
        <v>Year for 2014</v>
      </c>
    </row>
    <row r="6" spans="2:5" ht="15">
      <c r="B6" s="204" t="s">
        <v>142</v>
      </c>
      <c r="C6" s="32">
        <v>11505</v>
      </c>
      <c r="D6" s="174">
        <f>C29</f>
        <v>13587</v>
      </c>
      <c r="E6" s="174">
        <f>D29</f>
        <v>19800</v>
      </c>
    </row>
    <row r="7" spans="2:5" ht="15">
      <c r="B7" s="207" t="s">
        <v>144</v>
      </c>
      <c r="C7" s="50"/>
      <c r="D7" s="50"/>
      <c r="E7" s="50"/>
    </row>
    <row r="8" spans="2:5" ht="15">
      <c r="B8" s="220" t="s">
        <v>122</v>
      </c>
      <c r="C8" s="32">
        <v>7267</v>
      </c>
      <c r="D8" s="174">
        <f>inputOth!E53</f>
        <v>7040</v>
      </c>
      <c r="E8" s="174">
        <f>inputOth!E51</f>
        <v>7290</v>
      </c>
    </row>
    <row r="9" spans="2:5" ht="15">
      <c r="B9" s="220" t="s">
        <v>214</v>
      </c>
      <c r="C9" s="32"/>
      <c r="D9" s="174">
        <f>inputOth!E54</f>
        <v>0</v>
      </c>
      <c r="E9" s="174">
        <f>inputOth!E52</f>
        <v>0</v>
      </c>
    </row>
    <row r="10" spans="2:5" ht="15">
      <c r="B10" s="219"/>
      <c r="C10" s="32"/>
      <c r="D10" s="32"/>
      <c r="E10" s="32"/>
    </row>
    <row r="11" spans="2:5" ht="15">
      <c r="B11" s="219"/>
      <c r="C11" s="32"/>
      <c r="D11" s="32"/>
      <c r="E11" s="32"/>
    </row>
    <row r="12" spans="2:5" ht="15">
      <c r="B12" s="211" t="s">
        <v>30</v>
      </c>
      <c r="C12" s="32"/>
      <c r="D12" s="32"/>
      <c r="E12" s="32"/>
    </row>
    <row r="13" spans="2:5" ht="15">
      <c r="B13" s="121" t="s">
        <v>219</v>
      </c>
      <c r="C13" s="32"/>
      <c r="D13" s="32"/>
      <c r="E13" s="32"/>
    </row>
    <row r="14" spans="2:5" ht="15">
      <c r="B14" s="204" t="s">
        <v>271</v>
      </c>
      <c r="C14" s="306">
        <f>IF(C15*0.1&lt;C13,"Exceed 10% Rule","")</f>
      </c>
      <c r="D14" s="233">
        <f>IF(D15*0.1&lt;D13,"Exceed 10% Rule","")</f>
      </c>
      <c r="E14" s="233">
        <f>IF(E15*0.1&lt;E13,"Exceed 10% Rule","")</f>
      </c>
    </row>
    <row r="15" spans="2:5" ht="15">
      <c r="B15" s="213" t="s">
        <v>31</v>
      </c>
      <c r="C15" s="237">
        <f>SUM(C8:C13)</f>
        <v>7267</v>
      </c>
      <c r="D15" s="237">
        <f>SUM(D8:D13)</f>
        <v>7040</v>
      </c>
      <c r="E15" s="237">
        <f>SUM(E8:E13)</f>
        <v>7290</v>
      </c>
    </row>
    <row r="16" spans="2:5" ht="15">
      <c r="B16" s="213" t="s">
        <v>32</v>
      </c>
      <c r="C16" s="237">
        <f>C6+C15</f>
        <v>18772</v>
      </c>
      <c r="D16" s="237">
        <f>D6+D15</f>
        <v>20627</v>
      </c>
      <c r="E16" s="237">
        <f>E6+E15</f>
        <v>27090</v>
      </c>
    </row>
    <row r="17" spans="2:5" ht="15">
      <c r="B17" s="113" t="s">
        <v>34</v>
      </c>
      <c r="C17" s="174"/>
      <c r="D17" s="174"/>
      <c r="E17" s="174"/>
    </row>
    <row r="18" spans="2:5" ht="15">
      <c r="B18" s="219" t="s">
        <v>415</v>
      </c>
      <c r="C18" s="32"/>
      <c r="D18" s="32"/>
      <c r="E18" s="32"/>
    </row>
    <row r="19" spans="2:5" ht="15">
      <c r="B19" s="588" t="s">
        <v>397</v>
      </c>
      <c r="C19" s="32">
        <v>5185</v>
      </c>
      <c r="D19" s="32">
        <v>827</v>
      </c>
      <c r="E19" s="32">
        <v>5000</v>
      </c>
    </row>
    <row r="20" spans="2:5" ht="15">
      <c r="B20" s="219" t="s">
        <v>35</v>
      </c>
      <c r="C20" s="32">
        <v>0</v>
      </c>
      <c r="D20" s="32">
        <v>0</v>
      </c>
      <c r="E20" s="32">
        <v>22090</v>
      </c>
    </row>
    <row r="21" spans="2:5" ht="15">
      <c r="B21" s="219"/>
      <c r="C21" s="32"/>
      <c r="D21" s="32"/>
      <c r="E21" s="32"/>
    </row>
    <row r="22" spans="2:5" ht="15">
      <c r="B22" s="219"/>
      <c r="C22" s="32"/>
      <c r="D22" s="32"/>
      <c r="E22" s="32"/>
    </row>
    <row r="23" spans="2:5" ht="15">
      <c r="B23" s="219"/>
      <c r="C23" s="32"/>
      <c r="D23" s="32"/>
      <c r="E23" s="32"/>
    </row>
    <row r="24" spans="2:5" ht="15">
      <c r="B24" s="219"/>
      <c r="C24" s="32"/>
      <c r="D24" s="32"/>
      <c r="E24" s="32"/>
    </row>
    <row r="25" spans="2:5" ht="15">
      <c r="B25" s="219"/>
      <c r="C25" s="32"/>
      <c r="D25" s="32"/>
      <c r="E25" s="32"/>
    </row>
    <row r="26" spans="2:5" ht="15">
      <c r="B26" s="220" t="s">
        <v>219</v>
      </c>
      <c r="C26" s="32"/>
      <c r="D26" s="32"/>
      <c r="E26" s="32"/>
    </row>
    <row r="27" spans="2:5" ht="15">
      <c r="B27" s="220" t="s">
        <v>272</v>
      </c>
      <c r="C27" s="306">
        <f>IF(C28*0.1&lt;C26,"Exceed 10% Rule","")</f>
      </c>
      <c r="D27" s="233">
        <f>IF(D28*0.1&lt;D26,"Exceed 10% Rule","")</f>
      </c>
      <c r="E27" s="233">
        <f>IF(E28*0.1&lt;E26,"Exceed 10% Rule","")</f>
      </c>
    </row>
    <row r="28" spans="2:5" ht="15">
      <c r="B28" s="213" t="s">
        <v>37</v>
      </c>
      <c r="C28" s="237">
        <f>SUM(C18:C26)</f>
        <v>5185</v>
      </c>
      <c r="D28" s="237">
        <f>SUM(D18:D26)</f>
        <v>827</v>
      </c>
      <c r="E28" s="237">
        <f>SUM(E18:E26)</f>
        <v>27090</v>
      </c>
    </row>
    <row r="29" spans="2:5" ht="15">
      <c r="B29" s="113" t="s">
        <v>143</v>
      </c>
      <c r="C29" s="174">
        <f>C16-C28</f>
        <v>13587</v>
      </c>
      <c r="D29" s="174">
        <f>D16-D28</f>
        <v>19800</v>
      </c>
      <c r="E29" s="174">
        <f>E16-E28</f>
        <v>0</v>
      </c>
    </row>
    <row r="30" spans="2:5" ht="15">
      <c r="B30" s="101" t="str">
        <f>CONCATENATE("",$E$1-2,"/",$E$1-1," Budget Authority Amount:")</f>
        <v>2012/2013 Budget Authority Amount:</v>
      </c>
      <c r="C30" s="164">
        <f>inputOth!B74</f>
        <v>22415</v>
      </c>
      <c r="D30" s="164">
        <f>inputPrYr!D34</f>
        <v>26075</v>
      </c>
      <c r="E30" s="344">
        <f>IF(E29&lt;0,"See Tab E","")</f>
      </c>
    </row>
    <row r="31" spans="2:5" ht="15">
      <c r="B31" s="101"/>
      <c r="C31" s="224">
        <f>IF(C28&gt;C30,"See Tab A","")</f>
      </c>
      <c r="D31" s="224">
        <f>IF(D28&gt;D30,"See Tab C","")</f>
      </c>
      <c r="E31" s="33"/>
    </row>
    <row r="32" spans="2:5" ht="15">
      <c r="B32" s="101"/>
      <c r="C32" s="224">
        <f>IF(C29&lt;0,"See Tab B","")</f>
      </c>
      <c r="D32" s="224">
        <f>IF(D29&lt;0,"See Tab D","")</f>
      </c>
      <c r="E32" s="33"/>
    </row>
    <row r="33" spans="2:5" ht="15">
      <c r="B33" s="4"/>
      <c r="C33" s="33"/>
      <c r="D33" s="33"/>
      <c r="E33" s="33"/>
    </row>
    <row r="34" spans="2:5" ht="15">
      <c r="B34" s="11" t="s">
        <v>24</v>
      </c>
      <c r="C34" s="239"/>
      <c r="D34" s="239"/>
      <c r="E34" s="239"/>
    </row>
    <row r="35" spans="2:5" ht="15">
      <c r="B35" s="4"/>
      <c r="C35" s="227" t="str">
        <f aca="true" t="shared" si="0" ref="C35:E36">C4</f>
        <v>Prior Year </v>
      </c>
      <c r="D35" s="107" t="str">
        <f t="shared" si="0"/>
        <v>Current Year</v>
      </c>
      <c r="E35" s="107" t="str">
        <f t="shared" si="0"/>
        <v>Proposed Budget</v>
      </c>
    </row>
    <row r="36" spans="2:5" ht="15">
      <c r="B36" s="304" t="str">
        <f>(inputPrYr!B35)</f>
        <v>911 Emergency System</v>
      </c>
      <c r="C36" s="203" t="str">
        <f t="shared" si="0"/>
        <v>Actual for 2012</v>
      </c>
      <c r="D36" s="203" t="str">
        <f t="shared" si="0"/>
        <v>Estimate for 2013</v>
      </c>
      <c r="E36" s="203" t="str">
        <f t="shared" si="0"/>
        <v>Year for 2014</v>
      </c>
    </row>
    <row r="37" spans="2:5" ht="15">
      <c r="B37" s="204" t="s">
        <v>142</v>
      </c>
      <c r="C37" s="32">
        <v>3069</v>
      </c>
      <c r="D37" s="174">
        <f>C60</f>
        <v>1303</v>
      </c>
      <c r="E37" s="174">
        <f>D60</f>
        <v>0</v>
      </c>
    </row>
    <row r="38" spans="2:5" ht="15">
      <c r="B38" s="204" t="s">
        <v>144</v>
      </c>
      <c r="C38" s="50"/>
      <c r="D38" s="50"/>
      <c r="E38" s="50"/>
    </row>
    <row r="39" spans="2:5" ht="15">
      <c r="B39" s="591" t="s">
        <v>388</v>
      </c>
      <c r="C39" s="32">
        <v>717</v>
      </c>
      <c r="D39" s="32">
        <v>0</v>
      </c>
      <c r="E39" s="32">
        <v>0</v>
      </c>
    </row>
    <row r="40" spans="2:5" ht="15">
      <c r="B40" s="219" t="s">
        <v>391</v>
      </c>
      <c r="C40" s="32">
        <v>232</v>
      </c>
      <c r="D40" s="32">
        <v>0</v>
      </c>
      <c r="E40" s="32">
        <v>0</v>
      </c>
    </row>
    <row r="41" spans="2:5" ht="15">
      <c r="B41" s="219"/>
      <c r="C41" s="32"/>
      <c r="D41" s="32"/>
      <c r="E41" s="32"/>
    </row>
    <row r="42" spans="2:5" ht="15">
      <c r="B42" s="219"/>
      <c r="C42" s="32"/>
      <c r="D42" s="32"/>
      <c r="E42" s="32"/>
    </row>
    <row r="43" spans="2:5" ht="15">
      <c r="B43" s="211" t="s">
        <v>30</v>
      </c>
      <c r="C43" s="32"/>
      <c r="D43" s="32"/>
      <c r="E43" s="32"/>
    </row>
    <row r="44" spans="2:5" ht="15">
      <c r="B44" s="121" t="s">
        <v>219</v>
      </c>
      <c r="C44" s="32"/>
      <c r="D44" s="32"/>
      <c r="E44" s="32"/>
    </row>
    <row r="45" spans="2:5" ht="15">
      <c r="B45" s="204" t="s">
        <v>271</v>
      </c>
      <c r="C45" s="306">
        <f>IF(C46*0.1&lt;C44,"Exceed 10% Rule","")</f>
      </c>
      <c r="D45" s="233">
        <f>IF(D46*0.1&lt;D44,"Exceed 10% Rule","")</f>
      </c>
      <c r="E45" s="233">
        <f>IF(E46*0.1&lt;E44,"Exceed 10% Rule","")</f>
      </c>
    </row>
    <row r="46" spans="2:5" ht="15">
      <c r="B46" s="213" t="s">
        <v>31</v>
      </c>
      <c r="C46" s="237">
        <f>SUM(C39:C44)</f>
        <v>949</v>
      </c>
      <c r="D46" s="237">
        <f>SUM(D39:D44)</f>
        <v>0</v>
      </c>
      <c r="E46" s="237">
        <f>SUM(E39:E44)</f>
        <v>0</v>
      </c>
    </row>
    <row r="47" spans="2:5" ht="15">
      <c r="B47" s="213" t="s">
        <v>32</v>
      </c>
      <c r="C47" s="237">
        <f>C37+C46</f>
        <v>4018</v>
      </c>
      <c r="D47" s="237">
        <f>D37+D46</f>
        <v>1303</v>
      </c>
      <c r="E47" s="237">
        <f>E37+E46</f>
        <v>0</v>
      </c>
    </row>
    <row r="48" spans="2:5" ht="15">
      <c r="B48" s="113" t="s">
        <v>34</v>
      </c>
      <c r="C48" s="174"/>
      <c r="D48" s="174"/>
      <c r="E48" s="174"/>
    </row>
    <row r="49" spans="2:5" ht="15">
      <c r="B49" s="591" t="s">
        <v>416</v>
      </c>
      <c r="C49" s="32"/>
      <c r="D49" s="32"/>
      <c r="E49" s="32"/>
    </row>
    <row r="50" spans="2:5" ht="15">
      <c r="B50" s="591" t="s">
        <v>417</v>
      </c>
      <c r="C50" s="32">
        <v>763</v>
      </c>
      <c r="D50" s="32">
        <v>0</v>
      </c>
      <c r="E50" s="32">
        <v>0</v>
      </c>
    </row>
    <row r="51" spans="2:5" ht="15">
      <c r="B51" s="588" t="s">
        <v>418</v>
      </c>
      <c r="C51" s="32">
        <v>1952</v>
      </c>
      <c r="D51" s="32">
        <v>0</v>
      </c>
      <c r="E51" s="32">
        <v>0</v>
      </c>
    </row>
    <row r="52" spans="2:5" ht="15">
      <c r="B52" s="219" t="s">
        <v>444</v>
      </c>
      <c r="C52" s="32">
        <v>0</v>
      </c>
      <c r="D52" s="32">
        <v>1303</v>
      </c>
      <c r="E52" s="32">
        <v>0</v>
      </c>
    </row>
    <row r="53" spans="2:5" ht="15">
      <c r="B53" s="219"/>
      <c r="C53" s="32"/>
      <c r="D53" s="32"/>
      <c r="E53" s="32"/>
    </row>
    <row r="54" spans="2:5" ht="15">
      <c r="B54" s="219"/>
      <c r="C54" s="32"/>
      <c r="D54" s="32"/>
      <c r="E54" s="32"/>
    </row>
    <row r="55" spans="2:5" ht="15">
      <c r="B55" s="219"/>
      <c r="C55" s="32"/>
      <c r="D55" s="32"/>
      <c r="E55" s="32"/>
    </row>
    <row r="56" spans="2:5" ht="15">
      <c r="B56" s="219"/>
      <c r="C56" s="32"/>
      <c r="D56" s="32"/>
      <c r="E56" s="32"/>
    </row>
    <row r="57" spans="2:5" ht="15">
      <c r="B57" s="220" t="s">
        <v>219</v>
      </c>
      <c r="C57" s="32"/>
      <c r="D57" s="32"/>
      <c r="E57" s="32"/>
    </row>
    <row r="58" spans="2:5" ht="15">
      <c r="B58" s="220" t="s">
        <v>272</v>
      </c>
      <c r="C58" s="306">
        <f>IF(C59*0.1&lt;C57,"Exceed 10% Rule","")</f>
      </c>
      <c r="D58" s="233">
        <f>IF(D59*0.1&lt;D57,"Exceed 10% Rule","")</f>
      </c>
      <c r="E58" s="233">
        <f>IF(E59*0.1&lt;E57,"Exceed 10% Rule","")</f>
      </c>
    </row>
    <row r="59" spans="2:5" ht="15">
      <c r="B59" s="213" t="s">
        <v>37</v>
      </c>
      <c r="C59" s="237">
        <f>SUM(C49:C57)</f>
        <v>2715</v>
      </c>
      <c r="D59" s="237">
        <f>SUM(D49:D57)</f>
        <v>1303</v>
      </c>
      <c r="E59" s="237">
        <f>SUM(E49:E57)</f>
        <v>0</v>
      </c>
    </row>
    <row r="60" spans="2:5" ht="15">
      <c r="B60" s="113" t="s">
        <v>143</v>
      </c>
      <c r="C60" s="174">
        <f>C47-C59</f>
        <v>1303</v>
      </c>
      <c r="D60" s="174">
        <f>D47-D59</f>
        <v>0</v>
      </c>
      <c r="E60" s="174">
        <f>E47-E59</f>
        <v>0</v>
      </c>
    </row>
    <row r="61" spans="2:5" ht="15">
      <c r="B61" s="101" t="str">
        <f>CONCATENATE("",$E$1-2,"/",$E$1-1," Budget Authority Amount:")</f>
        <v>2012/2013 Budget Authority Amount:</v>
      </c>
      <c r="C61" s="164">
        <f>inputOth!B75</f>
        <v>5824</v>
      </c>
      <c r="D61" s="164">
        <f>inputPrYr!D35</f>
        <v>4457</v>
      </c>
      <c r="E61" s="344">
        <f>IF(E60&lt;0,"See Tab E","")</f>
      </c>
    </row>
    <row r="62" spans="2:5" ht="15">
      <c r="B62" s="101"/>
      <c r="C62" s="224">
        <f>IF(C59&gt;C61,"See Tab A","")</f>
      </c>
      <c r="D62" s="224">
        <f>IF(D59&gt;D61,"See Tab C","")</f>
      </c>
      <c r="E62" s="4"/>
    </row>
    <row r="63" spans="2:5" ht="15">
      <c r="B63" s="101"/>
      <c r="C63" s="224">
        <f>IF(C60&lt;0,"See Tab B","")</f>
      </c>
      <c r="D63" s="224">
        <f>IF(D60&lt;0,"See Tab D","")</f>
      </c>
      <c r="E63" s="4"/>
    </row>
    <row r="64" spans="2:5" ht="15">
      <c r="B64" s="637" t="s">
        <v>445</v>
      </c>
      <c r="C64" s="638"/>
      <c r="D64" s="638"/>
      <c r="E64" s="638"/>
    </row>
    <row r="65" spans="2:5" ht="15">
      <c r="B65" s="101" t="s">
        <v>40</v>
      </c>
      <c r="C65" s="593">
        <v>11</v>
      </c>
      <c r="D65" s="4"/>
      <c r="E65" s="4"/>
    </row>
  </sheetData>
  <sheetProtection/>
  <mergeCells count="1">
    <mergeCell ref="B64:E64"/>
  </mergeCells>
  <conditionalFormatting sqref="C44">
    <cfRule type="cellIs" priority="3" dxfId="108" operator="greaterThan" stopIfTrue="1">
      <formula>$C$46*0.1</formula>
    </cfRule>
  </conditionalFormatting>
  <conditionalFormatting sqref="D44">
    <cfRule type="cellIs" priority="4" dxfId="108" operator="greaterThan" stopIfTrue="1">
      <formula>$D$46*0.1</formula>
    </cfRule>
  </conditionalFormatting>
  <conditionalFormatting sqref="E44">
    <cfRule type="cellIs" priority="5" dxfId="108" operator="greaterThan" stopIfTrue="1">
      <formula>$E$46*0.1</formula>
    </cfRule>
  </conditionalFormatting>
  <conditionalFormatting sqref="C57">
    <cfRule type="cellIs" priority="6" dxfId="108" operator="greaterThan" stopIfTrue="1">
      <formula>$C$59*0.1</formula>
    </cfRule>
  </conditionalFormatting>
  <conditionalFormatting sqref="D57">
    <cfRule type="cellIs" priority="7" dxfId="108" operator="greaterThan" stopIfTrue="1">
      <formula>$D$59*0.1</formula>
    </cfRule>
  </conditionalFormatting>
  <conditionalFormatting sqref="E57">
    <cfRule type="cellIs" priority="8" dxfId="108" operator="greaterThan" stopIfTrue="1">
      <formula>$E$59*0.1</formula>
    </cfRule>
  </conditionalFormatting>
  <conditionalFormatting sqref="C13">
    <cfRule type="cellIs" priority="9" dxfId="108" operator="greaterThan" stopIfTrue="1">
      <formula>$C$15*0.1</formula>
    </cfRule>
  </conditionalFormatting>
  <conditionalFormatting sqref="D13">
    <cfRule type="cellIs" priority="10" dxfId="108" operator="greaterThan" stopIfTrue="1">
      <formula>$D$15*0.1</formula>
    </cfRule>
  </conditionalFormatting>
  <conditionalFormatting sqref="E13">
    <cfRule type="cellIs" priority="11" dxfId="108" operator="greaterThan" stopIfTrue="1">
      <formula>$E$15*0.1</formula>
    </cfRule>
  </conditionalFormatting>
  <conditionalFormatting sqref="C26">
    <cfRule type="cellIs" priority="12" dxfId="108" operator="greaterThan" stopIfTrue="1">
      <formula>$C$28*0.1</formula>
    </cfRule>
  </conditionalFormatting>
  <conditionalFormatting sqref="D26">
    <cfRule type="cellIs" priority="13" dxfId="108" operator="greaterThan" stopIfTrue="1">
      <formula>$D$28*0.1</formula>
    </cfRule>
  </conditionalFormatting>
  <conditionalFormatting sqref="E26">
    <cfRule type="cellIs" priority="14" dxfId="108" operator="greaterThan" stopIfTrue="1">
      <formula>$E$28*0.1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9">
      <selection activeCell="E24" sqref="E24"/>
    </sheetView>
  </sheetViews>
  <sheetFormatPr defaultColWidth="8.8984375" defaultRowHeight="15"/>
  <cols>
    <col min="1" max="1" width="2.3984375" style="5" customWidth="1"/>
    <col min="2" max="2" width="31.09765625" style="5" customWidth="1"/>
    <col min="3" max="4" width="15.69921875" style="5" customWidth="1"/>
    <col min="5" max="5" width="16.19921875" style="5" customWidth="1"/>
    <col min="6" max="16384" width="8.8984375" style="5" customWidth="1"/>
  </cols>
  <sheetData>
    <row r="1" spans="2:5" ht="15">
      <c r="B1" s="133" t="str">
        <f>(inputPrYr!D2)</f>
        <v>City of Toronto</v>
      </c>
      <c r="C1" s="4"/>
      <c r="D1" s="4"/>
      <c r="E1" s="193">
        <f>inputPrYr!C5</f>
        <v>2014</v>
      </c>
    </row>
    <row r="2" spans="2:5" ht="15">
      <c r="B2" s="4"/>
      <c r="C2" s="4"/>
      <c r="D2" s="4"/>
      <c r="E2" s="129"/>
    </row>
    <row r="3" spans="2:5" ht="15">
      <c r="B3" s="23" t="s">
        <v>88</v>
      </c>
      <c r="C3" s="236"/>
      <c r="D3" s="236"/>
      <c r="E3" s="236"/>
    </row>
    <row r="4" spans="2:5" ht="15">
      <c r="B4" s="11" t="s">
        <v>24</v>
      </c>
      <c r="C4" s="487" t="s">
        <v>279</v>
      </c>
      <c r="D4" s="488" t="s">
        <v>280</v>
      </c>
      <c r="E4" s="107" t="s">
        <v>281</v>
      </c>
    </row>
    <row r="5" spans="2:5" ht="15">
      <c r="B5" s="305" t="str">
        <f>(inputPrYr!B36)</f>
        <v>Water Utility</v>
      </c>
      <c r="C5" s="288" t="str">
        <f>CONCATENATE("Actual for ",E1-2,"")</f>
        <v>Actual for 2012</v>
      </c>
      <c r="D5" s="288" t="str">
        <f>CONCATENATE("Estimate for ",E1-1,"")</f>
        <v>Estimate for 2013</v>
      </c>
      <c r="E5" s="203" t="str">
        <f>CONCATENATE("Year for ",E1,"")</f>
        <v>Year for 2014</v>
      </c>
    </row>
    <row r="6" spans="2:5" ht="15">
      <c r="B6" s="204" t="s">
        <v>142</v>
      </c>
      <c r="C6" s="32">
        <v>19283</v>
      </c>
      <c r="D6" s="174">
        <f>C30</f>
        <v>31308</v>
      </c>
      <c r="E6" s="174">
        <f>D30</f>
        <v>38575</v>
      </c>
    </row>
    <row r="7" spans="2:5" ht="15">
      <c r="B7" s="207" t="s">
        <v>144</v>
      </c>
      <c r="C7" s="50"/>
      <c r="D7" s="50"/>
      <c r="E7" s="50"/>
    </row>
    <row r="8" spans="2:5" ht="15">
      <c r="B8" s="591" t="s">
        <v>388</v>
      </c>
      <c r="C8" s="32"/>
      <c r="D8" s="32"/>
      <c r="E8" s="32"/>
    </row>
    <row r="9" spans="2:5" ht="15">
      <c r="B9" s="591" t="s">
        <v>420</v>
      </c>
      <c r="C9" s="32">
        <v>101150</v>
      </c>
      <c r="D9" s="32">
        <v>116780</v>
      </c>
      <c r="E9" s="32">
        <v>120000</v>
      </c>
    </row>
    <row r="10" spans="2:5" ht="15">
      <c r="B10" s="591" t="s">
        <v>421</v>
      </c>
      <c r="C10" s="32">
        <v>495</v>
      </c>
      <c r="D10" s="32">
        <v>810</v>
      </c>
      <c r="E10" s="32">
        <v>850</v>
      </c>
    </row>
    <row r="11" spans="2:5" ht="15">
      <c r="B11" s="591" t="s">
        <v>422</v>
      </c>
      <c r="C11" s="32">
        <v>110</v>
      </c>
      <c r="D11" s="32">
        <v>100</v>
      </c>
      <c r="E11" s="32">
        <v>100</v>
      </c>
    </row>
    <row r="12" spans="2:5" ht="15">
      <c r="B12" s="591" t="s">
        <v>410</v>
      </c>
      <c r="C12" s="32">
        <v>602</v>
      </c>
      <c r="D12" s="32">
        <v>63</v>
      </c>
      <c r="E12" s="32">
        <v>0</v>
      </c>
    </row>
    <row r="13" spans="2:5" ht="15">
      <c r="B13" s="211" t="s">
        <v>30</v>
      </c>
      <c r="C13" s="32">
        <v>165</v>
      </c>
      <c r="D13" s="32">
        <v>114</v>
      </c>
      <c r="E13" s="32">
        <v>115</v>
      </c>
    </row>
    <row r="14" spans="2:5" ht="15">
      <c r="B14" s="121" t="s">
        <v>219</v>
      </c>
      <c r="C14" s="32">
        <v>1620</v>
      </c>
      <c r="D14" s="206">
        <v>0</v>
      </c>
      <c r="E14" s="206">
        <v>0</v>
      </c>
    </row>
    <row r="15" spans="2:5" ht="15">
      <c r="B15" s="204" t="s">
        <v>271</v>
      </c>
      <c r="C15" s="306">
        <f>IF(C16*0.1&lt;C14,"Exceed 10% Rule","")</f>
      </c>
      <c r="D15" s="233">
        <f>IF(D16*0.1&lt;D14,"Exceed 10% Rule","")</f>
      </c>
      <c r="E15" s="233">
        <f>IF(E16*0.1&lt;E14,"Exceed 10% Rule","")</f>
      </c>
    </row>
    <row r="16" spans="2:5" ht="15">
      <c r="B16" s="213" t="s">
        <v>31</v>
      </c>
      <c r="C16" s="237">
        <f>SUM(C8:C14)</f>
        <v>104142</v>
      </c>
      <c r="D16" s="237">
        <f>SUM(D8:D14)</f>
        <v>117867</v>
      </c>
      <c r="E16" s="237">
        <f>SUM(E8:E14)</f>
        <v>121065</v>
      </c>
    </row>
    <row r="17" spans="2:5" ht="15">
      <c r="B17" s="213" t="s">
        <v>32</v>
      </c>
      <c r="C17" s="237">
        <f>C6+C16</f>
        <v>123425</v>
      </c>
      <c r="D17" s="237">
        <f>D6+D16</f>
        <v>149175</v>
      </c>
      <c r="E17" s="237">
        <f>E6+E16</f>
        <v>159640</v>
      </c>
    </row>
    <row r="18" spans="2:5" ht="15">
      <c r="B18" s="113" t="s">
        <v>34</v>
      </c>
      <c r="C18" s="174"/>
      <c r="D18" s="174"/>
      <c r="E18" s="174"/>
    </row>
    <row r="19" spans="2:5" ht="15">
      <c r="B19" s="591" t="s">
        <v>423</v>
      </c>
      <c r="C19" s="32"/>
      <c r="D19" s="32"/>
      <c r="E19" s="32"/>
    </row>
    <row r="20" spans="2:5" ht="15">
      <c r="B20" s="591" t="s">
        <v>424</v>
      </c>
      <c r="C20" s="32">
        <v>15418</v>
      </c>
      <c r="D20" s="32">
        <v>22728</v>
      </c>
      <c r="E20" s="32">
        <v>25001</v>
      </c>
    </row>
    <row r="21" spans="2:5" ht="15">
      <c r="B21" s="591" t="s">
        <v>417</v>
      </c>
      <c r="C21" s="32">
        <v>3789</v>
      </c>
      <c r="D21" s="32">
        <v>7293</v>
      </c>
      <c r="E21" s="32">
        <v>7500</v>
      </c>
    </row>
    <row r="22" spans="2:5" ht="15">
      <c r="B22" s="591" t="s">
        <v>418</v>
      </c>
      <c r="C22" s="32">
        <v>56910</v>
      </c>
      <c r="D22" s="32">
        <v>64579</v>
      </c>
      <c r="E22" s="32">
        <v>65000</v>
      </c>
    </row>
    <row r="23" spans="2:5" ht="15">
      <c r="B23" s="591" t="s">
        <v>425</v>
      </c>
      <c r="C23" s="32">
        <v>0</v>
      </c>
      <c r="D23" s="32">
        <v>0</v>
      </c>
      <c r="E23" s="32">
        <v>46139</v>
      </c>
    </row>
    <row r="24" spans="2:5" ht="15">
      <c r="B24" s="591" t="s">
        <v>426</v>
      </c>
      <c r="C24" s="32"/>
      <c r="D24" s="32"/>
      <c r="E24" s="32"/>
    </row>
    <row r="25" spans="2:5" ht="15">
      <c r="B25" s="591" t="s">
        <v>427</v>
      </c>
      <c r="C25" s="32">
        <v>16000</v>
      </c>
      <c r="D25" s="32">
        <v>16000</v>
      </c>
      <c r="E25" s="32">
        <v>16000</v>
      </c>
    </row>
    <row r="26" spans="2:5" ht="15">
      <c r="B26" s="219"/>
      <c r="C26" s="32"/>
      <c r="D26" s="32"/>
      <c r="E26" s="32"/>
    </row>
    <row r="27" spans="2:5" ht="15">
      <c r="B27" s="220" t="s">
        <v>219</v>
      </c>
      <c r="C27" s="32"/>
      <c r="D27" s="206"/>
      <c r="E27" s="206"/>
    </row>
    <row r="28" spans="2:5" ht="15">
      <c r="B28" s="220" t="s">
        <v>272</v>
      </c>
      <c r="C28" s="306">
        <f>IF(C29*0.1&lt;C27,"Exceed 10% Rule","")</f>
      </c>
      <c r="D28" s="233">
        <f>IF(D29*0.1&lt;D27,"Exceed 10% Rule","")</f>
      </c>
      <c r="E28" s="233">
        <f>IF(E29*0.1&lt;E27,"Exceed 10% Rule","")</f>
      </c>
    </row>
    <row r="29" spans="2:5" ht="15">
      <c r="B29" s="213" t="s">
        <v>37</v>
      </c>
      <c r="C29" s="237">
        <f>SUM(C19:C27)</f>
        <v>92117</v>
      </c>
      <c r="D29" s="237">
        <f>SUM(D19:D27)</f>
        <v>110600</v>
      </c>
      <c r="E29" s="237">
        <f>SUM(E19:E27)</f>
        <v>159640</v>
      </c>
    </row>
    <row r="30" spans="2:5" ht="15">
      <c r="B30" s="113" t="s">
        <v>143</v>
      </c>
      <c r="C30" s="174">
        <f>C17-C29</f>
        <v>31308</v>
      </c>
      <c r="D30" s="174">
        <f>D17-D29</f>
        <v>38575</v>
      </c>
      <c r="E30" s="174">
        <f>E17-E29</f>
        <v>0</v>
      </c>
    </row>
    <row r="31" spans="2:5" ht="15">
      <c r="B31" s="101" t="str">
        <f>CONCATENATE("",$E$1-2,"/",$E$1-1," Budget Authority Amount:")</f>
        <v>2012/2013 Budget Authority Amount:</v>
      </c>
      <c r="C31" s="164">
        <f>inputOth!B76</f>
        <v>109964</v>
      </c>
      <c r="D31" s="164">
        <f>inputPrYr!D36</f>
        <v>134195</v>
      </c>
      <c r="E31" s="344">
        <f>IF(E30&lt;0,"See Tab E","")</f>
      </c>
    </row>
    <row r="32" spans="2:5" ht="15">
      <c r="B32" s="101"/>
      <c r="C32" s="224">
        <f>IF(C29&gt;C31,"See Tab A","")</f>
      </c>
      <c r="D32" s="224">
        <f>IF(D29&gt;D31,"See Tab C","")</f>
      </c>
      <c r="E32" s="33"/>
    </row>
    <row r="33" spans="2:5" ht="15">
      <c r="B33" s="101"/>
      <c r="C33" s="224">
        <f>IF(C30&lt;0,"See Tab B","")</f>
      </c>
      <c r="D33" s="224">
        <f>IF(D30&lt;0,"See Tab D","")</f>
      </c>
      <c r="E33" s="33"/>
    </row>
    <row r="34" spans="2:5" ht="15">
      <c r="B34" s="4"/>
      <c r="C34" s="33"/>
      <c r="D34" s="33"/>
      <c r="E34" s="33"/>
    </row>
    <row r="35" spans="2:5" ht="15">
      <c r="B35" s="11" t="s">
        <v>24</v>
      </c>
      <c r="C35" s="239"/>
      <c r="D35" s="239"/>
      <c r="E35" s="239"/>
    </row>
    <row r="36" spans="2:5" ht="15">
      <c r="B36" s="4"/>
      <c r="C36" s="227" t="str">
        <f aca="true" t="shared" si="0" ref="C36:E37">C4</f>
        <v>Prior Year </v>
      </c>
      <c r="D36" s="107" t="str">
        <f t="shared" si="0"/>
        <v>Current Year</v>
      </c>
      <c r="E36" s="107" t="str">
        <f t="shared" si="0"/>
        <v>Proposed Budget</v>
      </c>
    </row>
    <row r="37" spans="2:5" ht="15">
      <c r="B37" s="304" t="str">
        <f>(inputPrYr!B37)</f>
        <v>Sewer Utility</v>
      </c>
      <c r="C37" s="203" t="str">
        <f t="shared" si="0"/>
        <v>Actual for 2012</v>
      </c>
      <c r="D37" s="203" t="str">
        <f t="shared" si="0"/>
        <v>Estimate for 2013</v>
      </c>
      <c r="E37" s="203" t="str">
        <f t="shared" si="0"/>
        <v>Year for 2014</v>
      </c>
    </row>
    <row r="38" spans="2:5" ht="15">
      <c r="B38" s="204" t="s">
        <v>142</v>
      </c>
      <c r="C38" s="32">
        <v>51386</v>
      </c>
      <c r="D38" s="174">
        <f>C62</f>
        <v>57548</v>
      </c>
      <c r="E38" s="174">
        <f>D62</f>
        <v>48182</v>
      </c>
    </row>
    <row r="39" spans="2:5" ht="15">
      <c r="B39" s="204" t="s">
        <v>144</v>
      </c>
      <c r="C39" s="50"/>
      <c r="D39" s="50"/>
      <c r="E39" s="50"/>
    </row>
    <row r="40" spans="2:5" ht="15">
      <c r="B40" s="591" t="s">
        <v>388</v>
      </c>
      <c r="C40" s="32"/>
      <c r="D40" s="32"/>
      <c r="E40" s="32"/>
    </row>
    <row r="41" spans="2:5" ht="15">
      <c r="B41" s="591" t="s">
        <v>419</v>
      </c>
      <c r="C41" s="32">
        <v>39341</v>
      </c>
      <c r="D41" s="32">
        <v>38579</v>
      </c>
      <c r="E41" s="32">
        <v>45000</v>
      </c>
    </row>
    <row r="42" spans="2:5" ht="15">
      <c r="B42" s="219" t="s">
        <v>410</v>
      </c>
      <c r="C42" s="32">
        <v>602</v>
      </c>
      <c r="D42" s="32">
        <v>63</v>
      </c>
      <c r="E42" s="32">
        <v>0</v>
      </c>
    </row>
    <row r="43" spans="2:5" ht="15">
      <c r="B43" s="219" t="s">
        <v>389</v>
      </c>
      <c r="C43" s="32">
        <v>400</v>
      </c>
      <c r="D43" s="32">
        <v>0</v>
      </c>
      <c r="E43" s="32">
        <v>0</v>
      </c>
    </row>
    <row r="44" spans="2:5" ht="15">
      <c r="B44" s="211" t="s">
        <v>30</v>
      </c>
      <c r="C44" s="32">
        <v>43</v>
      </c>
      <c r="D44" s="32">
        <v>24</v>
      </c>
      <c r="E44" s="32">
        <v>25</v>
      </c>
    </row>
    <row r="45" spans="2:5" ht="15">
      <c r="B45" s="121" t="s">
        <v>219</v>
      </c>
      <c r="C45" s="32"/>
      <c r="D45" s="32"/>
      <c r="E45" s="32"/>
    </row>
    <row r="46" spans="2:5" ht="15">
      <c r="B46" s="204" t="s">
        <v>271</v>
      </c>
      <c r="C46" s="306">
        <f>IF(C47*0.1&lt;C45,"Exceed 10% Rule","")</f>
      </c>
      <c r="D46" s="233">
        <f>IF(D47*0.1&lt;D45,"Exceed 10% Rule","")</f>
      </c>
      <c r="E46" s="233">
        <f>IF(E47*0.1&lt;E45,"Exceed 10% Rule","")</f>
      </c>
    </row>
    <row r="47" spans="2:5" ht="15">
      <c r="B47" s="213" t="s">
        <v>31</v>
      </c>
      <c r="C47" s="237">
        <f>SUM(C40:C45)</f>
        <v>40386</v>
      </c>
      <c r="D47" s="237">
        <f>SUM(D40:D45)</f>
        <v>38666</v>
      </c>
      <c r="E47" s="237">
        <f>SUM(E40:E45)</f>
        <v>45025</v>
      </c>
    </row>
    <row r="48" spans="2:5" ht="15">
      <c r="B48" s="213" t="s">
        <v>32</v>
      </c>
      <c r="C48" s="237">
        <f>C38+C47</f>
        <v>91772</v>
      </c>
      <c r="D48" s="237">
        <f>D38+D47</f>
        <v>96214</v>
      </c>
      <c r="E48" s="237">
        <f>E38+E47</f>
        <v>93207</v>
      </c>
    </row>
    <row r="49" spans="2:5" ht="15">
      <c r="B49" s="113" t="s">
        <v>34</v>
      </c>
      <c r="C49" s="174"/>
      <c r="D49" s="174"/>
      <c r="E49" s="174"/>
    </row>
    <row r="50" spans="2:5" ht="15">
      <c r="B50" s="591" t="s">
        <v>423</v>
      </c>
      <c r="C50" s="32"/>
      <c r="D50" s="32"/>
      <c r="E50" s="32"/>
    </row>
    <row r="51" spans="2:5" ht="15">
      <c r="B51" s="591" t="s">
        <v>424</v>
      </c>
      <c r="C51" s="32">
        <v>15073</v>
      </c>
      <c r="D51" s="32">
        <v>22070</v>
      </c>
      <c r="E51" s="32">
        <v>24277</v>
      </c>
    </row>
    <row r="52" spans="2:5" ht="15">
      <c r="B52" s="591" t="s">
        <v>417</v>
      </c>
      <c r="C52" s="32">
        <v>4714</v>
      </c>
      <c r="D52" s="32">
        <v>5530</v>
      </c>
      <c r="E52" s="32">
        <v>7000</v>
      </c>
    </row>
    <row r="53" spans="2:5" ht="15">
      <c r="B53" s="591" t="s">
        <v>418</v>
      </c>
      <c r="C53" s="32">
        <v>5937</v>
      </c>
      <c r="D53" s="32">
        <v>9432</v>
      </c>
      <c r="E53" s="32">
        <v>9500</v>
      </c>
    </row>
    <row r="54" spans="2:5" ht="15">
      <c r="B54" s="591" t="s">
        <v>425</v>
      </c>
      <c r="C54" s="32">
        <v>0</v>
      </c>
      <c r="D54" s="32">
        <v>0</v>
      </c>
      <c r="E54" s="32">
        <v>41430</v>
      </c>
    </row>
    <row r="55" spans="2:5" ht="15">
      <c r="B55" s="591" t="s">
        <v>428</v>
      </c>
      <c r="C55" s="32"/>
      <c r="D55" s="32"/>
      <c r="E55" s="32"/>
    </row>
    <row r="56" spans="2:5" ht="15">
      <c r="B56" s="591" t="s">
        <v>427</v>
      </c>
      <c r="C56" s="32">
        <v>6000</v>
      </c>
      <c r="D56" s="32">
        <v>6000</v>
      </c>
      <c r="E56" s="32">
        <v>6000</v>
      </c>
    </row>
    <row r="57" spans="2:5" ht="15">
      <c r="B57" s="591" t="s">
        <v>429</v>
      </c>
      <c r="C57" s="32">
        <v>0</v>
      </c>
      <c r="D57" s="32">
        <v>2500</v>
      </c>
      <c r="E57" s="32">
        <v>2500</v>
      </c>
    </row>
    <row r="58" spans="2:5" ht="15">
      <c r="B58" s="591" t="s">
        <v>430</v>
      </c>
      <c r="C58" s="32">
        <v>2500</v>
      </c>
      <c r="D58" s="32">
        <v>2500</v>
      </c>
      <c r="E58" s="32">
        <v>2500</v>
      </c>
    </row>
    <row r="59" spans="2:5" ht="15">
      <c r="B59" s="220" t="s">
        <v>219</v>
      </c>
      <c r="C59" s="32"/>
      <c r="D59" s="206"/>
      <c r="E59" s="206"/>
    </row>
    <row r="60" spans="2:5" ht="15">
      <c r="B60" s="220" t="s">
        <v>272</v>
      </c>
      <c r="C60" s="306">
        <f>IF(C61*0.1&lt;C59,"Exceed 10% Rule","")</f>
      </c>
      <c r="D60" s="233">
        <f>IF(D61*0.1&lt;D59,"Exceed 10% Rule","")</f>
      </c>
      <c r="E60" s="233">
        <f>IF(E61*0.1&lt;E59,"Exceed 10% Rule","")</f>
      </c>
    </row>
    <row r="61" spans="2:5" ht="15">
      <c r="B61" s="213" t="s">
        <v>37</v>
      </c>
      <c r="C61" s="237">
        <f>SUM(C50:C59)</f>
        <v>34224</v>
      </c>
      <c r="D61" s="237">
        <f>SUM(D50:D59)</f>
        <v>48032</v>
      </c>
      <c r="E61" s="237">
        <f>SUM(E50:E59)</f>
        <v>93207</v>
      </c>
    </row>
    <row r="62" spans="2:5" ht="15">
      <c r="B62" s="113" t="s">
        <v>143</v>
      </c>
      <c r="C62" s="174">
        <f>C48-C61</f>
        <v>57548</v>
      </c>
      <c r="D62" s="174">
        <f>D48-D61</f>
        <v>48182</v>
      </c>
      <c r="E62" s="174">
        <f>E48-E61</f>
        <v>0</v>
      </c>
    </row>
    <row r="63" spans="2:5" ht="15">
      <c r="B63" s="101" t="str">
        <f>CONCATENATE("",$E$1-2,"/",$E$1-1," Budget Authority Amount:")</f>
        <v>2012/2013 Budget Authority Amount:</v>
      </c>
      <c r="C63" s="164">
        <f>inputOth!B77</f>
        <v>92954</v>
      </c>
      <c r="D63" s="164">
        <f>inputPrYr!D37</f>
        <v>98242</v>
      </c>
      <c r="E63" s="344">
        <f>IF(E62&lt;0,"See Tab E","")</f>
      </c>
    </row>
    <row r="64" spans="2:5" ht="15">
      <c r="B64" s="101"/>
      <c r="C64" s="224">
        <f>IF(C61&gt;C63,"See Tab A","")</f>
      </c>
      <c r="D64" s="224">
        <f>IF(D61&gt;D63,"See Tab C","")</f>
      </c>
      <c r="E64" s="4"/>
    </row>
    <row r="65" spans="2:5" ht="15">
      <c r="B65" s="101"/>
      <c r="C65" s="224">
        <f>IF(C62&lt;0,"See Tab B","")</f>
      </c>
      <c r="D65" s="224">
        <f>IF(D62&lt;0,"See Tab D","")</f>
      </c>
      <c r="E65" s="4"/>
    </row>
    <row r="66" spans="2:5" ht="15">
      <c r="B66" s="637" t="s">
        <v>445</v>
      </c>
      <c r="C66" s="638"/>
      <c r="D66" s="638"/>
      <c r="E66" s="638"/>
    </row>
    <row r="67" spans="2:5" ht="15">
      <c r="B67" s="101" t="s">
        <v>40</v>
      </c>
      <c r="C67" s="593">
        <v>12</v>
      </c>
      <c r="D67" s="4"/>
      <c r="E67" s="4"/>
    </row>
  </sheetData>
  <sheetProtection/>
  <mergeCells count="1">
    <mergeCell ref="B66:E66"/>
  </mergeCells>
  <conditionalFormatting sqref="C14">
    <cfRule type="cellIs" priority="3" dxfId="108" operator="greaterThan" stopIfTrue="1">
      <formula>$C$16*0.1</formula>
    </cfRule>
  </conditionalFormatting>
  <conditionalFormatting sqref="D14">
    <cfRule type="cellIs" priority="4" dxfId="108" operator="greaterThan" stopIfTrue="1">
      <formula>$D$16*0.1</formula>
    </cfRule>
  </conditionalFormatting>
  <conditionalFormatting sqref="E14">
    <cfRule type="cellIs" priority="5" dxfId="108" operator="greaterThan" stopIfTrue="1">
      <formula>$E$16*0.1</formula>
    </cfRule>
  </conditionalFormatting>
  <conditionalFormatting sqref="C27">
    <cfRule type="cellIs" priority="6" dxfId="108" operator="greaterThan" stopIfTrue="1">
      <formula>$C$29*0.1</formula>
    </cfRule>
  </conditionalFormatting>
  <conditionalFormatting sqref="D27">
    <cfRule type="cellIs" priority="7" dxfId="108" operator="greaterThan" stopIfTrue="1">
      <formula>$D$29*0.1</formula>
    </cfRule>
  </conditionalFormatting>
  <conditionalFormatting sqref="E27">
    <cfRule type="cellIs" priority="8" dxfId="108" operator="greaterThan" stopIfTrue="1">
      <formula>$E$29*0.1</formula>
    </cfRule>
  </conditionalFormatting>
  <conditionalFormatting sqref="C45">
    <cfRule type="cellIs" priority="9" dxfId="108" operator="greaterThan" stopIfTrue="1">
      <formula>$C$47*0.1</formula>
    </cfRule>
  </conditionalFormatting>
  <conditionalFormatting sqref="D45">
    <cfRule type="cellIs" priority="10" dxfId="108" operator="greaterThan" stopIfTrue="1">
      <formula>$D$47*0.1</formula>
    </cfRule>
  </conditionalFormatting>
  <conditionalFormatting sqref="E45">
    <cfRule type="cellIs" priority="11" dxfId="108" operator="greaterThan" stopIfTrue="1">
      <formula>$E$47*0.1</formula>
    </cfRule>
  </conditionalFormatting>
  <conditionalFormatting sqref="C59">
    <cfRule type="cellIs" priority="12" dxfId="108" operator="greaterThan" stopIfTrue="1">
      <formula>$C$61*0.1</formula>
    </cfRule>
  </conditionalFormatting>
  <conditionalFormatting sqref="D59">
    <cfRule type="cellIs" priority="13" dxfId="108" operator="greaterThan" stopIfTrue="1">
      <formula>$D$61*0.1</formula>
    </cfRule>
  </conditionalFormatting>
  <conditionalFormatting sqref="E59">
    <cfRule type="cellIs" priority="14" dxfId="108" operator="greaterThan" stopIfTrue="1">
      <formula>$E$61*0.1</formula>
    </cfRule>
  </conditionalFormatting>
  <conditionalFormatting sqref="E62 C62 E30 C30">
    <cfRule type="cellIs" priority="15" dxfId="2" operator="lessThan" stopIfTrue="1">
      <formula>0</formula>
    </cfRule>
  </conditionalFormatting>
  <conditionalFormatting sqref="D61">
    <cfRule type="cellIs" priority="16" dxfId="2" operator="greaterThan" stopIfTrue="1">
      <formula>$D$63</formula>
    </cfRule>
  </conditionalFormatting>
  <conditionalFormatting sqref="C61">
    <cfRule type="cellIs" priority="17" dxfId="2" operator="greaterThan" stopIfTrue="1">
      <formula>$C$63</formula>
    </cfRule>
  </conditionalFormatting>
  <conditionalFormatting sqref="D29">
    <cfRule type="cellIs" priority="18" dxfId="2" operator="greaterThan" stopIfTrue="1">
      <formula>$D$31</formula>
    </cfRule>
  </conditionalFormatting>
  <conditionalFormatting sqref="C29">
    <cfRule type="cellIs" priority="19" dxfId="2" operator="greaterThan" stopIfTrue="1">
      <formula>$C$31</formula>
    </cfRule>
  </conditionalFormatting>
  <conditionalFormatting sqref="D62">
    <cfRule type="cellIs" priority="2" dxfId="0" operator="lessThan" stopIfTrue="1">
      <formula>0</formula>
    </cfRule>
  </conditionalFormatting>
  <conditionalFormatting sqref="D3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56">
      <selection activeCell="B68" sqref="B68"/>
    </sheetView>
  </sheetViews>
  <sheetFormatPr defaultColWidth="8.8984375" defaultRowHeight="15"/>
  <cols>
    <col min="1" max="1" width="2.3984375" style="5" customWidth="1"/>
    <col min="2" max="2" width="31.09765625" style="5" customWidth="1"/>
    <col min="3" max="4" width="15.69921875" style="5" customWidth="1"/>
    <col min="5" max="5" width="16.296875" style="5" customWidth="1"/>
    <col min="6" max="16384" width="8.8984375" style="5" customWidth="1"/>
  </cols>
  <sheetData>
    <row r="1" spans="2:5" ht="15">
      <c r="B1" s="133" t="str">
        <f>(inputPrYr!D2)</f>
        <v>City of Toronto</v>
      </c>
      <c r="C1" s="4"/>
      <c r="D1" s="4"/>
      <c r="E1" s="193">
        <f>inputPrYr!C5</f>
        <v>2014</v>
      </c>
    </row>
    <row r="2" spans="2:5" ht="15">
      <c r="B2" s="4"/>
      <c r="C2" s="4"/>
      <c r="D2" s="4"/>
      <c r="E2" s="129"/>
    </row>
    <row r="3" spans="2:5" ht="15">
      <c r="B3" s="23" t="s">
        <v>88</v>
      </c>
      <c r="C3" s="236"/>
      <c r="D3" s="236"/>
      <c r="E3" s="236"/>
    </row>
    <row r="4" spans="2:5" ht="15">
      <c r="B4" s="11" t="s">
        <v>24</v>
      </c>
      <c r="C4" s="487" t="s">
        <v>279</v>
      </c>
      <c r="D4" s="488" t="s">
        <v>280</v>
      </c>
      <c r="E4" s="107" t="s">
        <v>281</v>
      </c>
    </row>
    <row r="5" spans="2:5" ht="15">
      <c r="B5" s="305" t="str">
        <f>(inputPrYr!B38)</f>
        <v>Electric Utility</v>
      </c>
      <c r="C5" s="288" t="str">
        <f>CONCATENATE("Actual for ",E1-2,"")</f>
        <v>Actual for 2012</v>
      </c>
      <c r="D5" s="288" t="str">
        <f>CONCATENATE("Estimate for ",E1-1,"")</f>
        <v>Estimate for 2013</v>
      </c>
      <c r="E5" s="203" t="str">
        <f>CONCATENATE("Year for ",E1,"")</f>
        <v>Year for 2014</v>
      </c>
    </row>
    <row r="6" spans="2:5" ht="15">
      <c r="B6" s="204" t="s">
        <v>142</v>
      </c>
      <c r="C6" s="32">
        <v>150242</v>
      </c>
      <c r="D6" s="174">
        <f>C32</f>
        <v>188773</v>
      </c>
      <c r="E6" s="174">
        <f>D32</f>
        <v>232507</v>
      </c>
    </row>
    <row r="7" spans="2:5" ht="15">
      <c r="B7" s="207" t="s">
        <v>144</v>
      </c>
      <c r="C7" s="50"/>
      <c r="D7" s="50"/>
      <c r="E7" s="50"/>
    </row>
    <row r="8" spans="2:5" ht="15">
      <c r="B8" s="591" t="s">
        <v>388</v>
      </c>
      <c r="C8" s="32"/>
      <c r="D8" s="32"/>
      <c r="E8" s="32"/>
    </row>
    <row r="9" spans="2:5" ht="15">
      <c r="B9" s="591" t="s">
        <v>420</v>
      </c>
      <c r="C9" s="32">
        <v>252783</v>
      </c>
      <c r="D9" s="32">
        <v>257219</v>
      </c>
      <c r="E9" s="32">
        <v>270000</v>
      </c>
    </row>
    <row r="10" spans="2:5" ht="15">
      <c r="B10" s="591" t="s">
        <v>431</v>
      </c>
      <c r="C10" s="32">
        <v>5649</v>
      </c>
      <c r="D10" s="32">
        <v>7043</v>
      </c>
      <c r="E10" s="32">
        <v>7100</v>
      </c>
    </row>
    <row r="11" spans="2:5" ht="15">
      <c r="B11" s="591" t="s">
        <v>422</v>
      </c>
      <c r="C11" s="32">
        <v>130</v>
      </c>
      <c r="D11" s="32">
        <v>111</v>
      </c>
      <c r="E11" s="32">
        <v>200</v>
      </c>
    </row>
    <row r="12" spans="2:5" ht="15">
      <c r="B12" s="591" t="s">
        <v>410</v>
      </c>
      <c r="C12" s="32">
        <v>2798</v>
      </c>
      <c r="D12" s="32">
        <v>227</v>
      </c>
      <c r="E12" s="32">
        <v>230</v>
      </c>
    </row>
    <row r="13" spans="2:5" ht="15">
      <c r="B13" s="211" t="s">
        <v>30</v>
      </c>
      <c r="C13" s="32"/>
      <c r="D13" s="32"/>
      <c r="E13" s="32"/>
    </row>
    <row r="14" spans="2:5" ht="15">
      <c r="B14" s="121" t="s">
        <v>219</v>
      </c>
      <c r="C14" s="32">
        <v>25</v>
      </c>
      <c r="D14" s="206">
        <v>31</v>
      </c>
      <c r="E14" s="206">
        <v>35</v>
      </c>
    </row>
    <row r="15" spans="2:5" ht="15">
      <c r="B15" s="204" t="s">
        <v>271</v>
      </c>
      <c r="C15" s="306">
        <f>IF(C16*0.1&lt;C14,"Exceed 10% Rule","")</f>
      </c>
      <c r="D15" s="233">
        <f>IF(D16*0.1&lt;D14,"Exceed 10% Rule","")</f>
      </c>
      <c r="E15" s="233">
        <f>IF(E16*0.1&lt;E14,"Exceed 10% Rule","")</f>
      </c>
    </row>
    <row r="16" spans="2:5" ht="15">
      <c r="B16" s="213" t="s">
        <v>31</v>
      </c>
      <c r="C16" s="237">
        <f>SUM(C8:C14)</f>
        <v>261385</v>
      </c>
      <c r="D16" s="237">
        <f>SUM(D8:D14)</f>
        <v>264631</v>
      </c>
      <c r="E16" s="237">
        <f>SUM(E8:E14)</f>
        <v>277565</v>
      </c>
    </row>
    <row r="17" spans="2:5" ht="15">
      <c r="B17" s="213" t="s">
        <v>32</v>
      </c>
      <c r="C17" s="237">
        <f>C6+C16</f>
        <v>411627</v>
      </c>
      <c r="D17" s="237">
        <f>D6+D16</f>
        <v>453404</v>
      </c>
      <c r="E17" s="237">
        <f>E6+E16</f>
        <v>510072</v>
      </c>
    </row>
    <row r="18" spans="2:5" ht="15">
      <c r="B18" s="113" t="s">
        <v>34</v>
      </c>
      <c r="C18" s="174"/>
      <c r="D18" s="174"/>
      <c r="E18" s="174"/>
    </row>
    <row r="19" spans="2:5" ht="15">
      <c r="B19" s="591" t="s">
        <v>432</v>
      </c>
      <c r="C19" s="32"/>
      <c r="D19" s="32"/>
      <c r="E19" s="32"/>
    </row>
    <row r="20" spans="2:5" ht="15">
      <c r="B20" s="591" t="s">
        <v>417</v>
      </c>
      <c r="C20" s="32">
        <v>160550</v>
      </c>
      <c r="D20" s="32">
        <v>154988</v>
      </c>
      <c r="E20" s="32">
        <v>170000</v>
      </c>
    </row>
    <row r="21" spans="2:5" ht="15">
      <c r="B21" s="591" t="s">
        <v>423</v>
      </c>
      <c r="C21" s="32"/>
      <c r="D21" s="32"/>
      <c r="E21" s="32"/>
    </row>
    <row r="22" spans="2:5" ht="15">
      <c r="B22" s="591" t="s">
        <v>424</v>
      </c>
      <c r="C22" s="32">
        <v>28043</v>
      </c>
      <c r="D22" s="32">
        <v>29499</v>
      </c>
      <c r="E22" s="32">
        <v>32449</v>
      </c>
    </row>
    <row r="23" spans="2:5" ht="15">
      <c r="B23" s="591" t="s">
        <v>417</v>
      </c>
      <c r="C23" s="32">
        <v>3169</v>
      </c>
      <c r="D23" s="32">
        <v>3553</v>
      </c>
      <c r="E23" s="32">
        <v>5000</v>
      </c>
    </row>
    <row r="24" spans="2:5" ht="15">
      <c r="B24" s="591" t="s">
        <v>418</v>
      </c>
      <c r="C24" s="32">
        <v>5837</v>
      </c>
      <c r="D24" s="32">
        <v>10357</v>
      </c>
      <c r="E24" s="32">
        <v>13000</v>
      </c>
    </row>
    <row r="25" spans="2:5" ht="15">
      <c r="B25" s="591" t="s">
        <v>425</v>
      </c>
      <c r="C25" s="32">
        <v>2755</v>
      </c>
      <c r="D25" s="32">
        <v>0</v>
      </c>
      <c r="E25" s="32">
        <v>267123</v>
      </c>
    </row>
    <row r="26" spans="2:5" ht="15">
      <c r="B26" s="591" t="s">
        <v>426</v>
      </c>
      <c r="C26" s="32"/>
      <c r="D26" s="32"/>
      <c r="E26" s="32"/>
    </row>
    <row r="27" spans="2:5" ht="15">
      <c r="B27" s="591" t="s">
        <v>429</v>
      </c>
      <c r="C27" s="32">
        <v>17500</v>
      </c>
      <c r="D27" s="32">
        <v>17500</v>
      </c>
      <c r="E27" s="32">
        <v>17500</v>
      </c>
    </row>
    <row r="28" spans="2:5" ht="15">
      <c r="B28" s="591" t="s">
        <v>430</v>
      </c>
      <c r="C28" s="32">
        <v>5000</v>
      </c>
      <c r="D28" s="32">
        <v>5000</v>
      </c>
      <c r="E28" s="32">
        <v>5000</v>
      </c>
    </row>
    <row r="29" spans="2:5" ht="15">
      <c r="B29" s="220" t="s">
        <v>219</v>
      </c>
      <c r="C29" s="32"/>
      <c r="D29" s="206"/>
      <c r="E29" s="206"/>
    </row>
    <row r="30" spans="2:5" ht="15">
      <c r="B30" s="220" t="s">
        <v>272</v>
      </c>
      <c r="C30" s="306">
        <f>IF(C31*0.1&lt;C29,"Exceed 10% Rule","")</f>
      </c>
      <c r="D30" s="233">
        <f>IF(D31*0.1&lt;D29,"Exceed 10% Rule","")</f>
      </c>
      <c r="E30" s="233">
        <f>IF(E31*0.1&lt;E29,"Exceed 10% Rule","")</f>
      </c>
    </row>
    <row r="31" spans="2:5" ht="15">
      <c r="B31" s="213" t="s">
        <v>37</v>
      </c>
      <c r="C31" s="237">
        <f>SUM(C19:C29)</f>
        <v>222854</v>
      </c>
      <c r="D31" s="237">
        <f>SUM(D19:D29)</f>
        <v>220897</v>
      </c>
      <c r="E31" s="237">
        <f>SUM(E19:E29)</f>
        <v>510072</v>
      </c>
    </row>
    <row r="32" spans="2:5" ht="15">
      <c r="B32" s="113" t="s">
        <v>143</v>
      </c>
      <c r="C32" s="174">
        <f>C17-C31</f>
        <v>188773</v>
      </c>
      <c r="D32" s="174">
        <f>D17-D31</f>
        <v>232507</v>
      </c>
      <c r="E32" s="174">
        <f>E17-E31</f>
        <v>0</v>
      </c>
    </row>
    <row r="33" spans="2:5" ht="15">
      <c r="B33" s="101" t="str">
        <f>CONCATENATE("",E1-2,"/",E1-1," Budget Authority Amount:")</f>
        <v>2012/2013 Budget Authority Amount:</v>
      </c>
      <c r="C33" s="164">
        <f>inputOth!B78</f>
        <v>432077</v>
      </c>
      <c r="D33" s="164">
        <f>inputPrYr!D38</f>
        <v>479623</v>
      </c>
      <c r="E33" s="344">
        <f>IF(E32&lt;0,"See Tab E","")</f>
      </c>
    </row>
    <row r="34" spans="2:5" ht="15">
      <c r="B34" s="101"/>
      <c r="C34" s="224">
        <f>IF(C31&gt;C33,"See Tab A","")</f>
      </c>
      <c r="D34" s="224">
        <f>IF(D31&gt;D33,"See Tab C","")</f>
      </c>
      <c r="E34" s="33"/>
    </row>
    <row r="35" spans="2:5" ht="15">
      <c r="B35" s="101"/>
      <c r="C35" s="224">
        <f>IF(C32&lt;0,"See Tab B","")</f>
      </c>
      <c r="D35" s="224">
        <f>IF(D32&lt;0,"See Tab D","")</f>
      </c>
      <c r="E35" s="33"/>
    </row>
    <row r="36" spans="2:5" ht="15">
      <c r="B36" s="4"/>
      <c r="C36" s="33"/>
      <c r="D36" s="33"/>
      <c r="E36" s="33"/>
    </row>
    <row r="37" spans="2:5" ht="15">
      <c r="B37" s="11" t="s">
        <v>24</v>
      </c>
      <c r="C37" s="239"/>
      <c r="D37" s="239"/>
      <c r="E37" s="239"/>
    </row>
    <row r="38" spans="2:5" ht="15">
      <c r="B38" s="4"/>
      <c r="C38" s="227" t="str">
        <f aca="true" t="shared" si="0" ref="C38:E39">C4</f>
        <v>Prior Year </v>
      </c>
      <c r="D38" s="107" t="str">
        <f t="shared" si="0"/>
        <v>Current Year</v>
      </c>
      <c r="E38" s="107" t="str">
        <f t="shared" si="0"/>
        <v>Proposed Budget</v>
      </c>
    </row>
    <row r="39" spans="2:5" ht="15">
      <c r="B39" s="304"/>
      <c r="C39" s="203" t="str">
        <f t="shared" si="0"/>
        <v>Actual for 2012</v>
      </c>
      <c r="D39" s="203" t="str">
        <f t="shared" si="0"/>
        <v>Estimate for 2013</v>
      </c>
      <c r="E39" s="203" t="str">
        <f t="shared" si="0"/>
        <v>Year for 2014</v>
      </c>
    </row>
    <row r="40" spans="2:5" ht="15">
      <c r="B40" s="204" t="s">
        <v>142</v>
      </c>
      <c r="C40" s="32"/>
      <c r="D40" s="174">
        <f>C63</f>
        <v>0</v>
      </c>
      <c r="E40" s="174">
        <f>D63</f>
        <v>0</v>
      </c>
    </row>
    <row r="41" spans="2:5" ht="15">
      <c r="B41" s="204" t="s">
        <v>144</v>
      </c>
      <c r="C41" s="50"/>
      <c r="D41" s="50"/>
      <c r="E41" s="50"/>
    </row>
    <row r="42" spans="2:5" ht="15">
      <c r="B42" s="219"/>
      <c r="C42" s="32"/>
      <c r="D42" s="32"/>
      <c r="E42" s="32"/>
    </row>
    <row r="43" spans="2:5" ht="15">
      <c r="B43" s="219"/>
      <c r="C43" s="32"/>
      <c r="D43" s="32"/>
      <c r="E43" s="32"/>
    </row>
    <row r="44" spans="2:5" ht="15">
      <c r="B44" s="219"/>
      <c r="C44" s="32"/>
      <c r="D44" s="32"/>
      <c r="E44" s="32"/>
    </row>
    <row r="45" spans="2:5" ht="15">
      <c r="B45" s="219"/>
      <c r="C45" s="32"/>
      <c r="D45" s="32"/>
      <c r="E45" s="32"/>
    </row>
    <row r="46" spans="2:5" ht="15">
      <c r="B46" s="211" t="s">
        <v>30</v>
      </c>
      <c r="C46" s="32"/>
      <c r="D46" s="32"/>
      <c r="E46" s="32"/>
    </row>
    <row r="47" spans="2:5" ht="15">
      <c r="B47" s="121" t="s">
        <v>219</v>
      </c>
      <c r="C47" s="32"/>
      <c r="D47" s="206"/>
      <c r="E47" s="206"/>
    </row>
    <row r="48" spans="2:5" ht="15">
      <c r="B48" s="204" t="s">
        <v>271</v>
      </c>
      <c r="C48" s="306">
        <f>IF(C49*0.1&lt;C47,"Exceed 10% Rule","")</f>
      </c>
      <c r="D48" s="233">
        <f>IF(D49*0.1&lt;D47,"Exceed 10% Rule","")</f>
      </c>
      <c r="E48" s="233">
        <f>IF(E49*0.1&lt;E47,"Exceed 10% Rule","")</f>
      </c>
    </row>
    <row r="49" spans="2:5" ht="15">
      <c r="B49" s="213" t="s">
        <v>31</v>
      </c>
      <c r="C49" s="237">
        <f>SUM(C42:C47)</f>
        <v>0</v>
      </c>
      <c r="D49" s="237">
        <f>SUM(D42:D47)</f>
        <v>0</v>
      </c>
      <c r="E49" s="237">
        <f>SUM(E42:E47)</f>
        <v>0</v>
      </c>
    </row>
    <row r="50" spans="2:5" ht="15">
      <c r="B50" s="213" t="s">
        <v>32</v>
      </c>
      <c r="C50" s="237">
        <f>C40+C49</f>
        <v>0</v>
      </c>
      <c r="D50" s="237">
        <f>D40+D49</f>
        <v>0</v>
      </c>
      <c r="E50" s="237">
        <f>E40+E49</f>
        <v>0</v>
      </c>
    </row>
    <row r="51" spans="2:5" ht="15">
      <c r="B51" s="113" t="s">
        <v>34</v>
      </c>
      <c r="C51" s="174"/>
      <c r="D51" s="174"/>
      <c r="E51" s="174"/>
    </row>
    <row r="52" spans="2:5" ht="15">
      <c r="B52" s="219"/>
      <c r="C52" s="32"/>
      <c r="D52" s="32"/>
      <c r="E52" s="32"/>
    </row>
    <row r="53" spans="2:5" ht="15">
      <c r="B53" s="219"/>
      <c r="C53" s="32"/>
      <c r="D53" s="32"/>
      <c r="E53" s="32"/>
    </row>
    <row r="54" spans="2:5" ht="15">
      <c r="B54" s="219"/>
      <c r="C54" s="32"/>
      <c r="D54" s="32"/>
      <c r="E54" s="32"/>
    </row>
    <row r="55" spans="2:5" ht="15">
      <c r="B55" s="219"/>
      <c r="C55" s="32"/>
      <c r="D55" s="32"/>
      <c r="E55" s="32"/>
    </row>
    <row r="56" spans="2:5" ht="15">
      <c r="B56" s="219"/>
      <c r="C56" s="32"/>
      <c r="D56" s="32"/>
      <c r="E56" s="32"/>
    </row>
    <row r="57" spans="2:5" ht="15">
      <c r="B57" s="219"/>
      <c r="C57" s="32"/>
      <c r="D57" s="32"/>
      <c r="E57" s="32"/>
    </row>
    <row r="58" spans="2:5" ht="15">
      <c r="B58" s="219"/>
      <c r="C58" s="32"/>
      <c r="D58" s="32"/>
      <c r="E58" s="32"/>
    </row>
    <row r="59" spans="2:5" ht="15">
      <c r="B59" s="219"/>
      <c r="C59" s="32"/>
      <c r="D59" s="32"/>
      <c r="E59" s="32"/>
    </row>
    <row r="60" spans="2:5" ht="15">
      <c r="B60" s="220" t="s">
        <v>219</v>
      </c>
      <c r="C60" s="32"/>
      <c r="D60" s="206"/>
      <c r="E60" s="206"/>
    </row>
    <row r="61" spans="2:5" ht="15">
      <c r="B61" s="220" t="s">
        <v>272</v>
      </c>
      <c r="C61" s="306">
        <f>IF(C62*0.1&lt;C60,"Exceed 10% Rule","")</f>
      </c>
      <c r="D61" s="233">
        <f>IF(D62*0.1&lt;D60,"Exceed 10% Rule","")</f>
      </c>
      <c r="E61" s="233">
        <f>IF(E62*0.1&lt;E60,"Exceed 10% Rule","")</f>
      </c>
    </row>
    <row r="62" spans="2:5" ht="15">
      <c r="B62" s="213" t="s">
        <v>37</v>
      </c>
      <c r="C62" s="237">
        <f>SUM(C52:C60)</f>
        <v>0</v>
      </c>
      <c r="D62" s="237">
        <f>SUM(D52:D60)</f>
        <v>0</v>
      </c>
      <c r="E62" s="237">
        <f>SUM(E52:E60)</f>
        <v>0</v>
      </c>
    </row>
    <row r="63" spans="2:5" ht="15">
      <c r="B63" s="113" t="s">
        <v>143</v>
      </c>
      <c r="C63" s="174">
        <f>C50-C62</f>
        <v>0</v>
      </c>
      <c r="D63" s="174">
        <f>D50-D62</f>
        <v>0</v>
      </c>
      <c r="E63" s="174">
        <f>E50-E62</f>
        <v>0</v>
      </c>
    </row>
    <row r="64" spans="2:5" ht="15">
      <c r="B64" s="101" t="str">
        <f>CONCATENATE("",E1-2,"/",E1-1," Budget Authority Amount:")</f>
        <v>2012/2013 Budget Authority Amount:</v>
      </c>
      <c r="C64" s="164">
        <f>inputOth!B79</f>
        <v>0</v>
      </c>
      <c r="D64" s="164">
        <f>inputPrYr!D39</f>
        <v>0</v>
      </c>
      <c r="E64" s="344">
        <f>IF(E63&lt;0,"See Tab E","")</f>
      </c>
    </row>
    <row r="65" spans="2:5" ht="15">
      <c r="B65" s="101"/>
      <c r="C65" s="224">
        <f>IF(C62&gt;C64,"See Tab A","")</f>
      </c>
      <c r="D65" s="224">
        <f>IF(D62&gt;D64,"See Tab C","")</f>
      </c>
      <c r="E65" s="40"/>
    </row>
    <row r="66" spans="2:5" ht="15">
      <c r="B66" s="101"/>
      <c r="C66" s="224">
        <f>IF(C63&lt;0,"See Tab B","")</f>
      </c>
      <c r="D66" s="224">
        <f>IF(D63&lt;0,"See Tab D","")</f>
      </c>
      <c r="E66" s="40"/>
    </row>
    <row r="67" spans="2:5" ht="15">
      <c r="B67" s="637" t="s">
        <v>445</v>
      </c>
      <c r="C67" s="638"/>
      <c r="D67" s="638"/>
      <c r="E67" s="638"/>
    </row>
    <row r="68" spans="2:5" ht="15">
      <c r="B68" s="101" t="s">
        <v>40</v>
      </c>
      <c r="C68" s="593">
        <v>13</v>
      </c>
      <c r="D68" s="4"/>
      <c r="E68" s="4"/>
    </row>
  </sheetData>
  <sheetProtection/>
  <mergeCells count="1">
    <mergeCell ref="B67:E67"/>
  </mergeCells>
  <conditionalFormatting sqref="C14">
    <cfRule type="cellIs" priority="3" dxfId="108" operator="greaterThan" stopIfTrue="1">
      <formula>$C$16*0.1</formula>
    </cfRule>
  </conditionalFormatting>
  <conditionalFormatting sqref="D14">
    <cfRule type="cellIs" priority="4" dxfId="108" operator="greaterThan" stopIfTrue="1">
      <formula>$D$16*0.1</formula>
    </cfRule>
  </conditionalFormatting>
  <conditionalFormatting sqref="E14">
    <cfRule type="cellIs" priority="5" dxfId="108" operator="greaterThan" stopIfTrue="1">
      <formula>$E$16*0.1</formula>
    </cfRule>
  </conditionalFormatting>
  <conditionalFormatting sqref="C29">
    <cfRule type="cellIs" priority="6" dxfId="108" operator="greaterThan" stopIfTrue="1">
      <formula>$C$31*0.1</formula>
    </cfRule>
  </conditionalFormatting>
  <conditionalFormatting sqref="D29">
    <cfRule type="cellIs" priority="7" dxfId="108" operator="greaterThan" stopIfTrue="1">
      <formula>$D$31*0.1</formula>
    </cfRule>
  </conditionalFormatting>
  <conditionalFormatting sqref="E29">
    <cfRule type="cellIs" priority="8" dxfId="108" operator="greaterThan" stopIfTrue="1">
      <formula>$E$31*0.1</formula>
    </cfRule>
  </conditionalFormatting>
  <conditionalFormatting sqref="C47">
    <cfRule type="cellIs" priority="9" dxfId="108" operator="greaterThan" stopIfTrue="1">
      <formula>$C$49*0.1</formula>
    </cfRule>
  </conditionalFormatting>
  <conditionalFormatting sqref="D47">
    <cfRule type="cellIs" priority="10" dxfId="108" operator="greaterThan" stopIfTrue="1">
      <formula>$D$49*0.1</formula>
    </cfRule>
  </conditionalFormatting>
  <conditionalFormatting sqref="E47">
    <cfRule type="cellIs" priority="11" dxfId="108" operator="greaterThan" stopIfTrue="1">
      <formula>$E$49*0.1</formula>
    </cfRule>
  </conditionalFormatting>
  <conditionalFormatting sqref="C60">
    <cfRule type="cellIs" priority="12" dxfId="108" operator="greaterThan" stopIfTrue="1">
      <formula>$C$62*0.1</formula>
    </cfRule>
  </conditionalFormatting>
  <conditionalFormatting sqref="D60">
    <cfRule type="cellIs" priority="13" dxfId="108" operator="greaterThan" stopIfTrue="1">
      <formula>$D$62*0.1</formula>
    </cfRule>
  </conditionalFormatting>
  <conditionalFormatting sqref="E60">
    <cfRule type="cellIs" priority="14" dxfId="108" operator="greaterThan" stopIfTrue="1">
      <formula>$E$62*0.1</formula>
    </cfRule>
  </conditionalFormatting>
  <conditionalFormatting sqref="E63 C63 E32 C32">
    <cfRule type="cellIs" priority="15" dxfId="2" operator="lessThan" stopIfTrue="1">
      <formula>0</formula>
    </cfRule>
  </conditionalFormatting>
  <conditionalFormatting sqref="D62">
    <cfRule type="cellIs" priority="16" dxfId="2" operator="greaterThan" stopIfTrue="1">
      <formula>$D$64</formula>
    </cfRule>
  </conditionalFormatting>
  <conditionalFormatting sqref="C62">
    <cfRule type="cellIs" priority="17" dxfId="2" operator="greaterThan" stopIfTrue="1">
      <formula>$C$64</formula>
    </cfRule>
  </conditionalFormatting>
  <conditionalFormatting sqref="D31">
    <cfRule type="cellIs" priority="18" dxfId="2" operator="greaterThan" stopIfTrue="1">
      <formula>$D$33</formula>
    </cfRule>
  </conditionalFormatting>
  <conditionalFormatting sqref="C31">
    <cfRule type="cellIs" priority="19" dxfId="2" operator="greaterThan" stopIfTrue="1">
      <formula>$C$33</formula>
    </cfRule>
  </conditionalFormatting>
  <conditionalFormatting sqref="D63">
    <cfRule type="cellIs" priority="2" dxfId="0" operator="lessThan" stopIfTrue="1">
      <formula>0</formula>
    </cfRule>
  </conditionalFormatting>
  <conditionalFormatting sqref="D3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33" sqref="A33"/>
    </sheetView>
  </sheetViews>
  <sheetFormatPr defaultColWidth="8.89843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
      <c r="A1" s="68">
        <f>inputPrYr!$C$2</f>
        <v>0</v>
      </c>
      <c r="B1" s="241"/>
      <c r="C1" s="68"/>
      <c r="D1" s="68"/>
      <c r="E1" s="68"/>
      <c r="F1" s="242" t="s">
        <v>172</v>
      </c>
      <c r="G1" s="68"/>
      <c r="H1" s="68"/>
      <c r="I1" s="68"/>
      <c r="J1" s="68"/>
      <c r="K1" s="68">
        <f>inputPrYr!$C$5</f>
        <v>2014</v>
      </c>
    </row>
    <row r="2" spans="1:11" ht="15">
      <c r="A2" s="68"/>
      <c r="B2" s="68"/>
      <c r="C2" s="68"/>
      <c r="D2" s="68"/>
      <c r="E2" s="68"/>
      <c r="F2" s="243" t="str">
        <f>CONCATENATE("(Only the actual budget year for ",K1-2," is to be shown)")</f>
        <v>(Only the actual budget year for 2012 is to be shown)</v>
      </c>
      <c r="G2" s="68"/>
      <c r="H2" s="68"/>
      <c r="I2" s="68"/>
      <c r="J2" s="68"/>
      <c r="K2" s="68"/>
    </row>
    <row r="3" spans="1:11" ht="15">
      <c r="A3" s="68" t="s">
        <v>196</v>
      </c>
      <c r="B3" s="68"/>
      <c r="C3" s="68"/>
      <c r="D3" s="68"/>
      <c r="E3" s="68"/>
      <c r="F3" s="241"/>
      <c r="G3" s="68"/>
      <c r="H3" s="68"/>
      <c r="I3" s="68"/>
      <c r="J3" s="68"/>
      <c r="K3" s="68"/>
    </row>
    <row r="4" spans="1:11" ht="15">
      <c r="A4" s="68" t="s">
        <v>174</v>
      </c>
      <c r="B4" s="68"/>
      <c r="C4" s="68" t="s">
        <v>175</v>
      </c>
      <c r="D4" s="68"/>
      <c r="E4" s="68" t="s">
        <v>176</v>
      </c>
      <c r="F4" s="241"/>
      <c r="G4" s="68" t="s">
        <v>177</v>
      </c>
      <c r="H4" s="68"/>
      <c r="I4" s="68" t="s">
        <v>178</v>
      </c>
      <c r="J4" s="68"/>
      <c r="K4" s="68"/>
    </row>
    <row r="5" spans="1:11" ht="15">
      <c r="A5" s="670" t="str">
        <f>inputPrYr!$B51</f>
        <v>Equipment Reserve</v>
      </c>
      <c r="B5" s="671"/>
      <c r="C5" s="670" t="str">
        <f>inputPrYr!$B52</f>
        <v>Water &amp; Sewer Surplus</v>
      </c>
      <c r="D5" s="671"/>
      <c r="E5" s="670" t="str">
        <f>inputPrYr!$B53</f>
        <v>Electric Utility Fund Sec Dep</v>
      </c>
      <c r="F5" s="671"/>
      <c r="G5" s="670">
        <f>inputPrYr!$B54</f>
        <v>0</v>
      </c>
      <c r="H5" s="671"/>
      <c r="I5" s="670">
        <f>inputPrYr!$B55</f>
        <v>0</v>
      </c>
      <c r="J5" s="671"/>
      <c r="K5" s="89"/>
    </row>
    <row r="6" spans="1:11" ht="15">
      <c r="A6" s="245" t="s">
        <v>169</v>
      </c>
      <c r="B6" s="246"/>
      <c r="C6" s="247" t="s">
        <v>169</v>
      </c>
      <c r="D6" s="248"/>
      <c r="E6" s="247" t="s">
        <v>169</v>
      </c>
      <c r="F6" s="249"/>
      <c r="G6" s="247" t="s">
        <v>169</v>
      </c>
      <c r="H6" s="244"/>
      <c r="I6" s="247" t="s">
        <v>169</v>
      </c>
      <c r="J6" s="68"/>
      <c r="K6" s="250" t="s">
        <v>229</v>
      </c>
    </row>
    <row r="7" spans="1:11" ht="15">
      <c r="A7" s="251" t="s">
        <v>221</v>
      </c>
      <c r="B7" s="252">
        <v>6756</v>
      </c>
      <c r="C7" s="253" t="s">
        <v>221</v>
      </c>
      <c r="D7" s="252">
        <v>23644</v>
      </c>
      <c r="E7" s="253" t="s">
        <v>221</v>
      </c>
      <c r="F7" s="252">
        <v>0</v>
      </c>
      <c r="G7" s="253" t="s">
        <v>221</v>
      </c>
      <c r="H7" s="252"/>
      <c r="I7" s="253" t="s">
        <v>221</v>
      </c>
      <c r="J7" s="252"/>
      <c r="K7" s="254">
        <f>SUM(B7+D7+F7+H7+J7)</f>
        <v>30400</v>
      </c>
    </row>
    <row r="8" spans="1:11" ht="15">
      <c r="A8" s="255" t="s">
        <v>144</v>
      </c>
      <c r="B8" s="256"/>
      <c r="C8" s="255" t="s">
        <v>144</v>
      </c>
      <c r="D8" s="257"/>
      <c r="E8" s="255" t="s">
        <v>144</v>
      </c>
      <c r="F8" s="241"/>
      <c r="G8" s="255" t="s">
        <v>144</v>
      </c>
      <c r="H8" s="68"/>
      <c r="I8" s="255" t="s">
        <v>144</v>
      </c>
      <c r="J8" s="68"/>
      <c r="K8" s="241"/>
    </row>
    <row r="9" spans="1:11" ht="15">
      <c r="A9" s="258" t="s">
        <v>435</v>
      </c>
      <c r="B9" s="252">
        <v>38</v>
      </c>
      <c r="C9" s="258"/>
      <c r="D9" s="252"/>
      <c r="E9" s="258" t="s">
        <v>439</v>
      </c>
      <c r="F9" s="252">
        <v>2010</v>
      </c>
      <c r="G9" s="258"/>
      <c r="H9" s="252"/>
      <c r="I9" s="258"/>
      <c r="J9" s="252"/>
      <c r="K9" s="241"/>
    </row>
    <row r="10" spans="1:11" ht="15">
      <c r="A10" s="258" t="s">
        <v>436</v>
      </c>
      <c r="B10" s="252"/>
      <c r="C10" s="258"/>
      <c r="D10" s="252"/>
      <c r="E10" s="258"/>
      <c r="F10" s="252"/>
      <c r="G10" s="258"/>
      <c r="H10" s="252"/>
      <c r="I10" s="258"/>
      <c r="J10" s="252"/>
      <c r="K10" s="241"/>
    </row>
    <row r="11" spans="1:11" ht="15">
      <c r="A11" s="258" t="s">
        <v>437</v>
      </c>
      <c r="B11" s="252">
        <v>2500</v>
      </c>
      <c r="C11" s="259"/>
      <c r="D11" s="260"/>
      <c r="E11" s="259"/>
      <c r="F11" s="260"/>
      <c r="G11" s="259"/>
      <c r="H11" s="260"/>
      <c r="I11" s="261"/>
      <c r="J11" s="252"/>
      <c r="K11" s="241"/>
    </row>
    <row r="12" spans="1:11" ht="15">
      <c r="A12" s="258" t="s">
        <v>438</v>
      </c>
      <c r="B12" s="262">
        <v>5000</v>
      </c>
      <c r="C12" s="258"/>
      <c r="D12" s="263"/>
      <c r="E12" s="264"/>
      <c r="F12" s="263"/>
      <c r="G12" s="264"/>
      <c r="H12" s="263"/>
      <c r="I12" s="264"/>
      <c r="J12" s="252"/>
      <c r="K12" s="241"/>
    </row>
    <row r="13" spans="1:11" ht="15">
      <c r="A13" s="265"/>
      <c r="B13" s="266"/>
      <c r="C13" s="267"/>
      <c r="D13" s="266"/>
      <c r="E13" s="267"/>
      <c r="F13" s="266"/>
      <c r="G13" s="267"/>
      <c r="H13" s="266"/>
      <c r="I13" s="261"/>
      <c r="J13" s="252"/>
      <c r="K13" s="241"/>
    </row>
    <row r="14" spans="1:11" ht="15">
      <c r="A14" s="258"/>
      <c r="B14" s="252"/>
      <c r="C14" s="264"/>
      <c r="D14" s="263"/>
      <c r="E14" s="264"/>
      <c r="F14" s="263"/>
      <c r="G14" s="264"/>
      <c r="H14" s="263"/>
      <c r="I14" s="264"/>
      <c r="J14" s="252"/>
      <c r="K14" s="241"/>
    </row>
    <row r="15" spans="1:11" ht="15">
      <c r="A15" s="258"/>
      <c r="B15" s="252"/>
      <c r="C15" s="264"/>
      <c r="D15" s="263"/>
      <c r="E15" s="264"/>
      <c r="F15" s="263"/>
      <c r="G15" s="264"/>
      <c r="H15" s="263"/>
      <c r="I15" s="264"/>
      <c r="J15" s="252"/>
      <c r="K15" s="241"/>
    </row>
    <row r="16" spans="1:11" ht="15">
      <c r="A16" s="258"/>
      <c r="B16" s="266"/>
      <c r="C16" s="258"/>
      <c r="D16" s="266"/>
      <c r="E16" s="258"/>
      <c r="F16" s="252"/>
      <c r="G16" s="264"/>
      <c r="H16" s="266"/>
      <c r="I16" s="258"/>
      <c r="J16" s="263"/>
      <c r="K16" s="241"/>
    </row>
    <row r="17" spans="1:11" ht="15">
      <c r="A17" s="255" t="s">
        <v>31</v>
      </c>
      <c r="B17" s="254">
        <f>SUM(B9:B16)</f>
        <v>7538</v>
      </c>
      <c r="C17" s="255" t="s">
        <v>31</v>
      </c>
      <c r="D17" s="268">
        <f>SUM(D9:D16)</f>
        <v>0</v>
      </c>
      <c r="E17" s="255" t="s">
        <v>31</v>
      </c>
      <c r="F17" s="269">
        <f>SUM(F9:F16)</f>
        <v>2010</v>
      </c>
      <c r="G17" s="255" t="s">
        <v>31</v>
      </c>
      <c r="H17" s="268">
        <f>SUM(H9:H16)</f>
        <v>0</v>
      </c>
      <c r="I17" s="255" t="s">
        <v>31</v>
      </c>
      <c r="J17" s="268">
        <f>SUM(J9:J16)</f>
        <v>0</v>
      </c>
      <c r="K17" s="254">
        <f>SUM(B17+D17+F17+H17+J17)</f>
        <v>9548</v>
      </c>
    </row>
    <row r="18" spans="1:11" ht="15">
      <c r="A18" s="255" t="s">
        <v>32</v>
      </c>
      <c r="B18" s="254">
        <f>SUM(B7+B17)</f>
        <v>14294</v>
      </c>
      <c r="C18" s="255" t="s">
        <v>32</v>
      </c>
      <c r="D18" s="254">
        <f>SUM(D7+D17)</f>
        <v>23644</v>
      </c>
      <c r="E18" s="255" t="s">
        <v>32</v>
      </c>
      <c r="F18" s="254">
        <f>SUM(F7+F17)</f>
        <v>2010</v>
      </c>
      <c r="G18" s="255" t="s">
        <v>32</v>
      </c>
      <c r="H18" s="254">
        <f>SUM(H7+H17)</f>
        <v>0</v>
      </c>
      <c r="I18" s="255" t="s">
        <v>32</v>
      </c>
      <c r="J18" s="254">
        <f>SUM(J7+J17)</f>
        <v>0</v>
      </c>
      <c r="K18" s="254">
        <f>SUM(B18+D18+F18+H18+J18)</f>
        <v>39948</v>
      </c>
    </row>
    <row r="19" spans="1:11" ht="15">
      <c r="A19" s="255" t="s">
        <v>34</v>
      </c>
      <c r="B19" s="256"/>
      <c r="C19" s="255" t="s">
        <v>34</v>
      </c>
      <c r="D19" s="257"/>
      <c r="E19" s="255" t="s">
        <v>34</v>
      </c>
      <c r="F19" s="241"/>
      <c r="G19" s="255" t="s">
        <v>34</v>
      </c>
      <c r="H19" s="68"/>
      <c r="I19" s="255" t="s">
        <v>34</v>
      </c>
      <c r="J19" s="68"/>
      <c r="K19" s="241"/>
    </row>
    <row r="20" spans="1:11" ht="15">
      <c r="A20" s="258"/>
      <c r="B20" s="252"/>
      <c r="C20" s="264"/>
      <c r="D20" s="252"/>
      <c r="E20" s="264" t="s">
        <v>440</v>
      </c>
      <c r="F20" s="252">
        <v>2010</v>
      </c>
      <c r="G20" s="264"/>
      <c r="H20" s="252"/>
      <c r="I20" s="264"/>
      <c r="J20" s="252"/>
      <c r="K20" s="241"/>
    </row>
    <row r="21" spans="1:11" ht="15">
      <c r="A21" s="258"/>
      <c r="B21" s="252"/>
      <c r="C21" s="264"/>
      <c r="D21" s="263"/>
      <c r="E21" s="264"/>
      <c r="F21" s="263"/>
      <c r="G21" s="264"/>
      <c r="H21" s="263"/>
      <c r="I21" s="264"/>
      <c r="J21" s="270"/>
      <c r="K21" s="241"/>
    </row>
    <row r="22" spans="1:11" ht="15">
      <c r="A22" s="258"/>
      <c r="B22" s="271"/>
      <c r="C22" s="267"/>
      <c r="D22" s="266"/>
      <c r="E22" s="267"/>
      <c r="F22" s="266"/>
      <c r="G22" s="267"/>
      <c r="H22" s="266"/>
      <c r="I22" s="261"/>
      <c r="J22" s="252"/>
      <c r="K22" s="241"/>
    </row>
    <row r="23" spans="1:11" ht="15">
      <c r="A23" s="258"/>
      <c r="B23" s="252"/>
      <c r="C23" s="264"/>
      <c r="D23" s="263"/>
      <c r="E23" s="264"/>
      <c r="F23" s="263"/>
      <c r="G23" s="264"/>
      <c r="H23" s="263"/>
      <c r="I23" s="264"/>
      <c r="J23" s="252"/>
      <c r="K23" s="241"/>
    </row>
    <row r="24" spans="1:11" ht="15">
      <c r="A24" s="258"/>
      <c r="B24" s="271"/>
      <c r="C24" s="267"/>
      <c r="D24" s="266"/>
      <c r="E24" s="267"/>
      <c r="F24" s="266"/>
      <c r="G24" s="267"/>
      <c r="H24" s="266"/>
      <c r="I24" s="261"/>
      <c r="J24" s="252"/>
      <c r="K24" s="241"/>
    </row>
    <row r="25" spans="1:11" ht="15">
      <c r="A25" s="258"/>
      <c r="B25" s="252"/>
      <c r="C25" s="264"/>
      <c r="D25" s="263"/>
      <c r="E25" s="264"/>
      <c r="F25" s="263"/>
      <c r="G25" s="264"/>
      <c r="H25" s="263"/>
      <c r="I25" s="264"/>
      <c r="J25" s="252"/>
      <c r="K25" s="241"/>
    </row>
    <row r="26" spans="1:11" ht="15">
      <c r="A26" s="258"/>
      <c r="B26" s="252"/>
      <c r="C26" s="264"/>
      <c r="D26" s="263"/>
      <c r="E26" s="264"/>
      <c r="F26" s="263"/>
      <c r="G26" s="264"/>
      <c r="H26" s="263"/>
      <c r="I26" s="264"/>
      <c r="J26" s="252"/>
      <c r="K26" s="241"/>
    </row>
    <row r="27" spans="1:11" ht="15">
      <c r="A27" s="258"/>
      <c r="B27" s="270"/>
      <c r="C27" s="258"/>
      <c r="D27" s="262"/>
      <c r="E27" s="258"/>
      <c r="F27" s="263"/>
      <c r="G27" s="264"/>
      <c r="H27" s="263"/>
      <c r="I27" s="264"/>
      <c r="J27" s="252"/>
      <c r="K27" s="241"/>
    </row>
    <row r="28" spans="1:11" ht="15">
      <c r="A28" s="255" t="s">
        <v>37</v>
      </c>
      <c r="B28" s="254">
        <f>SUM(B20:B27)</f>
        <v>0</v>
      </c>
      <c r="C28" s="255" t="s">
        <v>37</v>
      </c>
      <c r="D28" s="254">
        <f>SUM(D20:D27)</f>
        <v>0</v>
      </c>
      <c r="E28" s="255" t="s">
        <v>37</v>
      </c>
      <c r="F28" s="320">
        <f>SUM(F20:F27)</f>
        <v>2010</v>
      </c>
      <c r="G28" s="255" t="s">
        <v>37</v>
      </c>
      <c r="H28" s="320">
        <f>SUM(H20:H27)</f>
        <v>0</v>
      </c>
      <c r="I28" s="255" t="s">
        <v>37</v>
      </c>
      <c r="J28" s="254">
        <f>SUM(J20:J27)</f>
        <v>0</v>
      </c>
      <c r="K28" s="254">
        <f>SUM(B28+D28+F28+H28+J28)</f>
        <v>2010</v>
      </c>
    </row>
    <row r="29" spans="1:12" ht="15">
      <c r="A29" s="255" t="s">
        <v>168</v>
      </c>
      <c r="B29" s="254">
        <f>SUM(B18-B28)</f>
        <v>14294</v>
      </c>
      <c r="C29" s="255" t="s">
        <v>168</v>
      </c>
      <c r="D29" s="254">
        <f>SUM(D18-D28)</f>
        <v>23644</v>
      </c>
      <c r="E29" s="255" t="s">
        <v>168</v>
      </c>
      <c r="F29" s="254">
        <f>SUM(F18-F28)</f>
        <v>0</v>
      </c>
      <c r="G29" s="255" t="s">
        <v>168</v>
      </c>
      <c r="H29" s="254">
        <f>SUM(H18-H28)</f>
        <v>0</v>
      </c>
      <c r="I29" s="255" t="s">
        <v>168</v>
      </c>
      <c r="J29" s="254">
        <f>SUM(J18-J28)</f>
        <v>0</v>
      </c>
      <c r="K29" s="272">
        <f>SUM(B29+D29+F29+H29+J29)</f>
        <v>37938</v>
      </c>
      <c r="L29" s="273" t="s">
        <v>209</v>
      </c>
    </row>
    <row r="30" spans="1:12" ht="15">
      <c r="A30" s="255"/>
      <c r="B30" s="280">
        <f>IF(B29&lt;0,"See Tab B","")</f>
      </c>
      <c r="C30" s="255"/>
      <c r="D30" s="280">
        <f>IF(D29&lt;0,"See Tab B","")</f>
      </c>
      <c r="E30" s="255"/>
      <c r="F30" s="280">
        <f>IF(F29&lt;0,"See Tab B","")</f>
      </c>
      <c r="G30" s="68"/>
      <c r="H30" s="280">
        <f>IF(H29&lt;0,"See Tab B","")</f>
      </c>
      <c r="I30" s="68"/>
      <c r="J30" s="280">
        <f>IF(J29&lt;0,"See Tab B","")</f>
      </c>
      <c r="K30" s="272">
        <f>SUM(K7+K17-K28)</f>
        <v>37938</v>
      </c>
      <c r="L30" s="273" t="s">
        <v>209</v>
      </c>
    </row>
    <row r="31" spans="1:11" ht="15">
      <c r="A31" s="68"/>
      <c r="B31" s="274"/>
      <c r="C31" s="68"/>
      <c r="D31" s="241"/>
      <c r="E31" s="68"/>
      <c r="F31" s="68"/>
      <c r="G31" s="2" t="s">
        <v>210</v>
      </c>
      <c r="H31" s="2"/>
      <c r="I31" s="2"/>
      <c r="J31" s="2"/>
      <c r="K31" s="68"/>
    </row>
    <row r="32" spans="1:11" ht="15">
      <c r="A32" s="645" t="s">
        <v>445</v>
      </c>
      <c r="B32" s="672"/>
      <c r="C32" s="672"/>
      <c r="D32" s="672"/>
      <c r="E32" s="620"/>
      <c r="F32" s="620"/>
      <c r="G32" s="620"/>
      <c r="H32" s="620"/>
      <c r="I32" s="620"/>
      <c r="J32" s="620"/>
      <c r="K32" s="620"/>
    </row>
    <row r="33" spans="1:11" ht="15">
      <c r="A33" s="68"/>
      <c r="B33" s="274"/>
      <c r="C33" s="68"/>
      <c r="D33" s="68"/>
      <c r="E33" s="225" t="s">
        <v>40</v>
      </c>
      <c r="F33" s="593">
        <v>14</v>
      </c>
      <c r="G33" s="68"/>
      <c r="H33" s="68"/>
      <c r="I33" s="68"/>
      <c r="J33" s="68"/>
      <c r="K33" s="68"/>
    </row>
    <row r="34" ht="15">
      <c r="B34" s="275"/>
    </row>
    <row r="35" ht="15">
      <c r="B35" s="275"/>
    </row>
    <row r="36" ht="15">
      <c r="B36" s="275"/>
    </row>
    <row r="37" ht="15">
      <c r="B37" s="275"/>
    </row>
    <row r="38" ht="15">
      <c r="B38" s="275"/>
    </row>
    <row r="39" ht="15">
      <c r="B39" s="275"/>
    </row>
    <row r="40" ht="15">
      <c r="B40" s="275"/>
    </row>
    <row r="41" ht="15">
      <c r="B41" s="275"/>
    </row>
  </sheetData>
  <sheetProtection/>
  <mergeCells count="6">
    <mergeCell ref="I5:J5"/>
    <mergeCell ref="A5:B5"/>
    <mergeCell ref="C5:D5"/>
    <mergeCell ref="E5:F5"/>
    <mergeCell ref="G5:H5"/>
    <mergeCell ref="A32:K32"/>
  </mergeCells>
  <printOptions/>
  <pageMargins left="0" right="0" top="1" bottom="1" header="0.5" footer="0.5"/>
  <pageSetup blackAndWhite="1" fitToHeight="1" fitToWidth="1" horizontalDpi="600" verticalDpi="600" orientation="landscape" scale="93"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M44"/>
  <sheetViews>
    <sheetView tabSelected="1" zoomScale="75" zoomScaleNormal="75" zoomScalePageLayoutView="0" workbookViewId="0" topLeftCell="A1">
      <selection activeCell="I16" sqref="I16"/>
    </sheetView>
  </sheetViews>
  <sheetFormatPr defaultColWidth="8.8984375" defaultRowHeight="15"/>
  <cols>
    <col min="1" max="1" width="20.69921875" style="1" customWidth="1"/>
    <col min="2" max="2" width="15.69921875" style="1" customWidth="1"/>
    <col min="3" max="3" width="10.69921875" style="1" customWidth="1"/>
    <col min="4" max="4" width="15.69921875" style="1" customWidth="1"/>
    <col min="5" max="5" width="10.69921875" style="1" customWidth="1"/>
    <col min="6" max="6" width="15.69921875" style="1" customWidth="1"/>
    <col min="7" max="7" width="12.69921875" style="1" customWidth="1"/>
    <col min="8" max="8" width="10.69921875" style="1" customWidth="1"/>
    <col min="9" max="9" width="8.8984375" style="1" customWidth="1"/>
    <col min="10" max="10" width="12.3984375" style="1" customWidth="1"/>
    <col min="11" max="11" width="12.296875" style="1" customWidth="1"/>
    <col min="12" max="12" width="10.59765625" style="1" customWidth="1"/>
    <col min="13" max="13" width="12.09765625" style="1" customWidth="1"/>
    <col min="14" max="16384" width="8.8984375" style="1" customWidth="1"/>
  </cols>
  <sheetData>
    <row r="1" spans="1:8" ht="15">
      <c r="A1" s="68"/>
      <c r="B1" s="68"/>
      <c r="C1" s="68"/>
      <c r="D1" s="68"/>
      <c r="E1" s="68"/>
      <c r="F1" s="68"/>
      <c r="G1" s="68"/>
      <c r="H1" s="68">
        <f>inputPrYr!$C$5</f>
        <v>2014</v>
      </c>
    </row>
    <row r="2" spans="1:9" ht="15">
      <c r="A2" s="628" t="s">
        <v>84</v>
      </c>
      <c r="B2" s="628"/>
      <c r="C2" s="628"/>
      <c r="D2" s="628"/>
      <c r="E2" s="628"/>
      <c r="F2" s="628"/>
      <c r="G2" s="628"/>
      <c r="H2" s="628"/>
      <c r="I2" s="276"/>
    </row>
    <row r="3" spans="1:8" ht="15">
      <c r="A3" s="4"/>
      <c r="B3" s="4"/>
      <c r="C3" s="4"/>
      <c r="D3" s="4"/>
      <c r="E3" s="4"/>
      <c r="F3" s="4"/>
      <c r="G3" s="4"/>
      <c r="H3" s="4"/>
    </row>
    <row r="4" spans="1:8" ht="15">
      <c r="A4" s="618" t="s">
        <v>42</v>
      </c>
      <c r="B4" s="618"/>
      <c r="C4" s="618"/>
      <c r="D4" s="618"/>
      <c r="E4" s="618"/>
      <c r="F4" s="618"/>
      <c r="G4" s="618"/>
      <c r="H4" s="618"/>
    </row>
    <row r="5" spans="1:8" ht="15">
      <c r="A5" s="616" t="str">
        <f>inputPrYr!D2</f>
        <v>City of Toronto</v>
      </c>
      <c r="B5" s="616"/>
      <c r="C5" s="616"/>
      <c r="D5" s="616"/>
      <c r="E5" s="616"/>
      <c r="F5" s="616"/>
      <c r="G5" s="616"/>
      <c r="H5" s="616"/>
    </row>
    <row r="6" spans="1:8" ht="15">
      <c r="A6" s="673" t="str">
        <f>CONCATENATE("will meet on ",inputBudSum!B7," at ",inputBudSum!B9," at ",inputBudSum!B11," for the purpose of")</f>
        <v>will meet on August 8, 2013 at 7:30 PM at Toronto City Hall for the purpose of</v>
      </c>
      <c r="B6" s="673"/>
      <c r="C6" s="673"/>
      <c r="D6" s="673"/>
      <c r="E6" s="673"/>
      <c r="F6" s="673"/>
      <c r="G6" s="673"/>
      <c r="H6" s="673"/>
    </row>
    <row r="7" spans="1:8" ht="15">
      <c r="A7" s="618" t="s">
        <v>247</v>
      </c>
      <c r="B7" s="618"/>
      <c r="C7" s="618"/>
      <c r="D7" s="618"/>
      <c r="E7" s="618"/>
      <c r="F7" s="618"/>
      <c r="G7" s="618"/>
      <c r="H7" s="618"/>
    </row>
    <row r="8" spans="1:8" ht="15">
      <c r="A8" s="683" t="str">
        <f>CONCATENATE("Detailed budget information is available at ",inputBudSum!B14," and will be available at this hearing.")</f>
        <v>Detailed budget information is available at Toronto City Hall and will be available at this hearing.</v>
      </c>
      <c r="B8" s="683"/>
      <c r="C8" s="683"/>
      <c r="D8" s="683"/>
      <c r="E8" s="683"/>
      <c r="F8" s="683"/>
      <c r="G8" s="683"/>
      <c r="H8" s="683"/>
    </row>
    <row r="9" spans="1:8" ht="15">
      <c r="A9" s="14" t="s">
        <v>85</v>
      </c>
      <c r="B9" s="15"/>
      <c r="C9" s="15"/>
      <c r="D9" s="15"/>
      <c r="E9" s="15"/>
      <c r="F9" s="15"/>
      <c r="G9" s="15"/>
      <c r="H9" s="15"/>
    </row>
    <row r="10" spans="1:8" ht="15">
      <c r="A10" s="16" t="str">
        <f>CONCATENATE("Proposed Budget ",H1," Expenditures and Amount of  ",H1-1," Ad Valorem Tax establish the maximum limits of the ",H1," budget.")</f>
        <v>Proposed Budget 2014 Expenditures and Amount of  2013 Ad Valorem Tax establish the maximum limits of the 2014 budget.</v>
      </c>
      <c r="B10" s="15"/>
      <c r="C10" s="15"/>
      <c r="D10" s="15"/>
      <c r="E10" s="15"/>
      <c r="F10" s="15"/>
      <c r="G10" s="15"/>
      <c r="H10" s="15"/>
    </row>
    <row r="11" spans="1:8" ht="15">
      <c r="A11" s="16" t="s">
        <v>148</v>
      </c>
      <c r="B11" s="15"/>
      <c r="C11" s="15"/>
      <c r="D11" s="15"/>
      <c r="E11" s="15"/>
      <c r="F11" s="15"/>
      <c r="G11" s="15"/>
      <c r="H11" s="15"/>
    </row>
    <row r="12" spans="1:8" ht="15">
      <c r="A12" s="4"/>
      <c r="B12" s="236"/>
      <c r="C12" s="236"/>
      <c r="D12" s="236"/>
      <c r="E12" s="236"/>
      <c r="F12" s="236"/>
      <c r="G12" s="236"/>
      <c r="H12" s="236"/>
    </row>
    <row r="13" spans="1:8" ht="15">
      <c r="A13" s="4"/>
      <c r="B13" s="277" t="str">
        <f>CONCATENATE("Prior Year Actual for ",H1-2,"")</f>
        <v>Prior Year Actual for 2012</v>
      </c>
      <c r="C13" s="104"/>
      <c r="D13" s="277" t="str">
        <f>CONCATENATE("Current Year Estimate for ",H1-1,"")</f>
        <v>Current Year Estimate for 2013</v>
      </c>
      <c r="E13" s="104"/>
      <c r="F13" s="102" t="str">
        <f>CONCATENATE("Proposed Budget for ",H1,"")</f>
        <v>Proposed Budget for 2014</v>
      </c>
      <c r="G13" s="103"/>
      <c r="H13" s="104"/>
    </row>
    <row r="14" spans="1:8" ht="21" customHeight="1">
      <c r="A14" s="4"/>
      <c r="B14" s="227"/>
      <c r="C14" s="107" t="s">
        <v>43</v>
      </c>
      <c r="D14" s="107"/>
      <c r="E14" s="107" t="s">
        <v>43</v>
      </c>
      <c r="F14" s="326" t="s">
        <v>216</v>
      </c>
      <c r="G14" s="107" t="str">
        <f>CONCATENATE("Amount of ",H1-1,"")</f>
        <v>Amount of 2013</v>
      </c>
      <c r="H14" s="107" t="s">
        <v>195</v>
      </c>
    </row>
    <row r="15" spans="1:8" ht="15">
      <c r="A15" s="29" t="s">
        <v>44</v>
      </c>
      <c r="B15" s="111" t="s">
        <v>45</v>
      </c>
      <c r="C15" s="111" t="s">
        <v>46</v>
      </c>
      <c r="D15" s="111" t="s">
        <v>45</v>
      </c>
      <c r="E15" s="111" t="s">
        <v>46</v>
      </c>
      <c r="F15" s="327" t="s">
        <v>262</v>
      </c>
      <c r="G15" s="112" t="s">
        <v>25</v>
      </c>
      <c r="H15" s="111" t="s">
        <v>46</v>
      </c>
    </row>
    <row r="16" spans="1:8" ht="15">
      <c r="A16" s="50" t="str">
        <f>inputPrYr!B17</f>
        <v>General</v>
      </c>
      <c r="B16" s="174">
        <f>IF(general!$C$111&lt;&gt;0,general!$C$111,"  ")</f>
        <v>86840</v>
      </c>
      <c r="C16" s="41">
        <f>IF(inputPrYr!D64&gt;0,inputPrYr!D64,"  ")</f>
        <v>46.866</v>
      </c>
      <c r="D16" s="174">
        <f>IF(general!$D$111&lt;&gt;0,general!$D$111,"  ")</f>
        <v>79821</v>
      </c>
      <c r="E16" s="41">
        <f>IF(inputOth!D21&gt;0,inputOth!D21,"  ")</f>
        <v>46.191</v>
      </c>
      <c r="F16" s="174">
        <f>IF(general!$E$111&lt;&gt;0,general!$E$111,"  ")</f>
        <v>176776</v>
      </c>
      <c r="G16" s="174">
        <f>IF(general!$E$118&lt;&gt;0,general!$E$118,"  ")</f>
        <v>27868</v>
      </c>
      <c r="H16" s="41">
        <f>IF(general!E118&gt;0,ROUND(G16/$F$31*1000,3),"  ")</f>
        <v>45.22</v>
      </c>
    </row>
    <row r="17" spans="1:8" ht="15">
      <c r="A17" s="50" t="str">
        <f>IF(inputPrYr!$B18&gt;"  ",(inputPrYr!$B18),"  ")</f>
        <v>G. O. Bond and Interest</v>
      </c>
      <c r="B17" s="174">
        <f>IF('DebtSvs-Library'!C33&lt;&gt;0,'DebtSvs-Library'!C33,"  ")</f>
        <v>58885</v>
      </c>
      <c r="C17" s="41">
        <f>IF(inputPrYr!D65&gt;0,inputPrYr!D65,"  ")</f>
        <v>34.999</v>
      </c>
      <c r="D17" s="174">
        <f>IF('DebtSvs-Library'!D33&lt;&gt;0,'DebtSvs-Library'!D33,"  ")</f>
        <v>57785</v>
      </c>
      <c r="E17" s="41">
        <f>IF(inputOth!D22&gt;0,inputOth!D22,"  ")</f>
        <v>34.999</v>
      </c>
      <c r="F17" s="174">
        <f>IF('DebtSvs-Library'!E33&lt;&gt;0,'DebtSvs-Library'!E33,"  ")</f>
        <v>86035</v>
      </c>
      <c r="G17" s="174">
        <f>IF('DebtSvs-Library'!E40&lt;&gt;0,'DebtSvs-Library'!E40," ")</f>
        <v>21569</v>
      </c>
      <c r="H17" s="41">
        <f>IF('DebtSvs-Library'!E40&gt;0,ROUND(G17/$F$31*1000,3)," ")</f>
        <v>34.999</v>
      </c>
    </row>
    <row r="18" spans="1:8" ht="15">
      <c r="A18" s="50" t="str">
        <f>IF(inputPrYr!$B19&gt;"  ",(inputPrYr!$B19),"  ")</f>
        <v>Library</v>
      </c>
      <c r="B18" s="174">
        <f>IF('DebtSvs-Library'!C73&lt;&gt;0,'DebtSvs-Library'!C73,"  ")</f>
        <v>2717</v>
      </c>
      <c r="C18" s="41">
        <f>IF(inputPrYr!D66&gt;0,inputPrYr!D66,"  ")</f>
        <v>4</v>
      </c>
      <c r="D18" s="174">
        <f>IF('DebtSvs-Library'!D73&lt;&gt;0,'DebtSvs-Library'!D73,"  ")</f>
        <v>2997</v>
      </c>
      <c r="E18" s="41">
        <f>IF(inputOth!D23&gt;0,inputOth!D23,"  ")</f>
        <v>4</v>
      </c>
      <c r="F18" s="174">
        <f>IF('DebtSvs-Library'!E73&lt;&gt;0,'DebtSvs-Library'!E73,"  ")</f>
        <v>3432</v>
      </c>
      <c r="G18" s="174">
        <f>IF('DebtSvs-Library'!E80&lt;&gt;0,'DebtSvs-Library'!E80," ")</f>
        <v>2465</v>
      </c>
      <c r="H18" s="41">
        <f>IF('DebtSvs-Library'!E80&gt;0,ROUND(G18/$F$31*1000,3)," ")</f>
        <v>4</v>
      </c>
    </row>
    <row r="19" spans="1:8" ht="15">
      <c r="A19" s="50" t="str">
        <f>IF(inputPrYr!$B21&gt;"  ",(inputPrYr!$B21),"  ")</f>
        <v>Special Liabilty</v>
      </c>
      <c r="B19" s="174">
        <f>IF('Special Liabilty'!$C$33&gt;0,'Special Liabilty'!$C$33,"  ")</f>
        <v>1867</v>
      </c>
      <c r="C19" s="41">
        <f>IF(inputPrYr!D67&gt;0,inputPrYr!D67,"  ")</f>
        <v>4</v>
      </c>
      <c r="D19" s="174">
        <f>IF('Special Liabilty'!$D$33&gt;0,'Special Liabilty'!$D$33,"  ")</f>
        <v>2070</v>
      </c>
      <c r="E19" s="41">
        <f>IF(inputOth!D24&gt;0,inputOth!D24,"  ")</f>
        <v>4</v>
      </c>
      <c r="F19" s="174">
        <f>IF('Special Liabilty'!$E$33&gt;0,'Special Liabilty'!$E$33,"  ")</f>
        <v>15033</v>
      </c>
      <c r="G19" s="174">
        <f>IF('Special Liabilty'!$E$40&lt;&gt;0,'Special Liabilty'!$E$40,"  ")</f>
        <v>2465</v>
      </c>
      <c r="H19" s="41">
        <f>IF('Special Liabilty'!E40&lt;&gt;0,ROUND(G19/$F$31*1000,3),"  ")</f>
        <v>4</v>
      </c>
    </row>
    <row r="20" spans="1:8" ht="15">
      <c r="A20" s="50" t="str">
        <f>IF(inputPrYr!$B34&gt;"  ",(inputPrYr!$B34),"  ")</f>
        <v>Special Highway</v>
      </c>
      <c r="B20" s="174">
        <f>IF('Sp Hiway &amp; 911 emerg'!$C$28&gt;0,'Sp Hiway &amp; 911 emerg'!$C$28,"  ")</f>
        <v>5185</v>
      </c>
      <c r="C20" s="30"/>
      <c r="D20" s="174">
        <f>IF('Sp Hiway &amp; 911 emerg'!$D$28&gt;0,'Sp Hiway &amp; 911 emerg'!$D$28,"  ")</f>
        <v>827</v>
      </c>
      <c r="E20" s="30"/>
      <c r="F20" s="174">
        <f>IF('Sp Hiway &amp; 911 emerg'!$E$28&gt;0,'Sp Hiway &amp; 911 emerg'!$E$28,"  ")</f>
        <v>27090</v>
      </c>
      <c r="G20" s="174"/>
      <c r="H20" s="30"/>
    </row>
    <row r="21" spans="1:8" ht="15">
      <c r="A21" s="50" t="str">
        <f>IF(inputPrYr!$B35&gt;"  ",(inputPrYr!$B35),"  ")</f>
        <v>911 Emergency System</v>
      </c>
      <c r="B21" s="174">
        <f>IF('Sp Hiway &amp; 911 emerg'!$C$59&gt;0,'Sp Hiway &amp; 911 emerg'!$C$59,"  ")</f>
        <v>2715</v>
      </c>
      <c r="C21" s="30"/>
      <c r="D21" s="174">
        <f>IF('Sp Hiway &amp; 911 emerg'!$D$59&gt;0,'Sp Hiway &amp; 911 emerg'!$D$59,"  ")</f>
        <v>1303</v>
      </c>
      <c r="E21" s="30"/>
      <c r="F21" s="174" t="str">
        <f>IF('Sp Hiway &amp; 911 emerg'!$E$59&gt;0,'Sp Hiway &amp; 911 emerg'!$E$59,"  ")</f>
        <v>  </v>
      </c>
      <c r="G21" s="174"/>
      <c r="H21" s="30"/>
    </row>
    <row r="22" spans="1:8" ht="15">
      <c r="A22" s="50" t="str">
        <f>IF(inputPrYr!$B36&gt;"  ",(inputPrYr!$B36),"  ")</f>
        <v>Water Utility</v>
      </c>
      <c r="B22" s="174">
        <f>IF('Water &amp; Sewer'!$C$29&gt;0,'Water &amp; Sewer'!$C$29,"  ")</f>
        <v>92117</v>
      </c>
      <c r="C22" s="30"/>
      <c r="D22" s="174">
        <f>IF('Water &amp; Sewer'!$D$29&gt;0,'Water &amp; Sewer'!$D$29,"  ")</f>
        <v>110600</v>
      </c>
      <c r="E22" s="30"/>
      <c r="F22" s="174">
        <f>IF('Water &amp; Sewer'!$E$29&gt;0,'Water &amp; Sewer'!$E$29,"  ")</f>
        <v>159640</v>
      </c>
      <c r="G22" s="174"/>
      <c r="H22" s="30"/>
    </row>
    <row r="23" spans="1:13" ht="15">
      <c r="A23" s="50" t="str">
        <f>IF(inputPrYr!$B37&gt;"  ",(inputPrYr!$B37),"  ")</f>
        <v>Sewer Utility</v>
      </c>
      <c r="B23" s="174">
        <f>IF('Water &amp; Sewer'!$C$61&gt;0,'Water &amp; Sewer'!$C$61,"  ")</f>
        <v>34224</v>
      </c>
      <c r="C23" s="30"/>
      <c r="D23" s="174">
        <f>IF('Water &amp; Sewer'!$D$61&gt;0,'Water &amp; Sewer'!$D$61,"  ")</f>
        <v>48032</v>
      </c>
      <c r="E23" s="30"/>
      <c r="F23" s="174">
        <f>IF('Water &amp; Sewer'!$E$61&gt;0,'Water &amp; Sewer'!$E$61,"  ")</f>
        <v>93207</v>
      </c>
      <c r="G23" s="174"/>
      <c r="H23" s="30"/>
      <c r="J23" s="674" t="str">
        <f>CONCATENATE("Estimated Value Of One Mill For ",H1,"")</f>
        <v>Estimated Value Of One Mill For 2014</v>
      </c>
      <c r="K23" s="675"/>
      <c r="L23" s="675"/>
      <c r="M23" s="676"/>
    </row>
    <row r="24" spans="1:13" ht="15">
      <c r="A24" s="50" t="str">
        <f>IF(inputPrYr!$B38&gt;"  ",(inputPrYr!$B38),"  ")</f>
        <v>Electric Utility</v>
      </c>
      <c r="B24" s="174">
        <f>IF(Electric!$C$31&gt;0,Electric!$C$31,"  ")</f>
        <v>222854</v>
      </c>
      <c r="C24" s="30"/>
      <c r="D24" s="174">
        <f>IF(Electric!$D$31&gt;0,Electric!$D$31,"  ")</f>
        <v>220897</v>
      </c>
      <c r="E24" s="30"/>
      <c r="F24" s="174">
        <f>IF(Electric!$E$31&gt;0,Electric!$E$31,"  ")</f>
        <v>510072</v>
      </c>
      <c r="G24" s="174"/>
      <c r="H24" s="30"/>
      <c r="J24" s="363"/>
      <c r="K24" s="364"/>
      <c r="L24" s="364"/>
      <c r="M24" s="365"/>
    </row>
    <row r="25" spans="1:13" ht="15">
      <c r="A25" s="50" t="str">
        <f>IF(inputPrYr!$B51&gt;" ",(NonBudA!$A3),"  ")</f>
        <v>Non-Budgeted Funds-A</v>
      </c>
      <c r="B25" s="174">
        <f>IF(NonBudA!$K$28&gt;0,NonBudA!$K$28,"  ")</f>
        <v>2010</v>
      </c>
      <c r="C25" s="30"/>
      <c r="D25" s="174"/>
      <c r="E25" s="30"/>
      <c r="F25" s="174"/>
      <c r="G25" s="174"/>
      <c r="H25" s="30"/>
      <c r="J25" s="385" t="e">
        <f>IF(M25&lt;0,"Reduced By:","")</f>
        <v>#REF!</v>
      </c>
      <c r="K25" s="386"/>
      <c r="L25" s="386"/>
      <c r="M25" s="387" t="e">
        <f>IF(M30&gt;0,M30*-1,0)</f>
        <v>#REF!</v>
      </c>
    </row>
    <row r="26" spans="1:13" ht="15">
      <c r="A26" s="106" t="s">
        <v>270</v>
      </c>
      <c r="B26" s="317">
        <f>SUM(B16:B25)</f>
        <v>509414</v>
      </c>
      <c r="C26" s="321">
        <f>SUM(C16:C19)</f>
        <v>89.86500000000001</v>
      </c>
      <c r="D26" s="317">
        <f>SUM(D16:D25)</f>
        <v>524332</v>
      </c>
      <c r="E26" s="321">
        <f>SUM(E16:E19)</f>
        <v>89.19</v>
      </c>
      <c r="F26" s="317">
        <f>SUM(F16:F25)</f>
        <v>1071285</v>
      </c>
      <c r="G26" s="317">
        <f>SUM(G16:G25)</f>
        <v>54367</v>
      </c>
      <c r="H26" s="343">
        <f>SUM(H16:H19)</f>
        <v>88.219</v>
      </c>
      <c r="J26" s="674" t="str">
        <f>CONCATENATE("Impact On Keeping The Same Mill Rate As For ",H1-1,"")</f>
        <v>Impact On Keeping The Same Mill Rate As For 2013</v>
      </c>
      <c r="K26" s="679"/>
      <c r="L26" s="679"/>
      <c r="M26" s="680"/>
    </row>
    <row r="27" spans="1:13" ht="15">
      <c r="A27" s="11" t="s">
        <v>47</v>
      </c>
      <c r="B27" s="346">
        <f>transfers!C28</f>
        <v>47000</v>
      </c>
      <c r="C27" s="379"/>
      <c r="D27" s="346">
        <f>transfers!D28</f>
        <v>49500</v>
      </c>
      <c r="E27" s="379"/>
      <c r="F27" s="346">
        <f>transfers!E28</f>
        <v>49500</v>
      </c>
      <c r="G27" s="40"/>
      <c r="H27" s="34"/>
      <c r="I27" s="361"/>
      <c r="J27" s="368"/>
      <c r="K27" s="364"/>
      <c r="L27" s="364"/>
      <c r="M27" s="369"/>
    </row>
    <row r="28" spans="1:13" ht="15.75" thickBot="1">
      <c r="A28" s="11" t="s">
        <v>48</v>
      </c>
      <c r="B28" s="318">
        <f>B26-B27</f>
        <v>462414</v>
      </c>
      <c r="C28" s="4"/>
      <c r="D28" s="318">
        <f>D26-D27</f>
        <v>474832</v>
      </c>
      <c r="E28" s="4"/>
      <c r="F28" s="318">
        <f>F26-F27</f>
        <v>1021785</v>
      </c>
      <c r="G28" s="4"/>
      <c r="H28" s="4"/>
      <c r="J28" s="368" t="str">
        <f>CONCATENATE("",H1," Ad Valorem Tax Revenue:")</f>
        <v>2014 Ad Valorem Tax Revenue:</v>
      </c>
      <c r="K28" s="364"/>
      <c r="L28" s="364"/>
      <c r="M28" s="365">
        <f>G26</f>
        <v>54367</v>
      </c>
    </row>
    <row r="29" spans="1:13" ht="15.75" thickTop="1">
      <c r="A29" s="11" t="s">
        <v>49</v>
      </c>
      <c r="B29" s="346">
        <f>inputPrYr!E79</f>
        <v>53019</v>
      </c>
      <c r="C29" s="133"/>
      <c r="D29" s="346">
        <f>inputPrYr!E31</f>
        <v>53602</v>
      </c>
      <c r="E29" s="133"/>
      <c r="F29" s="278" t="s">
        <v>13</v>
      </c>
      <c r="G29" s="4"/>
      <c r="H29" s="4"/>
      <c r="J29" s="368" t="str">
        <f>CONCATENATE("",H1-1," Ad Valorem Tax Revenue:")</f>
        <v>2013 Ad Valorem Tax Revenue:</v>
      </c>
      <c r="K29" s="364"/>
      <c r="L29" s="364"/>
      <c r="M29" s="374" t="e">
        <f>ROUND(F31*#REF!/1000,0)</f>
        <v>#REF!</v>
      </c>
    </row>
    <row r="30" spans="1:13" ht="15">
      <c r="A30" s="11" t="s">
        <v>50</v>
      </c>
      <c r="B30" s="347"/>
      <c r="C30" s="4"/>
      <c r="D30" s="347"/>
      <c r="E30" s="151"/>
      <c r="F30" s="115"/>
      <c r="G30" s="4"/>
      <c r="H30" s="4"/>
      <c r="J30" s="371" t="s">
        <v>266</v>
      </c>
      <c r="K30" s="372"/>
      <c r="L30" s="372"/>
      <c r="M30" s="366" t="e">
        <f>SUM(M28-M29)</f>
        <v>#REF!</v>
      </c>
    </row>
    <row r="31" spans="1:13" ht="15">
      <c r="A31" s="11" t="s">
        <v>51</v>
      </c>
      <c r="B31" s="346">
        <f>inputPrYr!E80</f>
        <v>589984</v>
      </c>
      <c r="C31" s="42"/>
      <c r="D31" s="346">
        <f>inputOth!E36</f>
        <v>600989</v>
      </c>
      <c r="E31" s="42"/>
      <c r="F31" s="346">
        <f>inputOth!E7</f>
        <v>616274</v>
      </c>
      <c r="G31" s="4"/>
      <c r="H31" s="4"/>
      <c r="J31" s="367"/>
      <c r="K31" s="367"/>
      <c r="L31" s="367"/>
      <c r="M31" s="373"/>
    </row>
    <row r="32" spans="1:13" ht="15">
      <c r="A32" s="11" t="s">
        <v>52</v>
      </c>
      <c r="B32" s="4"/>
      <c r="C32" s="4"/>
      <c r="D32" s="4"/>
      <c r="E32" s="4"/>
      <c r="F32" s="4"/>
      <c r="G32" s="4"/>
      <c r="H32" s="4"/>
      <c r="J32" s="674" t="s">
        <v>267</v>
      </c>
      <c r="K32" s="677"/>
      <c r="L32" s="677"/>
      <c r="M32" s="678"/>
    </row>
    <row r="33" spans="1:13" ht="15">
      <c r="A33" s="11" t="s">
        <v>53</v>
      </c>
      <c r="B33" s="279">
        <f>$H$1-3</f>
        <v>2011</v>
      </c>
      <c r="C33" s="4"/>
      <c r="D33" s="279">
        <f>$H$1-2</f>
        <v>2012</v>
      </c>
      <c r="E33" s="4"/>
      <c r="F33" s="279">
        <f>$H$1-1</f>
        <v>2013</v>
      </c>
      <c r="G33" s="4"/>
      <c r="H33" s="4"/>
      <c r="J33" s="368"/>
      <c r="K33" s="364"/>
      <c r="L33" s="364"/>
      <c r="M33" s="369"/>
    </row>
    <row r="34" spans="1:13" ht="15">
      <c r="A34" s="11" t="s">
        <v>54</v>
      </c>
      <c r="B34" s="164">
        <f>inputPrYr!D83</f>
        <v>525000</v>
      </c>
      <c r="C34" s="4"/>
      <c r="D34" s="164">
        <f>inputPrYr!E83</f>
        <v>490000</v>
      </c>
      <c r="E34" s="4"/>
      <c r="F34" s="164">
        <f>debt!G20</f>
        <v>450000</v>
      </c>
      <c r="G34" s="4"/>
      <c r="H34" s="4"/>
      <c r="J34" s="368" t="str">
        <f>CONCATENATE("Current ",H1," Estimated Mill Rate:")</f>
        <v>Current 2014 Estimated Mill Rate:</v>
      </c>
      <c r="K34" s="364"/>
      <c r="L34" s="364"/>
      <c r="M34" s="370">
        <f>H26</f>
        <v>88.219</v>
      </c>
    </row>
    <row r="35" spans="1:13" ht="15">
      <c r="A35" s="11" t="s">
        <v>55</v>
      </c>
      <c r="B35" s="164">
        <f>inputPrYr!D84</f>
        <v>0</v>
      </c>
      <c r="C35" s="4"/>
      <c r="D35" s="164">
        <f>inputPrYr!E84</f>
        <v>0</v>
      </c>
      <c r="E35" s="4"/>
      <c r="F35" s="164">
        <f>debt!G32</f>
        <v>0</v>
      </c>
      <c r="G35" s="4"/>
      <c r="H35" s="4"/>
      <c r="J35" s="368" t="str">
        <f>CONCATENATE("Desired ",H1," Mill Rate:")</f>
        <v>Desired 2014 Mill Rate:</v>
      </c>
      <c r="K35" s="364"/>
      <c r="L35" s="364"/>
      <c r="M35" s="362">
        <v>0</v>
      </c>
    </row>
    <row r="36" spans="1:13" ht="15">
      <c r="A36" s="4" t="s">
        <v>73</v>
      </c>
      <c r="B36" s="164">
        <f>inputPrYr!D85</f>
        <v>0</v>
      </c>
      <c r="C36" s="4"/>
      <c r="D36" s="164">
        <f>inputPrYr!E85</f>
        <v>0</v>
      </c>
      <c r="E36" s="4"/>
      <c r="F36" s="164">
        <f>debt!G42</f>
        <v>0</v>
      </c>
      <c r="G36" s="4"/>
      <c r="H36" s="4"/>
      <c r="J36" s="368" t="s">
        <v>268</v>
      </c>
      <c r="K36" s="364"/>
      <c r="L36" s="364"/>
      <c r="M36" s="374">
        <f>ROUND(F31*M35/1000,0)</f>
        <v>0</v>
      </c>
    </row>
    <row r="37" spans="1:13" ht="15">
      <c r="A37" s="11" t="s">
        <v>149</v>
      </c>
      <c r="B37" s="164">
        <f>inputPrYr!D86</f>
        <v>0</v>
      </c>
      <c r="C37" s="4"/>
      <c r="D37" s="164">
        <f>inputPrYr!E86</f>
        <v>0</v>
      </c>
      <c r="E37" s="4"/>
      <c r="F37" s="164">
        <f>lpform!G28</f>
        <v>0</v>
      </c>
      <c r="G37" s="4"/>
      <c r="H37" s="4"/>
      <c r="J37" s="371" t="str">
        <f>CONCATENATE("",H1," Tax Levy Fund Exp. Changed By:")</f>
        <v>2014 Tax Levy Fund Exp. Changed By:</v>
      </c>
      <c r="K37" s="372"/>
      <c r="L37" s="372"/>
      <c r="M37" s="366">
        <f>IF(M35=0,0,(M36-G26))</f>
        <v>0</v>
      </c>
    </row>
    <row r="38" spans="1:8" ht="15.75" thickBot="1">
      <c r="A38" s="11" t="s">
        <v>56</v>
      </c>
      <c r="B38" s="375">
        <f>SUM(B34:B37)</f>
        <v>525000</v>
      </c>
      <c r="C38" s="4"/>
      <c r="D38" s="375">
        <f>SUM(D34:D37)</f>
        <v>490000</v>
      </c>
      <c r="E38" s="4"/>
      <c r="F38" s="375">
        <f>SUM(F34:F37)</f>
        <v>450000</v>
      </c>
      <c r="G38" s="4"/>
      <c r="H38" s="4"/>
    </row>
    <row r="39" spans="1:8" ht="15.75" thickTop="1">
      <c r="A39" s="11" t="s">
        <v>57</v>
      </c>
      <c r="B39" s="4"/>
      <c r="C39" s="4"/>
      <c r="D39" s="4"/>
      <c r="E39" s="4"/>
      <c r="F39" s="4"/>
      <c r="G39" s="4"/>
      <c r="H39" s="4"/>
    </row>
    <row r="40" spans="1:8" ht="15">
      <c r="A40" s="4"/>
      <c r="B40" s="4"/>
      <c r="C40" s="4"/>
      <c r="D40" s="4"/>
      <c r="E40" s="4"/>
      <c r="F40" s="4"/>
      <c r="G40" s="4"/>
      <c r="H40" s="4"/>
    </row>
    <row r="41" spans="1:8" ht="15">
      <c r="A41" s="681"/>
      <c r="B41" s="682"/>
      <c r="C41" s="4"/>
      <c r="D41" s="4"/>
      <c r="E41" s="4"/>
      <c r="F41" s="4"/>
      <c r="G41" s="4"/>
      <c r="H41" s="4"/>
    </row>
    <row r="42" spans="1:8" ht="15">
      <c r="A42" s="129" t="s">
        <v>151</v>
      </c>
      <c r="B42" s="499"/>
      <c r="C42" s="325"/>
      <c r="D42" s="4"/>
      <c r="E42" s="4"/>
      <c r="F42" s="4"/>
      <c r="G42" s="4"/>
      <c r="H42" s="4"/>
    </row>
    <row r="43" spans="1:11" ht="15">
      <c r="A43" s="645"/>
      <c r="B43" s="620"/>
      <c r="C43" s="620"/>
      <c r="D43" s="620"/>
      <c r="E43" s="620"/>
      <c r="F43" s="620"/>
      <c r="G43" s="620"/>
      <c r="H43" s="620"/>
      <c r="I43" s="65"/>
      <c r="J43" s="65"/>
      <c r="K43" s="65"/>
    </row>
    <row r="44" spans="1:8" ht="15">
      <c r="A44" s="4"/>
      <c r="B44" s="4"/>
      <c r="C44" s="101"/>
      <c r="D44" s="593"/>
      <c r="E44" s="4"/>
      <c r="F44" s="4"/>
      <c r="G44" s="4"/>
      <c r="H44" s="4"/>
    </row>
  </sheetData>
  <sheetProtection/>
  <mergeCells count="11">
    <mergeCell ref="A2:H2"/>
    <mergeCell ref="A5:H5"/>
    <mergeCell ref="A7:H7"/>
    <mergeCell ref="A8:H8"/>
    <mergeCell ref="A4:H4"/>
    <mergeCell ref="A6:H6"/>
    <mergeCell ref="A43:H43"/>
    <mergeCell ref="J23:M23"/>
    <mergeCell ref="J32:M32"/>
    <mergeCell ref="J26:M26"/>
    <mergeCell ref="A41:B41"/>
  </mergeCells>
  <printOptions/>
  <pageMargins left="0.5" right="0.5" top="1" bottom="0.5" header="0.5" footer="0.5"/>
  <pageSetup blackAndWhite="1" fitToHeight="1" fitToWidth="1" horizontalDpi="600" verticalDpi="600" orientation="portrait" scale="66"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1">
      <selection activeCell="E17" sqref="E17"/>
    </sheetView>
  </sheetViews>
  <sheetFormatPr defaultColWidth="8.8984375" defaultRowHeight="15"/>
  <cols>
    <col min="1" max="1" width="15.69921875" style="65" customWidth="1"/>
    <col min="2" max="2" width="20.69921875" style="65" customWidth="1"/>
    <col min="3" max="3" width="9.69921875" style="65" customWidth="1"/>
    <col min="4" max="4" width="15.09765625" style="65" customWidth="1"/>
    <col min="5" max="5" width="15.69921875" style="65" customWidth="1"/>
    <col min="6" max="16384" width="8.8984375" style="65" customWidth="1"/>
  </cols>
  <sheetData>
    <row r="1" spans="1:5" ht="15">
      <c r="A1" s="66" t="str">
        <f>inputPrYr!$D$2</f>
        <v>City of Toronto</v>
      </c>
      <c r="B1" s="67"/>
      <c r="C1" s="67"/>
      <c r="D1" s="67"/>
      <c r="E1" s="68">
        <f>inputPrYr!C5</f>
        <v>2014</v>
      </c>
    </row>
    <row r="2" spans="1:5" ht="15">
      <c r="A2" s="67"/>
      <c r="B2" s="67"/>
      <c r="C2" s="67"/>
      <c r="D2" s="67"/>
      <c r="E2" s="67"/>
    </row>
    <row r="3" spans="1:5" ht="15">
      <c r="A3" s="600" t="s">
        <v>203</v>
      </c>
      <c r="B3" s="601"/>
      <c r="C3" s="601"/>
      <c r="D3" s="601"/>
      <c r="E3" s="601"/>
    </row>
    <row r="4" spans="1:5" ht="15">
      <c r="A4" s="17"/>
      <c r="B4" s="17"/>
      <c r="C4" s="17"/>
      <c r="D4" s="17"/>
      <c r="E4" s="17"/>
    </row>
    <row r="5" spans="1:5" ht="15">
      <c r="A5" s="17"/>
      <c r="B5" s="17"/>
      <c r="C5" s="17"/>
      <c r="D5" s="17"/>
      <c r="E5" s="17"/>
    </row>
    <row r="6" spans="1:5" ht="15">
      <c r="A6" s="20" t="str">
        <f>CONCATENATE("From the County Clerks ",E1," Budget Information:")</f>
        <v>From the County Clerks 2014 Budget Information:</v>
      </c>
      <c r="B6" s="21"/>
      <c r="C6" s="21"/>
      <c r="D6" s="4"/>
      <c r="E6" s="33"/>
    </row>
    <row r="7" spans="1:5" ht="15">
      <c r="A7" s="69" t="str">
        <f>CONCATENATE("Total Assessed Valuation for ",E1-1,"")</f>
        <v>Total Assessed Valuation for 2013</v>
      </c>
      <c r="B7" s="58"/>
      <c r="C7" s="58"/>
      <c r="D7" s="58"/>
      <c r="E7" s="32">
        <v>616274</v>
      </c>
    </row>
    <row r="8" spans="1:5" ht="15">
      <c r="A8" s="69" t="str">
        <f>CONCATENATE("New Improvements for ",E1-1,"")</f>
        <v>New Improvements for 2013</v>
      </c>
      <c r="B8" s="58"/>
      <c r="C8" s="58"/>
      <c r="D8" s="58"/>
      <c r="E8" s="70">
        <v>3249</v>
      </c>
    </row>
    <row r="9" spans="1:5" ht="15">
      <c r="A9" s="69" t="str">
        <f>CONCATENATE("Personal Property  excluding oil, gas, and mobile homes - ",E1-1,"")</f>
        <v>Personal Property  excluding oil, gas, and mobile homes - 2013</v>
      </c>
      <c r="B9" s="58"/>
      <c r="C9" s="58"/>
      <c r="D9" s="58"/>
      <c r="E9" s="70">
        <v>16943</v>
      </c>
    </row>
    <row r="10" spans="1:5" ht="15">
      <c r="A10" s="71" t="s">
        <v>155</v>
      </c>
      <c r="B10" s="58"/>
      <c r="C10" s="58"/>
      <c r="D10" s="58"/>
      <c r="E10" s="50"/>
    </row>
    <row r="11" spans="1:5" ht="15">
      <c r="A11" s="69" t="s">
        <v>135</v>
      </c>
      <c r="B11" s="58"/>
      <c r="C11" s="58"/>
      <c r="D11" s="58"/>
      <c r="E11" s="70"/>
    </row>
    <row r="12" spans="1:5" ht="15">
      <c r="A12" s="69" t="s">
        <v>136</v>
      </c>
      <c r="B12" s="58"/>
      <c r="C12" s="58"/>
      <c r="D12" s="58"/>
      <c r="E12" s="70"/>
    </row>
    <row r="13" spans="1:5" ht="15">
      <c r="A13" s="69" t="s">
        <v>137</v>
      </c>
      <c r="B13" s="58"/>
      <c r="C13" s="58"/>
      <c r="D13" s="58"/>
      <c r="E13" s="70"/>
    </row>
    <row r="14" spans="1:5" ht="15">
      <c r="A14" s="69" t="str">
        <f>CONCATENATE("Property that has changed in use for ",E1-1,"")</f>
        <v>Property that has changed in use for 2013</v>
      </c>
      <c r="B14" s="58"/>
      <c r="C14" s="58"/>
      <c r="D14" s="58"/>
      <c r="E14" s="70"/>
    </row>
    <row r="15" spans="1:5" ht="15">
      <c r="A15" s="69" t="str">
        <f>CONCATENATE("Personal Property excluding oil, gas, and mobile homes - ",E1-2,"")</f>
        <v>Personal Property excluding oil, gas, and mobile homes - 2012</v>
      </c>
      <c r="B15" s="58"/>
      <c r="C15" s="58"/>
      <c r="D15" s="58"/>
      <c r="E15" s="70">
        <v>15872</v>
      </c>
    </row>
    <row r="16" spans="1:5" ht="15">
      <c r="A16" s="69" t="str">
        <f>CONCATENATE("Gross earnings (intangible) tax estimate for ",E1,"")</f>
        <v>Gross earnings (intangible) tax estimate for 2014</v>
      </c>
      <c r="B16" s="58"/>
      <c r="C16" s="58"/>
      <c r="D16" s="59"/>
      <c r="E16" s="32"/>
    </row>
    <row r="17" spans="1:5" ht="15">
      <c r="A17" s="69" t="s">
        <v>156</v>
      </c>
      <c r="B17" s="58"/>
      <c r="C17" s="58"/>
      <c r="D17" s="58"/>
      <c r="E17" s="31"/>
    </row>
    <row r="18" spans="1:5" ht="15">
      <c r="A18" s="43"/>
      <c r="B18" s="42"/>
      <c r="C18" s="42"/>
      <c r="D18" s="42"/>
      <c r="E18" s="45"/>
    </row>
    <row r="19" spans="1:5" ht="15">
      <c r="A19" s="43" t="str">
        <f>CONCATENATE("Actual Tax Rates for the ",E1-1," Budget:")</f>
        <v>Actual Tax Rates for the 2013 Budget:</v>
      </c>
      <c r="B19" s="42"/>
      <c r="C19" s="42"/>
      <c r="D19" s="42"/>
      <c r="E19" s="40"/>
    </row>
    <row r="20" spans="1:5" ht="15">
      <c r="A20" s="607" t="s">
        <v>10</v>
      </c>
      <c r="B20" s="608"/>
      <c r="C20" s="72"/>
      <c r="D20" s="73" t="s">
        <v>61</v>
      </c>
      <c r="E20" s="40"/>
    </row>
    <row r="21" spans="1:5" ht="15">
      <c r="A21" s="36" t="str">
        <f>inputPrYr!B17</f>
        <v>General</v>
      </c>
      <c r="B21" s="37"/>
      <c r="C21" s="42"/>
      <c r="D21" s="74">
        <v>46.191</v>
      </c>
      <c r="E21" s="45"/>
    </row>
    <row r="22" spans="1:5" ht="15">
      <c r="A22" s="69" t="str">
        <f>inputPrYr!B18</f>
        <v>G. O. Bond and Interest</v>
      </c>
      <c r="B22" s="58"/>
      <c r="C22" s="42"/>
      <c r="D22" s="75">
        <v>34.999</v>
      </c>
      <c r="E22" s="45"/>
    </row>
    <row r="23" spans="1:5" ht="15">
      <c r="A23" s="69" t="str">
        <f>inputPrYr!B19</f>
        <v>Library</v>
      </c>
      <c r="B23" s="58"/>
      <c r="C23" s="42"/>
      <c r="D23" s="75">
        <v>4</v>
      </c>
      <c r="E23" s="45"/>
    </row>
    <row r="24" spans="1:5" ht="15">
      <c r="A24" s="69" t="str">
        <f>inputPrYr!B21</f>
        <v>Special Liabilty</v>
      </c>
      <c r="B24" s="58"/>
      <c r="C24" s="42"/>
      <c r="D24" s="75">
        <v>4</v>
      </c>
      <c r="E24" s="45"/>
    </row>
    <row r="25" spans="1:5" ht="15">
      <c r="A25" s="69"/>
      <c r="B25" s="58"/>
      <c r="C25" s="42"/>
      <c r="D25" s="75"/>
      <c r="E25" s="45"/>
    </row>
    <row r="26" spans="1:5" ht="15">
      <c r="A26" s="69"/>
      <c r="B26" s="76"/>
      <c r="C26" s="42"/>
      <c r="D26" s="77"/>
      <c r="E26" s="45"/>
    </row>
    <row r="27" spans="1:5" ht="15">
      <c r="A27" s="69"/>
      <c r="B27" s="76"/>
      <c r="C27" s="42"/>
      <c r="D27" s="77"/>
      <c r="E27" s="45"/>
    </row>
    <row r="28" spans="1:5" ht="15">
      <c r="A28" s="69"/>
      <c r="B28" s="76"/>
      <c r="C28" s="42"/>
      <c r="D28" s="77"/>
      <c r="E28" s="45"/>
    </row>
    <row r="29" spans="1:5" ht="15">
      <c r="A29" s="69"/>
      <c r="B29" s="76"/>
      <c r="C29" s="42"/>
      <c r="D29" s="77"/>
      <c r="E29" s="45"/>
    </row>
    <row r="30" spans="1:5" ht="15">
      <c r="A30" s="69"/>
      <c r="B30" s="76"/>
      <c r="C30" s="42"/>
      <c r="D30" s="77"/>
      <c r="E30" s="45"/>
    </row>
    <row r="31" spans="1:5" ht="15">
      <c r="A31" s="69"/>
      <c r="B31" s="76"/>
      <c r="C31" s="42"/>
      <c r="D31" s="77"/>
      <c r="E31" s="45"/>
    </row>
    <row r="32" spans="1:5" ht="15">
      <c r="A32" s="69"/>
      <c r="B32" s="58"/>
      <c r="C32" s="42"/>
      <c r="D32" s="77"/>
      <c r="E32" s="45"/>
    </row>
    <row r="33" spans="1:5" ht="15">
      <c r="A33" s="69"/>
      <c r="B33" s="37"/>
      <c r="C33" s="42"/>
      <c r="D33" s="77"/>
      <c r="E33" s="45"/>
    </row>
    <row r="34" spans="1:5" ht="15">
      <c r="A34" s="72"/>
      <c r="B34" s="37" t="s">
        <v>229</v>
      </c>
      <c r="C34" s="78"/>
      <c r="D34" s="53">
        <f>SUM(D21:D33)</f>
        <v>89.19</v>
      </c>
      <c r="E34" s="72"/>
    </row>
    <row r="35" spans="1:5" ht="15">
      <c r="A35" s="72"/>
      <c r="B35" s="72"/>
      <c r="C35" s="72"/>
      <c r="D35" s="72"/>
      <c r="E35" s="72"/>
    </row>
    <row r="36" spans="1:5" ht="15">
      <c r="A36" s="37" t="str">
        <f>CONCATENATE("Final Assessed Valuation from the November 1, ",E1-2," Abstract")</f>
        <v>Final Assessed Valuation from the November 1, 2012 Abstract</v>
      </c>
      <c r="B36" s="79"/>
      <c r="C36" s="79"/>
      <c r="D36" s="79"/>
      <c r="E36" s="31">
        <v>600989</v>
      </c>
    </row>
    <row r="37" spans="1:5" ht="15">
      <c r="A37" s="72"/>
      <c r="B37" s="72"/>
      <c r="C37" s="72"/>
      <c r="D37" s="72"/>
      <c r="E37" s="72"/>
    </row>
    <row r="38" spans="1:5" ht="15">
      <c r="A38" s="48" t="str">
        <f>CONCATENATE("From the County Treasurer's Budget Information - ",E1," Budget Year Estimates:")</f>
        <v>From the County Treasurer's Budget Information - 2014 Budget Year Estimates:</v>
      </c>
      <c r="B38" s="19"/>
      <c r="C38" s="19"/>
      <c r="D38" s="80"/>
      <c r="E38" s="33"/>
    </row>
    <row r="39" spans="1:5" ht="15">
      <c r="A39" s="36" t="s">
        <v>230</v>
      </c>
      <c r="B39" s="37"/>
      <c r="C39" s="37"/>
      <c r="D39" s="81"/>
      <c r="E39" s="32">
        <v>7218</v>
      </c>
    </row>
    <row r="40" spans="1:5" ht="15">
      <c r="A40" s="69" t="s">
        <v>231</v>
      </c>
      <c r="B40" s="58"/>
      <c r="C40" s="58"/>
      <c r="D40" s="82"/>
      <c r="E40" s="32">
        <v>197</v>
      </c>
    </row>
    <row r="41" spans="1:5" ht="15">
      <c r="A41" s="69" t="s">
        <v>157</v>
      </c>
      <c r="B41" s="58"/>
      <c r="C41" s="58"/>
      <c r="D41" s="82"/>
      <c r="E41" s="32">
        <v>1337</v>
      </c>
    </row>
    <row r="42" spans="1:5" ht="15">
      <c r="A42" s="69" t="s">
        <v>158</v>
      </c>
      <c r="B42" s="58"/>
      <c r="C42" s="58"/>
      <c r="D42" s="82"/>
      <c r="E42" s="32"/>
    </row>
    <row r="43" spans="1:5" ht="15">
      <c r="A43" s="69" t="s">
        <v>159</v>
      </c>
      <c r="B43" s="58"/>
      <c r="C43" s="58"/>
      <c r="D43" s="82"/>
      <c r="E43" s="32"/>
    </row>
    <row r="44" spans="1:5" ht="15">
      <c r="A44" s="4" t="s">
        <v>160</v>
      </c>
      <c r="B44" s="4"/>
      <c r="C44" s="4"/>
      <c r="D44" s="4"/>
      <c r="E44" s="4"/>
    </row>
    <row r="45" spans="1:5" ht="15">
      <c r="A45" s="6" t="s">
        <v>18</v>
      </c>
      <c r="B45" s="15"/>
      <c r="C45" s="15"/>
      <c r="D45" s="4"/>
      <c r="E45" s="4"/>
    </row>
    <row r="46" spans="1:5" ht="15">
      <c r="A46" s="43" t="str">
        <f>CONCATENATE("Actual Delinquency for ",E1-3," Tax - (rate .01213 = 1.213%, key in 1.2)")</f>
        <v>Actual Delinquency for 2011 Tax - (rate .01213 = 1.213%, key in 1.2)</v>
      </c>
      <c r="B46" s="42"/>
      <c r="C46" s="4"/>
      <c r="D46" s="4"/>
      <c r="E46" s="426">
        <v>0.0998</v>
      </c>
    </row>
    <row r="47" spans="1:5" ht="15">
      <c r="A47" s="314" t="s">
        <v>285</v>
      </c>
      <c r="B47" s="43"/>
      <c r="C47" s="42"/>
      <c r="D47" s="42"/>
      <c r="E47" s="427">
        <v>0</v>
      </c>
    </row>
    <row r="48" spans="1:5" ht="15">
      <c r="A48" s="83" t="s">
        <v>197</v>
      </c>
      <c r="B48" s="83"/>
      <c r="C48" s="84"/>
      <c r="D48" s="84"/>
      <c r="E48" s="85"/>
    </row>
    <row r="49" spans="1:5" ht="15">
      <c r="A49" s="4"/>
      <c r="B49" s="4"/>
      <c r="C49" s="4"/>
      <c r="D49" s="4"/>
      <c r="E49" s="4"/>
    </row>
    <row r="50" spans="1:5" ht="15">
      <c r="A50" s="86" t="s">
        <v>212</v>
      </c>
      <c r="B50" s="87"/>
      <c r="C50" s="88"/>
      <c r="D50" s="88"/>
      <c r="E50" s="88"/>
    </row>
    <row r="51" spans="1:5" ht="15">
      <c r="A51" s="89" t="str">
        <f>CONCATENATE("",E1," State Distribution for Kansas Gas Tax")</f>
        <v>2014 State Distribution for Kansas Gas Tax</v>
      </c>
      <c r="B51" s="90"/>
      <c r="C51" s="90"/>
      <c r="D51" s="91"/>
      <c r="E51" s="31">
        <v>7290</v>
      </c>
    </row>
    <row r="52" spans="1:5" ht="15">
      <c r="A52" s="92" t="str">
        <f>CONCATENATE("",E1," County Transfers for Gas***")</f>
        <v>2014 County Transfers for Gas***</v>
      </c>
      <c r="B52" s="93"/>
      <c r="C52" s="93"/>
      <c r="D52" s="94"/>
      <c r="E52" s="31"/>
    </row>
    <row r="53" spans="1:5" ht="15">
      <c r="A53" s="92" t="str">
        <f>CONCATENATE("Adjusted ",E1-1," State Distribution for Kansas Gas Tax")</f>
        <v>Adjusted 2013 State Distribution for Kansas Gas Tax</v>
      </c>
      <c r="B53" s="93"/>
      <c r="C53" s="93"/>
      <c r="D53" s="94"/>
      <c r="E53" s="31">
        <v>7040</v>
      </c>
    </row>
    <row r="54" spans="1:5" ht="15">
      <c r="A54" s="92" t="str">
        <f>CONCATENATE("Adjusted ",E1-1," County Transfers for Gas***")</f>
        <v>Adjusted 2013 County Transfers for Gas***</v>
      </c>
      <c r="B54" s="93"/>
      <c r="C54" s="93"/>
      <c r="D54" s="94"/>
      <c r="E54" s="31"/>
    </row>
    <row r="55" spans="1:5" ht="15">
      <c r="A55" s="609" t="s">
        <v>200</v>
      </c>
      <c r="B55" s="610"/>
      <c r="C55" s="610"/>
      <c r="D55" s="610"/>
      <c r="E55" s="610"/>
    </row>
    <row r="56" spans="1:5" ht="15">
      <c r="A56" s="95" t="s">
        <v>201</v>
      </c>
      <c r="B56" s="95"/>
      <c r="C56" s="95"/>
      <c r="D56" s="95"/>
      <c r="E56" s="95"/>
    </row>
    <row r="57" spans="1:5" ht="15">
      <c r="A57" s="67"/>
      <c r="B57" s="67"/>
      <c r="C57" s="67"/>
      <c r="D57" s="67"/>
      <c r="E57" s="67"/>
    </row>
    <row r="58" spans="1:5" ht="15">
      <c r="A58" s="611" t="str">
        <f>CONCATENATE("From the ",E1-2," Budget Certificate Page")</f>
        <v>From the 2012 Budget Certificate Page</v>
      </c>
      <c r="B58" s="612"/>
      <c r="C58" s="67"/>
      <c r="D58" s="67"/>
      <c r="E58" s="67"/>
    </row>
    <row r="59" spans="1:5" ht="15">
      <c r="A59" s="96"/>
      <c r="B59" s="96" t="str">
        <f>CONCATENATE("",E1-2," Expenditure Amounts")</f>
        <v>2012 Expenditure Amounts</v>
      </c>
      <c r="C59" s="605" t="str">
        <f>CONCATENATE("Note: If the ",E1-2," budget was amended, then the")</f>
        <v>Note: If the 2012 budget was amended, then the</v>
      </c>
      <c r="D59" s="606"/>
      <c r="E59" s="606"/>
    </row>
    <row r="60" spans="1:5" ht="15">
      <c r="A60" s="97" t="s">
        <v>215</v>
      </c>
      <c r="B60" s="97" t="s">
        <v>216</v>
      </c>
      <c r="C60" s="98" t="s">
        <v>217</v>
      </c>
      <c r="D60" s="99"/>
      <c r="E60" s="99"/>
    </row>
    <row r="61" spans="1:5" ht="15">
      <c r="A61" s="100" t="str">
        <f>inputPrYr!B17</f>
        <v>General</v>
      </c>
      <c r="B61" s="31">
        <v>176760</v>
      </c>
      <c r="C61" s="98" t="s">
        <v>218</v>
      </c>
      <c r="D61" s="99"/>
      <c r="E61" s="99"/>
    </row>
    <row r="62" spans="1:5" ht="15">
      <c r="A62" s="100" t="str">
        <f>inputPrYr!B18</f>
        <v>G. O. Bond and Interest</v>
      </c>
      <c r="B62" s="31">
        <v>95736</v>
      </c>
      <c r="C62" s="98"/>
      <c r="D62" s="99"/>
      <c r="E62" s="99"/>
    </row>
    <row r="63" spans="1:5" ht="15">
      <c r="A63" s="100" t="str">
        <f>inputPrYr!B19</f>
        <v>Library</v>
      </c>
      <c r="B63" s="31">
        <v>3177</v>
      </c>
      <c r="C63" s="67"/>
      <c r="D63" s="67"/>
      <c r="E63" s="67"/>
    </row>
    <row r="64" spans="1:5" ht="15">
      <c r="A64" s="100" t="str">
        <f>inputPrYr!B21</f>
        <v>Special Liabilty</v>
      </c>
      <c r="B64" s="31">
        <v>13548</v>
      </c>
      <c r="C64" s="67"/>
      <c r="D64" s="67"/>
      <c r="E64" s="67"/>
    </row>
    <row r="65" spans="1:5" ht="15">
      <c r="A65" s="100"/>
      <c r="B65" s="31"/>
      <c r="C65" s="67"/>
      <c r="D65" s="67"/>
      <c r="E65" s="67"/>
    </row>
    <row r="66" spans="1:5" ht="15">
      <c r="A66" s="100"/>
      <c r="B66" s="31"/>
      <c r="C66" s="67"/>
      <c r="D66" s="67"/>
      <c r="E66" s="67"/>
    </row>
    <row r="67" spans="1:5" ht="15">
      <c r="A67" s="100"/>
      <c r="B67" s="31"/>
      <c r="C67" s="67"/>
      <c r="D67" s="67"/>
      <c r="E67" s="67"/>
    </row>
    <row r="68" spans="1:5" ht="15">
      <c r="A68" s="100"/>
      <c r="B68" s="31"/>
      <c r="C68" s="67"/>
      <c r="D68" s="67"/>
      <c r="E68" s="67"/>
    </row>
    <row r="69" spans="1:5" ht="15">
      <c r="A69" s="100"/>
      <c r="B69" s="31"/>
      <c r="C69" s="67"/>
      <c r="D69" s="67"/>
      <c r="E69" s="67"/>
    </row>
    <row r="70" spans="1:5" ht="15">
      <c r="A70" s="100"/>
      <c r="B70" s="31"/>
      <c r="C70" s="67"/>
      <c r="D70" s="67"/>
      <c r="E70" s="67"/>
    </row>
    <row r="71" spans="1:5" ht="15">
      <c r="A71" s="100"/>
      <c r="B71" s="31"/>
      <c r="C71" s="67"/>
      <c r="D71" s="67"/>
      <c r="E71" s="67"/>
    </row>
    <row r="72" spans="1:5" ht="15">
      <c r="A72" s="100"/>
      <c r="B72" s="31"/>
      <c r="C72" s="67"/>
      <c r="D72" s="67"/>
      <c r="E72" s="67"/>
    </row>
    <row r="73" spans="1:5" ht="15">
      <c r="A73" s="100"/>
      <c r="B73" s="31"/>
      <c r="C73" s="67"/>
      <c r="D73" s="67"/>
      <c r="E73" s="67"/>
    </row>
    <row r="74" spans="1:5" ht="15">
      <c r="A74" s="100" t="str">
        <f>inputPrYr!B34</f>
        <v>Special Highway</v>
      </c>
      <c r="B74" s="31">
        <v>22415</v>
      </c>
      <c r="C74" s="67"/>
      <c r="D74" s="67"/>
      <c r="E74" s="67"/>
    </row>
    <row r="75" spans="1:5" ht="15">
      <c r="A75" s="100" t="str">
        <f>inputPrYr!B35</f>
        <v>911 Emergency System</v>
      </c>
      <c r="B75" s="31">
        <v>5824</v>
      </c>
      <c r="C75" s="67"/>
      <c r="D75" s="67"/>
      <c r="E75" s="67"/>
    </row>
    <row r="76" spans="1:5" ht="15">
      <c r="A76" s="100" t="str">
        <f>inputPrYr!B36</f>
        <v>Water Utility</v>
      </c>
      <c r="B76" s="31">
        <v>109964</v>
      </c>
      <c r="C76" s="67"/>
      <c r="D76" s="67"/>
      <c r="E76" s="67"/>
    </row>
    <row r="77" spans="1:5" ht="15">
      <c r="A77" s="100" t="str">
        <f>inputPrYr!B37</f>
        <v>Sewer Utility</v>
      </c>
      <c r="B77" s="31">
        <v>92954</v>
      </c>
      <c r="C77" s="67"/>
      <c r="D77" s="67"/>
      <c r="E77" s="67"/>
    </row>
    <row r="78" spans="1:5" ht="15">
      <c r="A78" s="100" t="str">
        <f>inputPrYr!B38</f>
        <v>Electric Utility</v>
      </c>
      <c r="B78" s="31">
        <v>432077</v>
      </c>
      <c r="C78" s="67"/>
      <c r="D78" s="67"/>
      <c r="E78" s="67"/>
    </row>
    <row r="79" spans="1:5" ht="15">
      <c r="A79" s="100"/>
      <c r="B79" s="31"/>
      <c r="C79" s="67"/>
      <c r="D79" s="67"/>
      <c r="E79" s="67"/>
    </row>
    <row r="80" spans="1:5" ht="15">
      <c r="A80" s="100"/>
      <c r="B80" s="31"/>
      <c r="C80" s="67"/>
      <c r="D80" s="67"/>
      <c r="E80" s="67"/>
    </row>
    <row r="81" spans="1:5" ht="15">
      <c r="A81" s="100"/>
      <c r="B81" s="31"/>
      <c r="C81" s="67"/>
      <c r="D81" s="67"/>
      <c r="E81" s="67"/>
    </row>
    <row r="82" spans="1:5" ht="15">
      <c r="A82" s="100"/>
      <c r="B82" s="31"/>
      <c r="C82" s="67"/>
      <c r="D82" s="67"/>
      <c r="E82" s="67"/>
    </row>
    <row r="83" spans="1:5" ht="15">
      <c r="A83" s="100"/>
      <c r="B83" s="31"/>
      <c r="C83" s="67"/>
      <c r="D83" s="67"/>
      <c r="E83" s="67"/>
    </row>
    <row r="84" spans="1:5" ht="15">
      <c r="A84" s="100"/>
      <c r="B84" s="31"/>
      <c r="C84" s="67"/>
      <c r="D84" s="67"/>
      <c r="E84" s="67"/>
    </row>
    <row r="85" spans="1:5" ht="15">
      <c r="A85" s="100"/>
      <c r="B85" s="31"/>
      <c r="C85" s="67"/>
      <c r="D85" s="67"/>
      <c r="E85" s="67"/>
    </row>
  </sheetData>
  <sheetProtection/>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52" r:id="rId1"/>
</worksheet>
</file>

<file path=xl/worksheets/sheet3.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3" sqref="B3"/>
    </sheetView>
  </sheetViews>
  <sheetFormatPr defaultColWidth="8.8984375" defaultRowHeight="15"/>
  <cols>
    <col min="1" max="1" width="13.69921875" style="503" customWidth="1"/>
    <col min="2" max="2" width="16.09765625" style="503" customWidth="1"/>
    <col min="3" max="16384" width="8.8984375" style="503" customWidth="1"/>
  </cols>
  <sheetData>
    <row r="1" ht="15">
      <c r="J1" s="502" t="s">
        <v>341</v>
      </c>
    </row>
    <row r="2" spans="1:10" ht="54" customHeight="1">
      <c r="A2" s="613" t="s">
        <v>237</v>
      </c>
      <c r="B2" s="614"/>
      <c r="C2" s="614"/>
      <c r="D2" s="614"/>
      <c r="E2" s="614"/>
      <c r="F2" s="614"/>
      <c r="J2" s="502" t="s">
        <v>342</v>
      </c>
    </row>
    <row r="3" spans="1:10" ht="15">
      <c r="A3" s="501" t="s">
        <v>343</v>
      </c>
      <c r="B3" s="536"/>
      <c r="C3" s="536"/>
      <c r="J3" s="502" t="s">
        <v>344</v>
      </c>
    </row>
    <row r="4" spans="1:10" ht="15">
      <c r="A4" s="501"/>
      <c r="B4" s="543"/>
      <c r="J4" s="502" t="s">
        <v>345</v>
      </c>
    </row>
    <row r="5" spans="1:10" ht="15">
      <c r="A5" s="501" t="s">
        <v>261</v>
      </c>
      <c r="B5" s="536" t="s">
        <v>151</v>
      </c>
      <c r="J5" s="502" t="s">
        <v>346</v>
      </c>
    </row>
    <row r="6" spans="1:10" ht="15">
      <c r="A6" s="508"/>
      <c r="B6" s="508"/>
      <c r="C6" s="508"/>
      <c r="D6" s="535" t="s">
        <v>347</v>
      </c>
      <c r="E6" s="508"/>
      <c r="F6" s="508"/>
      <c r="J6" s="502" t="s">
        <v>348</v>
      </c>
    </row>
    <row r="7" spans="1:10" ht="15">
      <c r="A7" s="535" t="s">
        <v>238</v>
      </c>
      <c r="B7" s="536" t="s">
        <v>441</v>
      </c>
      <c r="C7" s="509"/>
      <c r="D7" s="500" t="str">
        <f>IF(B7="","",CONCATENATE("Latest date for notice to be published in your newspaper: ",G18," ",G22,", ",G23))</f>
        <v>Latest date for notice to be published in your newspaper: July 29, 2013</v>
      </c>
      <c r="E7" s="508"/>
      <c r="F7" s="508"/>
      <c r="J7" s="502" t="s">
        <v>349</v>
      </c>
    </row>
    <row r="8" spans="1:10" ht="15">
      <c r="A8" s="535"/>
      <c r="B8" s="510"/>
      <c r="C8" s="511"/>
      <c r="D8" s="535"/>
      <c r="E8" s="508"/>
      <c r="F8" s="508"/>
      <c r="J8" s="502" t="s">
        <v>350</v>
      </c>
    </row>
    <row r="9" spans="1:10" ht="15">
      <c r="A9" s="535" t="s">
        <v>239</v>
      </c>
      <c r="B9" s="536" t="s">
        <v>442</v>
      </c>
      <c r="C9" s="512"/>
      <c r="D9" s="535"/>
      <c r="E9" s="508"/>
      <c r="F9" s="508"/>
      <c r="J9" s="502" t="s">
        <v>351</v>
      </c>
    </row>
    <row r="10" spans="1:10" ht="15">
      <c r="A10" s="535"/>
      <c r="B10" s="535"/>
      <c r="C10" s="535"/>
      <c r="D10" s="535"/>
      <c r="E10" s="508"/>
      <c r="F10" s="508"/>
      <c r="J10" s="502" t="s">
        <v>352</v>
      </c>
    </row>
    <row r="11" spans="1:10" ht="15">
      <c r="A11" s="535" t="s">
        <v>240</v>
      </c>
      <c r="B11" s="537" t="s">
        <v>368</v>
      </c>
      <c r="C11" s="537"/>
      <c r="D11" s="537"/>
      <c r="E11" s="513"/>
      <c r="F11" s="508"/>
      <c r="J11" s="502" t="s">
        <v>353</v>
      </c>
    </row>
    <row r="12" spans="1:10" ht="15">
      <c r="A12" s="535"/>
      <c r="B12" s="535"/>
      <c r="C12" s="535"/>
      <c r="D12" s="535"/>
      <c r="E12" s="508"/>
      <c r="F12" s="508"/>
      <c r="J12" s="502" t="s">
        <v>354</v>
      </c>
    </row>
    <row r="13" spans="1:6" ht="15">
      <c r="A13" s="535"/>
      <c r="B13" s="535"/>
      <c r="C13" s="535"/>
      <c r="D13" s="535"/>
      <c r="E13" s="508"/>
      <c r="F13" s="508"/>
    </row>
    <row r="14" spans="1:6" ht="15">
      <c r="A14" s="535" t="s">
        <v>241</v>
      </c>
      <c r="B14" s="537" t="s">
        <v>368</v>
      </c>
      <c r="C14" s="537"/>
      <c r="D14" s="537"/>
      <c r="E14" s="513"/>
      <c r="F14" s="508"/>
    </row>
    <row r="17" spans="1:6" ht="15">
      <c r="A17" s="615" t="s">
        <v>242</v>
      </c>
      <c r="B17" s="615"/>
      <c r="C17" s="535"/>
      <c r="D17" s="535"/>
      <c r="E17" s="535"/>
      <c r="F17" s="508"/>
    </row>
    <row r="18" spans="1:7" ht="15">
      <c r="A18" s="535"/>
      <c r="B18" s="535"/>
      <c r="C18" s="535"/>
      <c r="D18" s="535"/>
      <c r="E18" s="535"/>
      <c r="F18" s="508"/>
      <c r="G18" s="502" t="str">
        <f ca="1">IF(B7="","",INDIRECT(G19))</f>
        <v>July</v>
      </c>
    </row>
    <row r="19" spans="1:7" ht="15">
      <c r="A19" s="535" t="s">
        <v>261</v>
      </c>
      <c r="B19" s="535" t="s">
        <v>265</v>
      </c>
      <c r="C19" s="535"/>
      <c r="D19" s="535"/>
      <c r="E19" s="535"/>
      <c r="F19" s="508"/>
      <c r="G19" s="538" t="str">
        <f>IF(B7="","",CONCATENATE("J",G21))</f>
        <v>J7</v>
      </c>
    </row>
    <row r="20" spans="1:7" ht="15">
      <c r="A20" s="535"/>
      <c r="B20" s="535"/>
      <c r="C20" s="535"/>
      <c r="D20" s="535"/>
      <c r="E20" s="535"/>
      <c r="F20" s="508"/>
      <c r="G20" s="539">
        <f>B7-10</f>
        <v>41484</v>
      </c>
    </row>
    <row r="21" spans="1:7" ht="15">
      <c r="A21" s="535" t="s">
        <v>238</v>
      </c>
      <c r="B21" s="510" t="s">
        <v>243</v>
      </c>
      <c r="C21" s="535"/>
      <c r="D21" s="535"/>
      <c r="E21" s="535"/>
      <c r="G21" s="540">
        <f>IF(B7="","",MONTH(G20))</f>
        <v>7</v>
      </c>
    </row>
    <row r="22" spans="1:7" ht="15">
      <c r="A22" s="535"/>
      <c r="B22" s="535"/>
      <c r="C22" s="535"/>
      <c r="D22" s="535"/>
      <c r="E22" s="535"/>
      <c r="G22" s="541">
        <f>IF(B7="","",DAY(G20))</f>
        <v>29</v>
      </c>
    </row>
    <row r="23" spans="1:7" ht="15">
      <c r="A23" s="535" t="s">
        <v>239</v>
      </c>
      <c r="B23" s="535" t="s">
        <v>244</v>
      </c>
      <c r="C23" s="535"/>
      <c r="D23" s="535"/>
      <c r="E23" s="535"/>
      <c r="G23" s="542">
        <f>IF(B7="","",YEAR(G20))</f>
        <v>2013</v>
      </c>
    </row>
    <row r="24" spans="1:5" ht="15">
      <c r="A24" s="535"/>
      <c r="B24" s="535"/>
      <c r="C24" s="535"/>
      <c r="D24" s="535"/>
      <c r="E24" s="535"/>
    </row>
    <row r="25" spans="1:5" ht="15">
      <c r="A25" s="535" t="s">
        <v>240</v>
      </c>
      <c r="B25" s="535" t="s">
        <v>245</v>
      </c>
      <c r="C25" s="535"/>
      <c r="D25" s="535"/>
      <c r="E25" s="535"/>
    </row>
    <row r="26" spans="1:5" ht="15">
      <c r="A26" s="535"/>
      <c r="B26" s="535"/>
      <c r="C26" s="535"/>
      <c r="D26" s="535"/>
      <c r="E26" s="535"/>
    </row>
    <row r="27" spans="1:5" ht="15">
      <c r="A27" s="535" t="s">
        <v>241</v>
      </c>
      <c r="B27" s="535" t="s">
        <v>245</v>
      </c>
      <c r="C27" s="535"/>
      <c r="D27" s="535"/>
      <c r="E27" s="535"/>
    </row>
  </sheetData>
  <sheetProtection/>
  <mergeCells count="2">
    <mergeCell ref="A2:F2"/>
    <mergeCell ref="A17:B17"/>
  </mergeCells>
  <printOptions/>
  <pageMargins left="0.7" right="0.7" top="0.75" bottom="0.75" header="0.3" footer="0.3"/>
  <pageSetup blackAndWhite="1" fitToHeight="1" fitToWidth="1" horizontalDpi="600" verticalDpi="600" orientation="portrait" scale="64" r:id="rId1"/>
</worksheet>
</file>

<file path=xl/worksheets/sheet4.xml><?xml version="1.0" encoding="utf-8"?>
<worksheet xmlns="http://schemas.openxmlformats.org/spreadsheetml/2006/main" xmlns:r="http://schemas.openxmlformats.org/officeDocument/2006/relationships">
  <sheetPr>
    <pageSetUpPr fitToPage="1"/>
  </sheetPr>
  <dimension ref="B1:G92"/>
  <sheetViews>
    <sheetView zoomScalePageLayoutView="0" workbookViewId="0" topLeftCell="A44">
      <selection activeCell="B65" sqref="B65"/>
    </sheetView>
  </sheetViews>
  <sheetFormatPr defaultColWidth="8.8984375" defaultRowHeight="15"/>
  <cols>
    <col min="1" max="1" width="8.8984375" style="65" customWidth="1"/>
    <col min="2" max="2" width="24.3984375" style="5" customWidth="1"/>
    <col min="3" max="3" width="10.69921875" style="5" customWidth="1"/>
    <col min="4" max="4" width="5.69921875" style="5" customWidth="1"/>
    <col min="5" max="5" width="14" style="5" customWidth="1"/>
    <col min="6" max="7" width="13.69921875" style="5" customWidth="1"/>
    <col min="8" max="16384" width="8.8984375" style="65" customWidth="1"/>
  </cols>
  <sheetData>
    <row r="1" spans="2:7" ht="15">
      <c r="B1" s="4"/>
      <c r="C1" s="4"/>
      <c r="D1" s="4"/>
      <c r="E1" s="4"/>
      <c r="F1" s="4"/>
      <c r="G1" s="4">
        <f>inputPrYr!C5</f>
        <v>2014</v>
      </c>
    </row>
    <row r="2" spans="2:7" ht="15">
      <c r="B2" s="4"/>
      <c r="C2" s="4"/>
      <c r="D2" s="6" t="s">
        <v>82</v>
      </c>
      <c r="E2" s="4"/>
      <c r="F2" s="4"/>
      <c r="G2" s="101"/>
    </row>
    <row r="3" spans="2:7" ht="15">
      <c r="B3" s="618" t="str">
        <f>CONCATENATE("To the Clerk of ",inputPrYr!D3,", State of Kansas")</f>
        <v>To the Clerk of Woodson, State of Kansas</v>
      </c>
      <c r="C3" s="608"/>
      <c r="D3" s="608"/>
      <c r="E3" s="608"/>
      <c r="F3" s="608"/>
      <c r="G3" s="608"/>
    </row>
    <row r="4" spans="2:7" ht="15">
      <c r="B4" s="16" t="s">
        <v>254</v>
      </c>
      <c r="C4" s="15"/>
      <c r="D4" s="15"/>
      <c r="E4" s="15"/>
      <c r="F4" s="15"/>
      <c r="G4" s="15"/>
    </row>
    <row r="5" spans="2:7" ht="15">
      <c r="B5" s="616" t="str">
        <f>(inputPrYr!D2)</f>
        <v>City of Toronto</v>
      </c>
      <c r="C5" s="617"/>
      <c r="D5" s="617"/>
      <c r="E5" s="617"/>
      <c r="F5" s="617"/>
      <c r="G5" s="617"/>
    </row>
    <row r="6" spans="2:7" ht="15">
      <c r="B6" s="16" t="s">
        <v>232</v>
      </c>
      <c r="C6" s="15"/>
      <c r="D6" s="15"/>
      <c r="E6" s="15"/>
      <c r="F6" s="15"/>
      <c r="G6" s="15"/>
    </row>
    <row r="7" spans="2:7" ht="15">
      <c r="B7" s="16" t="s">
        <v>0</v>
      </c>
      <c r="C7" s="15"/>
      <c r="D7" s="15"/>
      <c r="E7" s="15"/>
      <c r="F7" s="15"/>
      <c r="G7" s="15"/>
    </row>
    <row r="8" spans="2:7" ht="15">
      <c r="B8" s="16" t="str">
        <f>CONCATENATE("maximum expenditures for the various funds for the year ",G1,"; and")</f>
        <v>maximum expenditures for the various funds for the year 2014; and</v>
      </c>
      <c r="C8" s="15"/>
      <c r="D8" s="15"/>
      <c r="E8" s="15"/>
      <c r="F8" s="15"/>
      <c r="G8" s="15"/>
    </row>
    <row r="9" spans="2:7" ht="15">
      <c r="B9" s="16" t="str">
        <f>CONCATENATE("(3) the Amount(s) of ",G1-1," Ad Valorem Tax are within statutory limitations.")</f>
        <v>(3) the Amount(s) of 2013 Ad Valorem Tax are within statutory limitations.</v>
      </c>
      <c r="C9" s="15"/>
      <c r="D9" s="15"/>
      <c r="E9" s="15"/>
      <c r="F9" s="15"/>
      <c r="G9" s="15"/>
    </row>
    <row r="10" spans="2:7" ht="15">
      <c r="B10" s="4"/>
      <c r="C10" s="4"/>
      <c r="D10" s="4"/>
      <c r="E10" s="102" t="str">
        <f>CONCATENATE("",G1," Adopted Budget")</f>
        <v>2014 Adopted Budget</v>
      </c>
      <c r="F10" s="103"/>
      <c r="G10" s="104"/>
    </row>
    <row r="11" spans="2:7" ht="21" customHeight="1">
      <c r="B11" s="4"/>
      <c r="C11" s="4"/>
      <c r="D11" s="105"/>
      <c r="E11" s="106" t="s">
        <v>1</v>
      </c>
      <c r="F11" s="107" t="s">
        <v>170</v>
      </c>
      <c r="G11" s="107" t="s">
        <v>2</v>
      </c>
    </row>
    <row r="12" spans="2:7" ht="15">
      <c r="B12" s="11"/>
      <c r="C12" s="4"/>
      <c r="D12" s="107" t="s">
        <v>3</v>
      </c>
      <c r="E12" s="108" t="s">
        <v>216</v>
      </c>
      <c r="F12" s="109" t="str">
        <f>CONCATENATE("",G1-1," Ad")</f>
        <v>2013 Ad</v>
      </c>
      <c r="G12" s="108" t="s">
        <v>4</v>
      </c>
    </row>
    <row r="13" spans="2:7" ht="15">
      <c r="B13" s="110" t="s">
        <v>5</v>
      </c>
      <c r="C13" s="37"/>
      <c r="D13" s="111" t="s">
        <v>6</v>
      </c>
      <c r="E13" s="111" t="s">
        <v>262</v>
      </c>
      <c r="F13" s="112" t="s">
        <v>171</v>
      </c>
      <c r="G13" s="111" t="s">
        <v>7</v>
      </c>
    </row>
    <row r="14" spans="2:7" ht="15">
      <c r="B14" s="113" t="str">
        <f>CONCATENATE("Computation to Determine Limit for ",G1,"")</f>
        <v>Computation to Determine Limit for 2014</v>
      </c>
      <c r="C14" s="59"/>
      <c r="D14" s="114">
        <v>2</v>
      </c>
      <c r="E14" s="115"/>
      <c r="F14" s="115"/>
      <c r="G14" s="115"/>
    </row>
    <row r="15" spans="2:7" ht="15">
      <c r="B15" s="113" t="s">
        <v>278</v>
      </c>
      <c r="C15" s="37"/>
      <c r="D15" s="111">
        <v>3</v>
      </c>
      <c r="E15" s="108"/>
      <c r="F15" s="108"/>
      <c r="G15" s="108"/>
    </row>
    <row r="16" spans="2:7" ht="15">
      <c r="B16" s="113" t="s">
        <v>146</v>
      </c>
      <c r="C16" s="37"/>
      <c r="D16" s="111">
        <v>4</v>
      </c>
      <c r="E16" s="108"/>
      <c r="F16" s="108"/>
      <c r="G16" s="108"/>
    </row>
    <row r="17" spans="2:7" ht="15">
      <c r="B17" s="113" t="s">
        <v>8</v>
      </c>
      <c r="C17" s="59"/>
      <c r="D17" s="114">
        <v>5</v>
      </c>
      <c r="E17" s="116"/>
      <c r="F17" s="116"/>
      <c r="G17" s="116"/>
    </row>
    <row r="18" spans="2:7" ht="15">
      <c r="B18" s="113" t="s">
        <v>9</v>
      </c>
      <c r="C18" s="59"/>
      <c r="D18" s="114">
        <v>6</v>
      </c>
      <c r="E18" s="116"/>
      <c r="F18" s="116"/>
      <c r="G18" s="116"/>
    </row>
    <row r="19" spans="2:7" ht="15">
      <c r="B19" s="124" t="str">
        <f>IF(inputPrYr!D19="","","Computation to Determine State Library Grant")</f>
        <v>Computation to Determine State Library Grant</v>
      </c>
      <c r="C19" s="59"/>
      <c r="D19" s="122">
        <f>IF(inputPrYr!D19="","",'Library Grant '!F40)</f>
        <v>7</v>
      </c>
      <c r="E19" s="116"/>
      <c r="F19" s="116"/>
      <c r="G19" s="116"/>
    </row>
    <row r="20" spans="2:7" ht="15">
      <c r="B20" s="117" t="s">
        <v>10</v>
      </c>
      <c r="C20" s="118" t="s">
        <v>11</v>
      </c>
      <c r="D20" s="119"/>
      <c r="E20" s="51"/>
      <c r="F20" s="51"/>
      <c r="G20" s="51"/>
    </row>
    <row r="21" spans="2:7" ht="15">
      <c r="B21" s="29" t="str">
        <f>inputPrYr!B17</f>
        <v>General</v>
      </c>
      <c r="C21" s="120" t="str">
        <f>IF(inputPrYr!C17&gt;0,(inputPrYr!C17),"  ")</f>
        <v>12-101a</v>
      </c>
      <c r="D21" s="114">
        <f>IF(general!D59&gt;0,general!D59,"")</f>
        <v>8</v>
      </c>
      <c r="E21" s="380">
        <f>IF(general!$E$111&lt;&gt;0,general!$E$111,"  ")</f>
        <v>176776</v>
      </c>
      <c r="F21" s="397">
        <f>IF(general!$E$118&lt;&gt;0,general!$E$118,0)</f>
        <v>27868</v>
      </c>
      <c r="G21" s="396">
        <f>IF($G$50=0,"",ROUND(F21/$G$50*1000,3))</f>
      </c>
    </row>
    <row r="22" spans="2:7" ht="15">
      <c r="B22" s="50" t="str">
        <f>IF(inputPrYr!$B18&gt;"  ",(inputPrYr!$B18),"  ")</f>
        <v>G. O. Bond and Interest</v>
      </c>
      <c r="C22" s="120" t="str">
        <f>IF(inputPrYr!C18&gt;0,(inputPrYr!C18),"  ")</f>
        <v>10-113</v>
      </c>
      <c r="D22" s="114">
        <f>IF('DebtSvs-Library'!C83=0,"",'DebtSvs-Library'!C83)</f>
        <v>9</v>
      </c>
      <c r="E22" s="380">
        <f>IF('DebtSvs-Library'!E33&lt;&gt;0,'DebtSvs-Library'!E33,"  ")</f>
        <v>86035</v>
      </c>
      <c r="F22" s="397">
        <f>IF('DebtSvs-Library'!E40&lt;&gt;0,'DebtSvs-Library'!E40,0)</f>
        <v>21569</v>
      </c>
      <c r="G22" s="396">
        <f>IF($G$50=0,"",ROUND(F22/$G$50*1000,3))</f>
      </c>
    </row>
    <row r="23" spans="2:7" ht="15">
      <c r="B23" s="50" t="str">
        <f>IF(inputPrYr!$B19&gt;"  ",(inputPrYr!$B19),"  ")</f>
        <v>Library</v>
      </c>
      <c r="C23" s="120" t="str">
        <f>IF(inputPrYr!C19&gt;0,(inputPrYr!C19),"  ")</f>
        <v>12-1220</v>
      </c>
      <c r="D23" s="114">
        <f>IF('DebtSvs-Library'!C83=0,"",'DebtSvs-Library'!C83)</f>
        <v>9</v>
      </c>
      <c r="E23" s="380">
        <f>IF('DebtSvs-Library'!E73&lt;&gt;0,'DebtSvs-Library'!E73,"  ")</f>
        <v>3432</v>
      </c>
      <c r="F23" s="397">
        <f>IF('DebtSvs-Library'!E80&lt;&gt;0,'DebtSvs-Library'!E80,0)</f>
        <v>2465</v>
      </c>
      <c r="G23" s="396">
        <f>IF($G$50=0,"",ROUND(F23/$G$50*1000,3))</f>
      </c>
    </row>
    <row r="24" spans="2:7" ht="15">
      <c r="B24" s="50" t="str">
        <f>IF(inputPrYr!$B21&gt;"  ",(inputPrYr!$B21),"  ")</f>
        <v>Special Liabilty</v>
      </c>
      <c r="C24" s="120" t="str">
        <f>IF(inputPrYr!C21&gt;0,(inputPrYr!C21),"  ")</f>
        <v>75-6110</v>
      </c>
      <c r="D24" s="114">
        <f>IF('Special Liabilty'!C83&gt;0,'Special Liabilty'!C83,"  ")</f>
        <v>10</v>
      </c>
      <c r="E24" s="380">
        <f>IF('Special Liabilty'!$E$33&gt;0,'Special Liabilty'!$E$33,"  ")</f>
        <v>15033</v>
      </c>
      <c r="F24" s="397">
        <f>IF('Special Liabilty'!$E$40&lt;&gt;0,'Special Liabilty'!$E$40,0)</f>
        <v>2465</v>
      </c>
      <c r="G24" s="396">
        <f aca="true" t="shared" si="0" ref="G24:G33">IF($G$50=0,"",ROUND(F24/$G$50*1000,3))</f>
      </c>
    </row>
    <row r="25" spans="2:7" ht="15">
      <c r="B25" s="50" t="str">
        <f>IF(inputPrYr!$B22&gt;"  ",(inputPrYr!$B22),"  ")</f>
        <v>  </v>
      </c>
      <c r="C25" s="120" t="str">
        <f>IF(inputPrYr!C22&gt;0,(inputPrYr!C22),"  ")</f>
        <v>  </v>
      </c>
      <c r="D25" s="114"/>
      <c r="E25" s="380" t="str">
        <f>IF('Special Liabilty'!$E$73&gt;0,'Special Liabilty'!$E$73,"  ")</f>
        <v>  </v>
      </c>
      <c r="F25" s="397">
        <f>IF('Special Liabilty'!$E$80&lt;&gt;0,'Special Liabilty'!$E$80,0)</f>
        <v>0</v>
      </c>
      <c r="G25" s="396">
        <f t="shared" si="0"/>
      </c>
    </row>
    <row r="26" spans="2:7" ht="15">
      <c r="B26" s="50" t="str">
        <f>IF(inputPrYr!$B23&gt;"  ",(inputPrYr!$B23),"  ")</f>
        <v>  </v>
      </c>
      <c r="C26" s="120" t="str">
        <f>IF(inputPrYr!C23&gt;0,(inputPrYr!C23),"  ")</f>
        <v>  </v>
      </c>
      <c r="D26" s="114"/>
      <c r="E26" s="380"/>
      <c r="F26" s="397"/>
      <c r="G26" s="396">
        <f t="shared" si="0"/>
      </c>
    </row>
    <row r="27" spans="2:7" ht="15">
      <c r="B27" s="50" t="str">
        <f>IF(inputPrYr!$B24&gt;"  ",(inputPrYr!$B24),"  ")</f>
        <v>  </v>
      </c>
      <c r="C27" s="120" t="str">
        <f>IF(inputPrYr!C24&gt;0,(inputPrYr!C24),"  ")</f>
        <v>  </v>
      </c>
      <c r="D27" s="114"/>
      <c r="E27" s="380"/>
      <c r="F27" s="397"/>
      <c r="G27" s="396">
        <f t="shared" si="0"/>
      </c>
    </row>
    <row r="28" spans="2:7" ht="15">
      <c r="B28" s="50" t="str">
        <f>IF(inputPrYr!$B25&gt;"  ",(inputPrYr!$B25),"  ")</f>
        <v>  </v>
      </c>
      <c r="C28" s="120" t="str">
        <f>IF(inputPrYr!C25&gt;0,(inputPrYr!C25),"  ")</f>
        <v>  </v>
      </c>
      <c r="D28" s="114"/>
      <c r="E28" s="380"/>
      <c r="F28" s="397"/>
      <c r="G28" s="396">
        <f t="shared" si="0"/>
      </c>
    </row>
    <row r="29" spans="2:7" ht="15">
      <c r="B29" s="50" t="str">
        <f>IF(inputPrYr!$B26&gt;"  ",(inputPrYr!$B26),"  ")</f>
        <v>  </v>
      </c>
      <c r="C29" s="120" t="str">
        <f>IF(inputPrYr!C26&gt;0,(inputPrYr!C26),"  ")</f>
        <v>  </v>
      </c>
      <c r="D29" s="114"/>
      <c r="E29" s="380"/>
      <c r="F29" s="397"/>
      <c r="G29" s="396">
        <f t="shared" si="0"/>
      </c>
    </row>
    <row r="30" spans="2:7" ht="15">
      <c r="B30" s="50" t="str">
        <f>IF(inputPrYr!$B27&gt;"  ",(inputPrYr!$B27),"  ")</f>
        <v>  </v>
      </c>
      <c r="C30" s="120" t="str">
        <f>IF(inputPrYr!C27&gt;0,(inputPrYr!C27),"  ")</f>
        <v>  </v>
      </c>
      <c r="D30" s="114"/>
      <c r="E30" s="380"/>
      <c r="F30" s="397"/>
      <c r="G30" s="396">
        <f t="shared" si="0"/>
      </c>
    </row>
    <row r="31" spans="2:7" ht="15">
      <c r="B31" s="50" t="str">
        <f>IF(inputPrYr!$B28&gt;"  ",(inputPrYr!$B28),"  ")</f>
        <v>  </v>
      </c>
      <c r="C31" s="120" t="str">
        <f>IF(inputPrYr!C28&gt;0,(inputPrYr!C28),"  ")</f>
        <v>  </v>
      </c>
      <c r="D31" s="114"/>
      <c r="E31" s="380"/>
      <c r="F31" s="397"/>
      <c r="G31" s="396">
        <f t="shared" si="0"/>
      </c>
    </row>
    <row r="32" spans="2:7" ht="15">
      <c r="B32" s="50" t="str">
        <f>IF(inputPrYr!$B29&gt;"  ",(inputPrYr!$B29),"  ")</f>
        <v>  </v>
      </c>
      <c r="C32" s="120" t="str">
        <f>IF(inputPrYr!C29&gt;0,(inputPrYr!C29),"  ")</f>
        <v>  </v>
      </c>
      <c r="D32" s="114"/>
      <c r="E32" s="380"/>
      <c r="F32" s="397"/>
      <c r="G32" s="396">
        <f t="shared" si="0"/>
      </c>
    </row>
    <row r="33" spans="2:7" ht="15">
      <c r="B33" s="50" t="str">
        <f>IF(inputPrYr!$B30&gt;"  ",(inputPrYr!$B30),"  ")</f>
        <v>  </v>
      </c>
      <c r="C33" s="120" t="str">
        <f>IF(inputPrYr!C30&gt;0,(inputPrYr!C30),"  ")</f>
        <v>  </v>
      </c>
      <c r="D33" s="114"/>
      <c r="E33" s="380"/>
      <c r="F33" s="397"/>
      <c r="G33" s="396">
        <f t="shared" si="0"/>
      </c>
    </row>
    <row r="34" spans="2:7" ht="15">
      <c r="B34" s="121" t="str">
        <f>IF(inputPrYr!$B34&gt;"  ",(inputPrYr!$B34),"  ")</f>
        <v>Special Highway</v>
      </c>
      <c r="C34" s="59"/>
      <c r="D34" s="122">
        <f>IF('Sp Hiway &amp; 911 emerg'!C65&gt;0,'Sp Hiway &amp; 911 emerg'!C65,"  ")</f>
        <v>11</v>
      </c>
      <c r="E34" s="380">
        <f>IF('Sp Hiway &amp; 911 emerg'!$E$28&gt;0,'Sp Hiway &amp; 911 emerg'!$E$28,"  ")</f>
        <v>27090</v>
      </c>
      <c r="F34" s="380"/>
      <c r="G34" s="400"/>
    </row>
    <row r="35" spans="2:7" ht="15">
      <c r="B35" s="121" t="str">
        <f>IF(inputPrYr!$B35&gt;"  ",(inputPrYr!$B35),"  ")</f>
        <v>911 Emergency System</v>
      </c>
      <c r="C35" s="59"/>
      <c r="D35" s="122">
        <f>IF('Sp Hiway &amp; 911 emerg'!C65&gt;0,'Sp Hiway &amp; 911 emerg'!C65,"  ")</f>
        <v>11</v>
      </c>
      <c r="E35" s="380" t="str">
        <f>IF('Sp Hiway &amp; 911 emerg'!$E$59&gt;0,'Sp Hiway &amp; 911 emerg'!$E$59,"  ")</f>
        <v>  </v>
      </c>
      <c r="F35" s="380"/>
      <c r="G35" s="400"/>
    </row>
    <row r="36" spans="2:7" ht="15">
      <c r="B36" s="121" t="str">
        <f>IF(inputPrYr!$B36&gt;"  ",(inputPrYr!$B36),"  ")</f>
        <v>Water Utility</v>
      </c>
      <c r="C36" s="59"/>
      <c r="D36" s="122">
        <f>IF('Water &amp; Sewer'!C67&gt;0,'Water &amp; Sewer'!C67,"  ")</f>
        <v>12</v>
      </c>
      <c r="E36" s="380">
        <f>IF('Water &amp; Sewer'!$E$29&gt;0,'Water &amp; Sewer'!$E$29,"  ")</f>
        <v>159640</v>
      </c>
      <c r="F36" s="380"/>
      <c r="G36" s="400"/>
    </row>
    <row r="37" spans="2:7" ht="15">
      <c r="B37" s="121" t="str">
        <f>IF(inputPrYr!$B37&gt;"  ",(inputPrYr!$B37),"  ")</f>
        <v>Sewer Utility</v>
      </c>
      <c r="C37" s="59"/>
      <c r="D37" s="122">
        <f>IF('Water &amp; Sewer'!C67&gt;0,'Water &amp; Sewer'!C67,"  ")</f>
        <v>12</v>
      </c>
      <c r="E37" s="380">
        <f>IF('Water &amp; Sewer'!$E$61&gt;0,'Water &amp; Sewer'!$E$61,"  ")</f>
        <v>93207</v>
      </c>
      <c r="F37" s="380"/>
      <c r="G37" s="400"/>
    </row>
    <row r="38" spans="2:7" ht="15">
      <c r="B38" s="121" t="str">
        <f>IF(inputPrYr!$B38&gt;"  ",(inputPrYr!$B38),"  ")</f>
        <v>Electric Utility</v>
      </c>
      <c r="C38" s="59"/>
      <c r="D38" s="122">
        <f>IF(Electric!C68&gt;0,Electric!C68,"  ")</f>
        <v>13</v>
      </c>
      <c r="E38" s="380">
        <f>IF(Electric!$E$31&gt;0,Electric!$E$31,"  ")</f>
        <v>510072</v>
      </c>
      <c r="F38" s="380"/>
      <c r="G38" s="400"/>
    </row>
    <row r="39" spans="2:7" ht="15">
      <c r="B39" s="123" t="str">
        <f>IF(inputPrYr!$B39&gt;"  ",(inputPrYr!$B39),"  ")</f>
        <v>  </v>
      </c>
      <c r="C39" s="59"/>
      <c r="D39" s="122"/>
      <c r="E39" s="380" t="str">
        <f>IF(Electric!$E$62&gt;0,Electric!$E$62,"  ")</f>
        <v>  </v>
      </c>
      <c r="F39" s="380"/>
      <c r="G39" s="400"/>
    </row>
    <row r="40" spans="2:7" ht="15">
      <c r="B40" s="121" t="str">
        <f>IF(inputPrYr!$B40&gt;"  ",(inputPrYr!$B40),"  ")</f>
        <v>  </v>
      </c>
      <c r="C40" s="59"/>
      <c r="D40" s="122"/>
      <c r="E40" s="380"/>
      <c r="F40" s="380"/>
      <c r="G40" s="400"/>
    </row>
    <row r="41" spans="2:7" ht="15">
      <c r="B41" s="121" t="str">
        <f>IF(inputPrYr!$B41&gt;"  ",(inputPrYr!$B41),"  ")</f>
        <v>  </v>
      </c>
      <c r="C41" s="59"/>
      <c r="D41" s="122"/>
      <c r="E41" s="380"/>
      <c r="F41" s="380"/>
      <c r="G41" s="400"/>
    </row>
    <row r="42" spans="2:7" ht="15">
      <c r="B42" s="121" t="str">
        <f>IF(inputPrYr!$B44&gt;"  ",(inputPrYr!$B44),"  ")</f>
        <v>  </v>
      </c>
      <c r="C42" s="56"/>
      <c r="D42" s="122"/>
      <c r="E42" s="380"/>
      <c r="F42" s="380"/>
      <c r="G42" s="400"/>
    </row>
    <row r="43" spans="2:7" ht="15">
      <c r="B43" s="121" t="str">
        <f>IF(inputPrYr!$B45&gt;"  ",(inputPrYr!$B45),"  ")</f>
        <v>  </v>
      </c>
      <c r="C43" s="56"/>
      <c r="D43" s="122"/>
      <c r="E43" s="380"/>
      <c r="F43" s="380"/>
      <c r="G43" s="400"/>
    </row>
    <row r="44" spans="2:7" ht="15">
      <c r="B44" s="121" t="str">
        <f>IF(inputPrYr!$B46&gt;"  ",(inputPrYr!$B46),"  ")</f>
        <v>  </v>
      </c>
      <c r="C44" s="56"/>
      <c r="D44" s="122"/>
      <c r="E44" s="380"/>
      <c r="F44" s="380"/>
      <c r="G44" s="400"/>
    </row>
    <row r="45" spans="2:7" ht="15">
      <c r="B45" s="121" t="str">
        <f>IF(inputPrYr!$B47&gt;"  ",(inputPrYr!$B47),"  ")</f>
        <v>  </v>
      </c>
      <c r="C45" s="56"/>
      <c r="D45" s="122"/>
      <c r="E45" s="380"/>
      <c r="F45" s="380"/>
      <c r="G45" s="400"/>
    </row>
    <row r="46" spans="2:7" ht="15">
      <c r="B46" s="121" t="str">
        <f>IF(inputPrYr!$B51&gt;"  ",(NonBudA!$A3),"  ")</f>
        <v>Non-Budgeted Funds-A</v>
      </c>
      <c r="C46" s="56"/>
      <c r="D46" s="122">
        <f>IF(NonBudA!F33&gt;0,NonBudA!F33,"  ")</f>
        <v>14</v>
      </c>
      <c r="E46" s="380"/>
      <c r="F46" s="380"/>
      <c r="G46" s="400"/>
    </row>
    <row r="47" spans="2:7" ht="15.75" thickBot="1">
      <c r="B47" s="121" t="str">
        <f>IF(inputPrYr!$B57&gt;"  ",(#REF!),"  ")</f>
        <v>  </v>
      </c>
      <c r="C47" s="56"/>
      <c r="D47" s="122"/>
      <c r="E47" s="380"/>
      <c r="F47" s="380"/>
      <c r="G47" s="400"/>
    </row>
    <row r="48" spans="2:7" ht="15.75" thickBot="1">
      <c r="B48" s="310" t="s">
        <v>270</v>
      </c>
      <c r="C48" s="56"/>
      <c r="D48" s="209" t="s">
        <v>13</v>
      </c>
      <c r="E48" s="399">
        <f>SUM(E21:E47)</f>
        <v>1071285</v>
      </c>
      <c r="F48" s="399">
        <f>SUM(F21:F47)</f>
        <v>54367</v>
      </c>
      <c r="G48" s="398">
        <f>IF(SUM(G21:G47)=0,"",SUM(G21:G47))</f>
      </c>
    </row>
    <row r="49" spans="2:7" ht="15.75" thickTop="1">
      <c r="B49" s="126" t="s">
        <v>206</v>
      </c>
      <c r="C49" s="127"/>
      <c r="D49" s="128"/>
      <c r="E49" s="377"/>
      <c r="F49" s="378" t="str">
        <f>IF(F48&gt;computation!J40,"Yes","No")</f>
        <v>No</v>
      </c>
      <c r="G49" s="388" t="s">
        <v>150</v>
      </c>
    </row>
    <row r="50" spans="2:7" ht="15">
      <c r="B50" s="113" t="s">
        <v>205</v>
      </c>
      <c r="C50" s="59"/>
      <c r="D50" s="114">
        <f>summ!D44</f>
        <v>0</v>
      </c>
      <c r="E50" s="125"/>
      <c r="F50" s="4"/>
      <c r="G50" s="319"/>
    </row>
    <row r="51" spans="2:7" ht="15">
      <c r="B51" s="113" t="s">
        <v>220</v>
      </c>
      <c r="C51" s="59"/>
      <c r="D51" s="114"/>
      <c r="E51" s="125"/>
      <c r="F51" s="4"/>
      <c r="G51" s="621" t="str">
        <f>CONCATENATE("Nov 1, ",G1-1," Total Assessed Valuation")</f>
        <v>Nov 1, 2013 Total Assessed Valuation</v>
      </c>
    </row>
    <row r="52" spans="2:7" ht="15">
      <c r="B52" s="314"/>
      <c r="C52" s="315"/>
      <c r="D52" s="316"/>
      <c r="E52" s="312"/>
      <c r="F52" s="313"/>
      <c r="G52" s="622"/>
    </row>
    <row r="53" spans="2:7" ht="15">
      <c r="B53" s="43" t="s">
        <v>14</v>
      </c>
      <c r="C53" s="42"/>
      <c r="D53" s="4"/>
      <c r="E53" s="311"/>
      <c r="F53" s="42"/>
      <c r="G53" s="42"/>
    </row>
    <row r="54" spans="2:7" ht="15">
      <c r="B54" s="281" t="s">
        <v>369</v>
      </c>
      <c r="C54" s="42"/>
      <c r="D54" s="42" t="s">
        <v>276</v>
      </c>
      <c r="E54" s="394"/>
      <c r="F54" s="42"/>
      <c r="G54" s="42"/>
    </row>
    <row r="55" spans="2:7" ht="15">
      <c r="B55" s="282" t="s">
        <v>370</v>
      </c>
      <c r="C55" s="4"/>
      <c r="D55" s="43"/>
      <c r="E55" s="395"/>
      <c r="F55" s="42"/>
      <c r="G55" s="42"/>
    </row>
    <row r="56" spans="2:7" ht="15">
      <c r="B56" s="43" t="s">
        <v>154</v>
      </c>
      <c r="C56" s="42"/>
      <c r="D56" s="42" t="s">
        <v>276</v>
      </c>
      <c r="E56" s="393"/>
      <c r="F56" s="236"/>
      <c r="G56" s="236"/>
    </row>
    <row r="57" spans="2:7" ht="15">
      <c r="B57" s="281" t="s">
        <v>371</v>
      </c>
      <c r="C57" s="11"/>
      <c r="D57" s="42"/>
      <c r="E57" s="42"/>
      <c r="F57" s="4"/>
      <c r="G57" s="4"/>
    </row>
    <row r="58" spans="2:7" ht="15">
      <c r="B58" s="282" t="s">
        <v>372</v>
      </c>
      <c r="C58" s="129"/>
      <c r="D58" s="42" t="s">
        <v>276</v>
      </c>
      <c r="E58" s="42"/>
      <c r="F58" s="236"/>
      <c r="G58" s="236"/>
    </row>
    <row r="59" spans="2:7" ht="15">
      <c r="B59" s="43" t="s">
        <v>337</v>
      </c>
      <c r="C59" s="42"/>
      <c r="D59" s="4"/>
      <c r="E59" s="4"/>
      <c r="F59" s="4"/>
      <c r="G59" s="4"/>
    </row>
    <row r="60" spans="2:7" ht="15">
      <c r="B60" s="583" t="s">
        <v>373</v>
      </c>
      <c r="C60" s="130"/>
      <c r="D60" s="42" t="s">
        <v>276</v>
      </c>
      <c r="E60" s="42"/>
      <c r="F60" s="236"/>
      <c r="G60" s="236"/>
    </row>
    <row r="61" spans="2:7" ht="15">
      <c r="B61" s="12" t="s">
        <v>213</v>
      </c>
      <c r="C61" s="131">
        <f>G1-1</f>
        <v>2013</v>
      </c>
      <c r="D61" s="4"/>
      <c r="E61" s="4"/>
      <c r="F61" s="16"/>
      <c r="G61" s="4"/>
    </row>
    <row r="62" spans="2:7" ht="15">
      <c r="B62" s="383"/>
      <c r="C62" s="4"/>
      <c r="D62" s="42" t="s">
        <v>276</v>
      </c>
      <c r="E62" s="42"/>
      <c r="F62" s="42"/>
      <c r="G62" s="42"/>
    </row>
    <row r="63" spans="2:7" ht="15">
      <c r="B63" s="26" t="s">
        <v>16</v>
      </c>
      <c r="C63" s="4"/>
      <c r="D63" s="619" t="s">
        <v>15</v>
      </c>
      <c r="E63" s="620"/>
      <c r="F63" s="620"/>
      <c r="G63" s="620"/>
    </row>
    <row r="64" spans="2:7" ht="15">
      <c r="B64" s="623" t="s">
        <v>445</v>
      </c>
      <c r="C64" s="624"/>
      <c r="D64" s="624"/>
      <c r="E64" s="624"/>
      <c r="F64" s="624"/>
      <c r="G64" s="624"/>
    </row>
    <row r="74" spans="2:7" ht="15">
      <c r="B74" s="65"/>
      <c r="C74" s="65"/>
      <c r="D74" s="65"/>
      <c r="E74" s="65"/>
      <c r="F74" s="65"/>
      <c r="G74" s="65"/>
    </row>
    <row r="75" spans="2:7" ht="15">
      <c r="B75" s="65"/>
      <c r="C75" s="65"/>
      <c r="D75" s="65"/>
      <c r="E75" s="65"/>
      <c r="F75" s="65"/>
      <c r="G75" s="65"/>
    </row>
    <row r="76" spans="2:7" ht="15">
      <c r="B76" s="65"/>
      <c r="C76" s="65"/>
      <c r="D76" s="65"/>
      <c r="E76" s="65"/>
      <c r="F76" s="65"/>
      <c r="G76" s="65"/>
    </row>
    <row r="77" spans="2:7" ht="15">
      <c r="B77" s="65"/>
      <c r="C77" s="65"/>
      <c r="D77" s="65"/>
      <c r="E77" s="65"/>
      <c r="F77" s="65"/>
      <c r="G77" s="65"/>
    </row>
    <row r="78" spans="2:7" ht="15">
      <c r="B78" s="65"/>
      <c r="C78" s="65"/>
      <c r="D78" s="65"/>
      <c r="E78" s="65"/>
      <c r="F78" s="65"/>
      <c r="G78" s="65"/>
    </row>
    <row r="79" spans="2:7" ht="15">
      <c r="B79" s="65"/>
      <c r="C79" s="65"/>
      <c r="D79" s="65"/>
      <c r="E79" s="65"/>
      <c r="F79" s="65"/>
      <c r="G79" s="65"/>
    </row>
    <row r="80" spans="2:7" ht="15">
      <c r="B80" s="65"/>
      <c r="C80" s="65"/>
      <c r="D80" s="65"/>
      <c r="E80" s="65"/>
      <c r="F80" s="65"/>
      <c r="G80" s="65"/>
    </row>
    <row r="81" spans="2:7" ht="15">
      <c r="B81" s="65"/>
      <c r="C81" s="65"/>
      <c r="D81" s="65"/>
      <c r="E81" s="65"/>
      <c r="F81" s="65"/>
      <c r="G81" s="65"/>
    </row>
    <row r="82" spans="2:7" ht="15">
      <c r="B82" s="65"/>
      <c r="C82" s="65"/>
      <c r="D82" s="65"/>
      <c r="E82" s="65"/>
      <c r="F82" s="65"/>
      <c r="G82" s="65"/>
    </row>
    <row r="83" spans="2:7" ht="15">
      <c r="B83" s="65"/>
      <c r="C83" s="65"/>
      <c r="D83" s="65"/>
      <c r="E83" s="65"/>
      <c r="F83" s="65"/>
      <c r="G83" s="65"/>
    </row>
    <row r="84" spans="2:7" ht="15">
      <c r="B84" s="65"/>
      <c r="C84" s="65"/>
      <c r="D84" s="65"/>
      <c r="E84" s="65"/>
      <c r="F84" s="65"/>
      <c r="G84" s="65"/>
    </row>
    <row r="85" spans="2:7" ht="15">
      <c r="B85" s="65"/>
      <c r="C85" s="65"/>
      <c r="D85" s="65"/>
      <c r="E85" s="65"/>
      <c r="F85" s="65"/>
      <c r="G85" s="65"/>
    </row>
    <row r="86" spans="2:7" ht="15">
      <c r="B86" s="65"/>
      <c r="C86" s="65"/>
      <c r="D86" s="65"/>
      <c r="E86" s="65"/>
      <c r="F86" s="65"/>
      <c r="G86" s="65"/>
    </row>
    <row r="87" spans="2:7" ht="15">
      <c r="B87" s="65"/>
      <c r="C87" s="65"/>
      <c r="D87" s="65"/>
      <c r="E87" s="65"/>
      <c r="F87" s="65"/>
      <c r="G87" s="65"/>
    </row>
    <row r="88" spans="2:7" ht="15">
      <c r="B88" s="65"/>
      <c r="C88" s="65"/>
      <c r="D88" s="65"/>
      <c r="E88" s="65"/>
      <c r="F88" s="65"/>
      <c r="G88" s="65"/>
    </row>
    <row r="89" spans="2:7" ht="15">
      <c r="B89" s="65"/>
      <c r="C89" s="65"/>
      <c r="D89" s="65"/>
      <c r="E89" s="65"/>
      <c r="F89" s="65"/>
      <c r="G89" s="65"/>
    </row>
    <row r="92" spans="2:7" ht="15">
      <c r="B92" s="1"/>
      <c r="C92" s="1"/>
      <c r="D92" s="1"/>
      <c r="E92" s="1"/>
      <c r="F92" s="1"/>
      <c r="G92" s="1"/>
    </row>
  </sheetData>
  <sheetProtection/>
  <mergeCells count="5">
    <mergeCell ref="B5:G5"/>
    <mergeCell ref="B3:G3"/>
    <mergeCell ref="D63:G63"/>
    <mergeCell ref="G51:G52"/>
    <mergeCell ref="B64:G64"/>
  </mergeCells>
  <hyperlinks>
    <hyperlink ref="B60" r:id="rId1" display="pjarred@jgppa.com"/>
  </hyperlinks>
  <printOptions/>
  <pageMargins left="1" right="0.5" top="0.75" bottom="0.5" header="0.5" footer="0.25"/>
  <pageSetup blackAndWhite="1" fitToHeight="1" fitToWidth="1" horizontalDpi="120" verticalDpi="120" orientation="portrait" scale="74" r:id="rId2"/>
  <headerFooter alignWithMargins="0">
    <oddHeader>&amp;RState of Kansas
City
</oddHeader>
    <oddFooter>&amp;CPage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5"/>
  <sheetViews>
    <sheetView zoomScale="85" zoomScaleNormal="85" zoomScalePageLayoutView="0" workbookViewId="0" topLeftCell="A27">
      <selection activeCell="J46" sqref="J46"/>
    </sheetView>
  </sheetViews>
  <sheetFormatPr defaultColWidth="8.8984375" defaultRowHeight="15.75" customHeight="1"/>
  <cols>
    <col min="1" max="2" width="3.296875" style="1" customWidth="1"/>
    <col min="3" max="3" width="31.296875" style="1" customWidth="1"/>
    <col min="4" max="4" width="2.296875" style="1" customWidth="1"/>
    <col min="5" max="5" width="15.69921875" style="1" customWidth="1"/>
    <col min="6" max="6" width="2" style="1" customWidth="1"/>
    <col min="7" max="7" width="15.69921875" style="1" customWidth="1"/>
    <col min="8" max="8" width="1.8984375" style="1" customWidth="1"/>
    <col min="9" max="9" width="1.69921875" style="1" customWidth="1"/>
    <col min="10" max="10" width="15.69921875" style="1" customWidth="1"/>
    <col min="11" max="16384" width="8.8984375" style="1" customWidth="1"/>
  </cols>
  <sheetData>
    <row r="1" spans="1:10" ht="15.75" customHeight="1">
      <c r="A1" s="4"/>
      <c r="B1" s="4"/>
      <c r="C1" s="133" t="str">
        <f>inputPrYr!D2</f>
        <v>City of Toronto</v>
      </c>
      <c r="D1" s="4"/>
      <c r="E1" s="4"/>
      <c r="F1" s="4"/>
      <c r="G1" s="4"/>
      <c r="H1" s="4"/>
      <c r="I1" s="4"/>
      <c r="J1" s="4">
        <f>inputPrYr!$C$5</f>
        <v>2014</v>
      </c>
    </row>
    <row r="2" spans="1:10" ht="15.75" customHeight="1">
      <c r="A2" s="4"/>
      <c r="B2" s="4"/>
      <c r="C2" s="4"/>
      <c r="D2" s="4"/>
      <c r="E2" s="4"/>
      <c r="F2" s="4"/>
      <c r="G2" s="4"/>
      <c r="H2" s="4"/>
      <c r="I2" s="4"/>
      <c r="J2" s="4"/>
    </row>
    <row r="3" spans="1:10" ht="15">
      <c r="A3" s="628" t="str">
        <f>CONCATENATE("Computation to Determine Limit for ",J1,"")</f>
        <v>Computation to Determine Limit for 2014</v>
      </c>
      <c r="B3" s="629"/>
      <c r="C3" s="629"/>
      <c r="D3" s="629"/>
      <c r="E3" s="629"/>
      <c r="F3" s="629"/>
      <c r="G3" s="629"/>
      <c r="H3" s="629"/>
      <c r="I3" s="629"/>
      <c r="J3" s="629"/>
    </row>
    <row r="4" spans="1:10" ht="15">
      <c r="A4" s="4"/>
      <c r="B4" s="4"/>
      <c r="C4" s="4"/>
      <c r="D4" s="4"/>
      <c r="E4" s="629"/>
      <c r="F4" s="629"/>
      <c r="G4" s="629"/>
      <c r="H4" s="134"/>
      <c r="I4" s="4"/>
      <c r="J4" s="135" t="s">
        <v>95</v>
      </c>
    </row>
    <row r="5" spans="1:10" ht="15">
      <c r="A5" s="136" t="s">
        <v>96</v>
      </c>
      <c r="B5" s="4" t="str">
        <f>CONCATENATE("Total Tax Levy Amount in ",J1-1," Budget")</f>
        <v>Total Tax Levy Amount in 2013 Budget</v>
      </c>
      <c r="C5" s="4"/>
      <c r="D5" s="4"/>
      <c r="E5" s="33"/>
      <c r="F5" s="33"/>
      <c r="G5" s="33"/>
      <c r="H5" s="137" t="s">
        <v>97</v>
      </c>
      <c r="I5" s="33" t="s">
        <v>98</v>
      </c>
      <c r="J5" s="138">
        <f>inputPrYr!E31</f>
        <v>53602</v>
      </c>
    </row>
    <row r="6" spans="1:10" ht="15">
      <c r="A6" s="136" t="s">
        <v>99</v>
      </c>
      <c r="B6" s="4" t="str">
        <f>CONCATENATE("Debt Service Levy in ",J1-1," Budget")</f>
        <v>Debt Service Levy in 2013 Budget</v>
      </c>
      <c r="C6" s="4"/>
      <c r="D6" s="4"/>
      <c r="E6" s="33"/>
      <c r="F6" s="33"/>
      <c r="G6" s="33"/>
      <c r="H6" s="137" t="s">
        <v>100</v>
      </c>
      <c r="I6" s="33" t="s">
        <v>98</v>
      </c>
      <c r="J6" s="38">
        <f>inputPrYr!E18</f>
        <v>21034</v>
      </c>
    </row>
    <row r="7" spans="1:10" ht="15">
      <c r="A7" s="136" t="s">
        <v>127</v>
      </c>
      <c r="B7" s="23" t="s">
        <v>124</v>
      </c>
      <c r="C7" s="4"/>
      <c r="D7" s="4"/>
      <c r="E7" s="33"/>
      <c r="F7" s="33"/>
      <c r="G7" s="33"/>
      <c r="H7" s="33"/>
      <c r="I7" s="33" t="s">
        <v>98</v>
      </c>
      <c r="J7" s="38">
        <f>J5-J6</f>
        <v>32568</v>
      </c>
    </row>
    <row r="8" spans="1:10" ht="15">
      <c r="A8" s="4"/>
      <c r="B8" s="4"/>
      <c r="C8" s="4"/>
      <c r="D8" s="4"/>
      <c r="E8" s="33"/>
      <c r="F8" s="33"/>
      <c r="G8" s="33"/>
      <c r="H8" s="33"/>
      <c r="I8" s="33"/>
      <c r="J8" s="33"/>
    </row>
    <row r="9" spans="1:10" ht="15">
      <c r="A9" s="4"/>
      <c r="B9" s="23" t="str">
        <f>CONCATENATE("",J1-1," Valuation Information for Valuation Adjustments:")</f>
        <v>2013 Valuation Information for Valuation Adjustments:</v>
      </c>
      <c r="C9" s="4"/>
      <c r="D9" s="4"/>
      <c r="E9" s="33"/>
      <c r="F9" s="33"/>
      <c r="G9" s="33"/>
      <c r="H9" s="33"/>
      <c r="I9" s="33"/>
      <c r="J9" s="33"/>
    </row>
    <row r="10" spans="1:10" ht="15">
      <c r="A10" s="4"/>
      <c r="B10" s="4"/>
      <c r="C10" s="23"/>
      <c r="D10" s="4"/>
      <c r="E10" s="33"/>
      <c r="F10" s="33"/>
      <c r="G10" s="33"/>
      <c r="H10" s="33"/>
      <c r="I10" s="33"/>
      <c r="J10" s="33"/>
    </row>
    <row r="11" spans="1:10" ht="15">
      <c r="A11" s="136" t="s">
        <v>101</v>
      </c>
      <c r="B11" s="23" t="str">
        <f>CONCATENATE("New Improvements for ",J1-1,":")</f>
        <v>New Improvements for 2013:</v>
      </c>
      <c r="C11" s="4"/>
      <c r="D11" s="4"/>
      <c r="E11" s="137"/>
      <c r="F11" s="137" t="s">
        <v>97</v>
      </c>
      <c r="G11" s="138">
        <f>inputOth!E8</f>
        <v>3249</v>
      </c>
      <c r="H11" s="40"/>
      <c r="I11" s="33"/>
      <c r="J11" s="33"/>
    </row>
    <row r="12" spans="1:10" ht="15">
      <c r="A12" s="136"/>
      <c r="B12" s="139"/>
      <c r="C12" s="4"/>
      <c r="D12" s="4"/>
      <c r="E12" s="137"/>
      <c r="F12" s="137"/>
      <c r="G12" s="40"/>
      <c r="H12" s="40"/>
      <c r="I12" s="33"/>
      <c r="J12" s="33"/>
    </row>
    <row r="13" spans="1:10" ht="15">
      <c r="A13" s="136" t="s">
        <v>102</v>
      </c>
      <c r="B13" s="23" t="str">
        <f>CONCATENATE("Increase in Personal Property for ",J1-1,":")</f>
        <v>Increase in Personal Property for 2013:</v>
      </c>
      <c r="C13" s="4"/>
      <c r="D13" s="4"/>
      <c r="E13" s="137"/>
      <c r="F13" s="137"/>
      <c r="G13" s="40"/>
      <c r="H13" s="40"/>
      <c r="I13" s="33"/>
      <c r="J13" s="33"/>
    </row>
    <row r="14" spans="1:10" ht="15">
      <c r="A14" s="101"/>
      <c r="B14" s="4" t="s">
        <v>103</v>
      </c>
      <c r="C14" s="4" t="str">
        <f>CONCATENATE("Personal Property ",J1-1,"")</f>
        <v>Personal Property 2013</v>
      </c>
      <c r="D14" s="139" t="s">
        <v>97</v>
      </c>
      <c r="E14" s="138">
        <f>inputOth!E9</f>
        <v>16943</v>
      </c>
      <c r="F14" s="137"/>
      <c r="G14" s="33"/>
      <c r="H14" s="33"/>
      <c r="I14" s="40"/>
      <c r="J14" s="33"/>
    </row>
    <row r="15" spans="1:10" ht="15">
      <c r="A15" s="139"/>
      <c r="B15" s="4" t="s">
        <v>104</v>
      </c>
      <c r="C15" s="4" t="str">
        <f>CONCATENATE("Personal Property ",J1-2,"")</f>
        <v>Personal Property 2012</v>
      </c>
      <c r="D15" s="139" t="s">
        <v>100</v>
      </c>
      <c r="E15" s="38">
        <f>inputOth!E15</f>
        <v>15872</v>
      </c>
      <c r="F15" s="137"/>
      <c r="G15" s="40"/>
      <c r="H15" s="40"/>
      <c r="I15" s="33"/>
      <c r="J15" s="33"/>
    </row>
    <row r="16" spans="1:10" ht="15">
      <c r="A16" s="139"/>
      <c r="B16" s="4" t="s">
        <v>105</v>
      </c>
      <c r="C16" s="4" t="s">
        <v>126</v>
      </c>
      <c r="D16" s="4"/>
      <c r="E16" s="33"/>
      <c r="F16" s="33" t="s">
        <v>97</v>
      </c>
      <c r="G16" s="138">
        <f>IF(E14&gt;E15,E14-E15,0)</f>
        <v>1071</v>
      </c>
      <c r="H16" s="40"/>
      <c r="I16" s="33"/>
      <c r="J16" s="33"/>
    </row>
    <row r="17" spans="1:10" ht="15">
      <c r="A17" s="139"/>
      <c r="B17" s="139"/>
      <c r="C17" s="4"/>
      <c r="D17" s="4"/>
      <c r="E17" s="33"/>
      <c r="F17" s="33"/>
      <c r="G17" s="40" t="s">
        <v>118</v>
      </c>
      <c r="H17" s="40"/>
      <c r="I17" s="33"/>
      <c r="J17" s="33"/>
    </row>
    <row r="18" spans="1:10" ht="15">
      <c r="A18" s="139" t="s">
        <v>106</v>
      </c>
      <c r="B18" s="23" t="str">
        <f>CONCATENATE("Valuation of annexed territory for ",J1-1,":")</f>
        <v>Valuation of annexed territory for 2013:</v>
      </c>
      <c r="C18" s="4"/>
      <c r="D18" s="4"/>
      <c r="E18" s="40"/>
      <c r="F18" s="33"/>
      <c r="G18" s="33"/>
      <c r="H18" s="33"/>
      <c r="I18" s="33"/>
      <c r="J18" s="33"/>
    </row>
    <row r="19" spans="1:10" ht="15">
      <c r="A19" s="139"/>
      <c r="B19" s="4" t="s">
        <v>107</v>
      </c>
      <c r="C19" s="4" t="s">
        <v>128</v>
      </c>
      <c r="D19" s="139" t="s">
        <v>97</v>
      </c>
      <c r="E19" s="138">
        <f>inputOth!E11</f>
        <v>0</v>
      </c>
      <c r="F19" s="33"/>
      <c r="G19" s="33"/>
      <c r="H19" s="33"/>
      <c r="I19" s="33"/>
      <c r="J19" s="33"/>
    </row>
    <row r="20" spans="1:10" ht="15">
      <c r="A20" s="139"/>
      <c r="B20" s="4" t="s">
        <v>108</v>
      </c>
      <c r="C20" s="4" t="s">
        <v>129</v>
      </c>
      <c r="D20" s="139" t="s">
        <v>97</v>
      </c>
      <c r="E20" s="138">
        <f>inputOth!E12</f>
        <v>0</v>
      </c>
      <c r="F20" s="33"/>
      <c r="G20" s="40"/>
      <c r="H20" s="40"/>
      <c r="I20" s="33"/>
      <c r="J20" s="33"/>
    </row>
    <row r="21" spans="1:10" ht="15">
      <c r="A21" s="139"/>
      <c r="B21" s="4" t="s">
        <v>109</v>
      </c>
      <c r="C21" s="4" t="s">
        <v>125</v>
      </c>
      <c r="D21" s="139" t="s">
        <v>100</v>
      </c>
      <c r="E21" s="138">
        <f>inputOth!E13</f>
        <v>0</v>
      </c>
      <c r="F21" s="33"/>
      <c r="G21" s="40"/>
      <c r="H21" s="40"/>
      <c r="I21" s="33"/>
      <c r="J21" s="33"/>
    </row>
    <row r="22" spans="1:10" ht="15">
      <c r="A22" s="139"/>
      <c r="B22" s="4" t="s">
        <v>110</v>
      </c>
      <c r="C22" s="4" t="s">
        <v>130</v>
      </c>
      <c r="D22" s="139"/>
      <c r="E22" s="40"/>
      <c r="F22" s="33" t="s">
        <v>97</v>
      </c>
      <c r="G22" s="138">
        <f>E19+E20-E21</f>
        <v>0</v>
      </c>
      <c r="H22" s="40"/>
      <c r="I22" s="33"/>
      <c r="J22" s="33"/>
    </row>
    <row r="23" spans="1:10" ht="15">
      <c r="A23" s="139"/>
      <c r="B23" s="139"/>
      <c r="C23" s="4"/>
      <c r="D23" s="139"/>
      <c r="E23" s="40"/>
      <c r="F23" s="33"/>
      <c r="G23" s="40"/>
      <c r="H23" s="40"/>
      <c r="I23" s="33"/>
      <c r="J23" s="33"/>
    </row>
    <row r="24" spans="1:10" ht="15">
      <c r="A24" s="139" t="s">
        <v>111</v>
      </c>
      <c r="B24" s="23" t="str">
        <f>CONCATENATE("Valuation of Property that has Changed in Use during ",J1-1,":")</f>
        <v>Valuation of Property that has Changed in Use during 2013:</v>
      </c>
      <c r="C24" s="4"/>
      <c r="D24" s="4"/>
      <c r="E24" s="33"/>
      <c r="F24" s="33"/>
      <c r="G24" s="33">
        <f>inputOth!E14</f>
        <v>0</v>
      </c>
      <c r="H24" s="33"/>
      <c r="I24" s="33"/>
      <c r="J24" s="33"/>
    </row>
    <row r="25" spans="1:10" ht="15">
      <c r="A25" s="4" t="s">
        <v>1</v>
      </c>
      <c r="B25" s="4"/>
      <c r="C25" s="4"/>
      <c r="D25" s="139"/>
      <c r="E25" s="40"/>
      <c r="F25" s="33"/>
      <c r="G25" s="140"/>
      <c r="H25" s="40"/>
      <c r="I25" s="33"/>
      <c r="J25" s="33"/>
    </row>
    <row r="26" spans="1:10" ht="15">
      <c r="A26" s="139" t="s">
        <v>112</v>
      </c>
      <c r="B26" s="23" t="s">
        <v>131</v>
      </c>
      <c r="C26" s="4"/>
      <c r="D26" s="4"/>
      <c r="E26" s="33"/>
      <c r="F26" s="33"/>
      <c r="G26" s="138">
        <f>G11+G16+G22+G24</f>
        <v>4320</v>
      </c>
      <c r="H26" s="40"/>
      <c r="I26" s="33"/>
      <c r="J26" s="33"/>
    </row>
    <row r="27" spans="1:10" ht="15">
      <c r="A27" s="139"/>
      <c r="B27" s="139"/>
      <c r="C27" s="23"/>
      <c r="D27" s="4"/>
      <c r="E27" s="33"/>
      <c r="F27" s="33"/>
      <c r="G27" s="40"/>
      <c r="H27" s="40"/>
      <c r="I27" s="33"/>
      <c r="J27" s="33"/>
    </row>
    <row r="28" spans="1:10" ht="15">
      <c r="A28" s="139" t="s">
        <v>113</v>
      </c>
      <c r="B28" s="4" t="str">
        <f>CONCATENATE("Total Estimated Valuation July 1, ",J1-1,"")</f>
        <v>Total Estimated Valuation July 1, 2013</v>
      </c>
      <c r="C28" s="4"/>
      <c r="D28" s="4"/>
      <c r="E28" s="138">
        <f>inputOth!E7</f>
        <v>616274</v>
      </c>
      <c r="F28" s="33"/>
      <c r="G28" s="33"/>
      <c r="H28" s="33"/>
      <c r="I28" s="137"/>
      <c r="J28" s="33"/>
    </row>
    <row r="29" spans="1:10" ht="15">
      <c r="A29" s="139"/>
      <c r="B29" s="139"/>
      <c r="C29" s="4"/>
      <c r="D29" s="4"/>
      <c r="E29" s="40"/>
      <c r="F29" s="33"/>
      <c r="G29" s="33"/>
      <c r="H29" s="33"/>
      <c r="I29" s="137"/>
      <c r="J29" s="33"/>
    </row>
    <row r="30" spans="1:10" ht="15">
      <c r="A30" s="139" t="s">
        <v>114</v>
      </c>
      <c r="B30" s="23" t="s">
        <v>132</v>
      </c>
      <c r="C30" s="4"/>
      <c r="D30" s="4"/>
      <c r="E30" s="33"/>
      <c r="F30" s="33"/>
      <c r="G30" s="138">
        <f>E28-G26</f>
        <v>611954</v>
      </c>
      <c r="H30" s="40"/>
      <c r="I30" s="137"/>
      <c r="J30" s="33"/>
    </row>
    <row r="31" spans="1:10" ht="15">
      <c r="A31" s="139"/>
      <c r="B31" s="139"/>
      <c r="C31" s="23"/>
      <c r="D31" s="4"/>
      <c r="E31" s="4"/>
      <c r="F31" s="4"/>
      <c r="G31" s="76"/>
      <c r="H31" s="42"/>
      <c r="I31" s="139"/>
      <c r="J31" s="4"/>
    </row>
    <row r="32" spans="1:10" ht="15">
      <c r="A32" s="139" t="s">
        <v>115</v>
      </c>
      <c r="B32" s="4" t="s">
        <v>133</v>
      </c>
      <c r="C32" s="4"/>
      <c r="D32" s="4"/>
      <c r="E32" s="4"/>
      <c r="F32" s="4"/>
      <c r="G32" s="141">
        <f>IF(G30&gt;0,G26/G30,0)</f>
        <v>0.007059354134461087</v>
      </c>
      <c r="H32" s="42"/>
      <c r="I32" s="4"/>
      <c r="J32" s="4"/>
    </row>
    <row r="33" spans="1:10" ht="15">
      <c r="A33" s="139"/>
      <c r="B33" s="139"/>
      <c r="C33" s="4"/>
      <c r="D33" s="4"/>
      <c r="E33" s="4"/>
      <c r="F33" s="4"/>
      <c r="G33" s="42"/>
      <c r="H33" s="42"/>
      <c r="I33" s="4"/>
      <c r="J33" s="4"/>
    </row>
    <row r="34" spans="1:10" ht="15">
      <c r="A34" s="139" t="s">
        <v>116</v>
      </c>
      <c r="B34" s="4" t="s">
        <v>134</v>
      </c>
      <c r="C34" s="4"/>
      <c r="D34" s="4"/>
      <c r="E34" s="4"/>
      <c r="F34" s="4"/>
      <c r="G34" s="42"/>
      <c r="H34" s="142" t="s">
        <v>97</v>
      </c>
      <c r="I34" s="4" t="s">
        <v>98</v>
      </c>
      <c r="J34" s="138">
        <f>ROUND(G32*J7,0)</f>
        <v>230</v>
      </c>
    </row>
    <row r="35" spans="1:10" ht="15">
      <c r="A35" s="139"/>
      <c r="B35" s="139"/>
      <c r="C35" s="4"/>
      <c r="D35" s="4"/>
      <c r="E35" s="4"/>
      <c r="F35" s="4"/>
      <c r="G35" s="42"/>
      <c r="H35" s="142"/>
      <c r="I35" s="4"/>
      <c r="J35" s="40"/>
    </row>
    <row r="36" spans="1:10" ht="15.75" thickBot="1">
      <c r="A36" s="139" t="s">
        <v>117</v>
      </c>
      <c r="B36" s="23" t="s">
        <v>140</v>
      </c>
      <c r="C36" s="4"/>
      <c r="D36" s="4"/>
      <c r="E36" s="4"/>
      <c r="F36" s="4"/>
      <c r="G36" s="4"/>
      <c r="H36" s="4"/>
      <c r="I36" s="4" t="s">
        <v>98</v>
      </c>
      <c r="J36" s="143">
        <f>J7+J34</f>
        <v>32798</v>
      </c>
    </row>
    <row r="37" spans="1:10" ht="15.75" thickTop="1">
      <c r="A37" s="4"/>
      <c r="B37" s="4"/>
      <c r="C37" s="4"/>
      <c r="D37" s="4"/>
      <c r="E37" s="4"/>
      <c r="F37" s="4"/>
      <c r="G37" s="4"/>
      <c r="H37" s="4"/>
      <c r="I37" s="4"/>
      <c r="J37" s="4"/>
    </row>
    <row r="38" spans="1:10" ht="15">
      <c r="A38" s="139" t="s">
        <v>138</v>
      </c>
      <c r="B38" s="23" t="str">
        <f>CONCATENATE("Debt Service Levy in this ",J1," Budget")</f>
        <v>Debt Service Levy in this 2014 Budget</v>
      </c>
      <c r="C38" s="4"/>
      <c r="D38" s="4"/>
      <c r="E38" s="4"/>
      <c r="F38" s="4"/>
      <c r="G38" s="4"/>
      <c r="H38" s="4"/>
      <c r="I38" s="4"/>
      <c r="J38" s="144">
        <f>'DebtSvs-Library'!E40</f>
        <v>21569</v>
      </c>
    </row>
    <row r="39" spans="1:10" ht="15">
      <c r="A39" s="139"/>
      <c r="B39" s="23"/>
      <c r="C39" s="4"/>
      <c r="D39" s="4"/>
      <c r="E39" s="4"/>
      <c r="F39" s="4"/>
      <c r="G39" s="4"/>
      <c r="H39" s="4"/>
      <c r="I39" s="4"/>
      <c r="J39" s="42"/>
    </row>
    <row r="40" spans="1:10" ht="15.75" thickBot="1">
      <c r="A40" s="139" t="s">
        <v>139</v>
      </c>
      <c r="B40" s="23" t="s">
        <v>141</v>
      </c>
      <c r="C40" s="4"/>
      <c r="D40" s="4"/>
      <c r="E40" s="4"/>
      <c r="F40" s="4"/>
      <c r="G40" s="4"/>
      <c r="H40" s="4"/>
      <c r="I40" s="4"/>
      <c r="J40" s="143">
        <f>J36+J38</f>
        <v>54367</v>
      </c>
    </row>
    <row r="41" spans="1:10" ht="15.75" thickTop="1">
      <c r="A41" s="4"/>
      <c r="B41" s="4"/>
      <c r="C41" s="4"/>
      <c r="D41" s="4"/>
      <c r="E41" s="4"/>
      <c r="F41" s="4"/>
      <c r="G41" s="4"/>
      <c r="H41" s="4"/>
      <c r="I41" s="4"/>
      <c r="J41" s="4"/>
    </row>
    <row r="42" spans="1:10" s="145" customFormat="1" ht="18">
      <c r="A42" s="626" t="str">
        <f>CONCATENATE("If the ",J1," budget includes tax levies exceeding the total on line 15, you must")</f>
        <v>If the 2014 budget includes tax levies exceeding the total on line 15, you must</v>
      </c>
      <c r="B42" s="626"/>
      <c r="C42" s="626"/>
      <c r="D42" s="626"/>
      <c r="E42" s="626"/>
      <c r="F42" s="626"/>
      <c r="G42" s="626"/>
      <c r="H42" s="626"/>
      <c r="I42" s="626"/>
      <c r="J42" s="626"/>
    </row>
    <row r="43" spans="1:10" s="145" customFormat="1" ht="18">
      <c r="A43" s="627" t="s">
        <v>192</v>
      </c>
      <c r="B43" s="627"/>
      <c r="C43" s="627"/>
      <c r="D43" s="627"/>
      <c r="E43" s="627"/>
      <c r="F43" s="627"/>
      <c r="G43" s="627"/>
      <c r="H43" s="627"/>
      <c r="I43" s="627"/>
      <c r="J43" s="627"/>
    </row>
    <row r="44" spans="1:10" ht="15.75" customHeight="1">
      <c r="A44" s="619" t="s">
        <v>193</v>
      </c>
      <c r="B44" s="619"/>
      <c r="C44" s="619"/>
      <c r="D44" s="619"/>
      <c r="E44" s="625"/>
      <c r="F44" s="619"/>
      <c r="G44" s="619"/>
      <c r="H44" s="619"/>
      <c r="I44" s="619"/>
      <c r="J44" s="619"/>
    </row>
    <row r="45" spans="1:10" ht="15.75" customHeight="1">
      <c r="A45" s="623" t="s">
        <v>445</v>
      </c>
      <c r="B45" s="624"/>
      <c r="C45" s="624"/>
      <c r="D45" s="624"/>
      <c r="E45" s="624"/>
      <c r="F45" s="624"/>
      <c r="G45" s="620"/>
      <c r="H45" s="620"/>
      <c r="I45" s="620"/>
      <c r="J45" s="620"/>
    </row>
  </sheetData>
  <sheetProtection/>
  <mergeCells count="6">
    <mergeCell ref="A44:J44"/>
    <mergeCell ref="A42:J42"/>
    <mergeCell ref="A43:J43"/>
    <mergeCell ref="A3:J3"/>
    <mergeCell ref="E4:G4"/>
    <mergeCell ref="A45:J45"/>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22">
      <selection activeCell="G32" sqref="G32"/>
    </sheetView>
  </sheetViews>
  <sheetFormatPr defaultColWidth="8.8984375" defaultRowHeight="15"/>
  <cols>
    <col min="1" max="1" width="8.8984375" style="5" customWidth="1"/>
    <col min="2" max="2" width="17.8984375" style="5" customWidth="1"/>
    <col min="3" max="3" width="15.296875" style="5" customWidth="1"/>
    <col min="4" max="7" width="10.69921875" style="5" customWidth="1"/>
    <col min="8" max="16384" width="8.8984375" style="5" customWidth="1"/>
  </cols>
  <sheetData>
    <row r="1" spans="1:7" ht="15">
      <c r="A1" s="389"/>
      <c r="B1" s="133" t="str">
        <f>inputPrYr!D2</f>
        <v>City of Toronto</v>
      </c>
      <c r="C1" s="133"/>
      <c r="D1" s="4"/>
      <c r="E1" s="4"/>
      <c r="F1" s="4"/>
      <c r="G1" s="4"/>
    </row>
    <row r="2" spans="1:7" ht="15">
      <c r="A2" s="389"/>
      <c r="B2" s="4"/>
      <c r="C2" s="4"/>
      <c r="D2" s="4"/>
      <c r="E2" s="4"/>
      <c r="F2" s="4"/>
      <c r="G2" s="4">
        <f>inputPrYr!$C$5</f>
        <v>2014</v>
      </c>
    </row>
    <row r="3" spans="1:7" ht="15">
      <c r="A3" s="389"/>
      <c r="B3" s="628" t="s">
        <v>356</v>
      </c>
      <c r="C3" s="628"/>
      <c r="D3" s="628"/>
      <c r="E3" s="628"/>
      <c r="F3" s="628"/>
      <c r="G3" s="4"/>
    </row>
    <row r="4" spans="1:7" ht="15">
      <c r="A4" s="389"/>
      <c r="B4" s="4"/>
      <c r="C4" s="146"/>
      <c r="D4" s="147"/>
      <c r="E4" s="147"/>
      <c r="F4" s="4"/>
      <c r="G4" s="4"/>
    </row>
    <row r="5" spans="1:7" ht="21" customHeight="1">
      <c r="A5" s="389"/>
      <c r="B5" s="148" t="s">
        <v>191</v>
      </c>
      <c r="C5" s="149" t="s">
        <v>277</v>
      </c>
      <c r="D5" s="630" t="str">
        <f>CONCATENATE("Allocation for Year ",G2,"")</f>
        <v>Allocation for Year 2014</v>
      </c>
      <c r="E5" s="631"/>
      <c r="F5" s="632"/>
      <c r="G5" s="390"/>
    </row>
    <row r="6" spans="1:7" ht="15">
      <c r="A6" s="389"/>
      <c r="B6" s="150" t="str">
        <f>CONCATENATE("for ",G2-1,"")</f>
        <v>for 2013</v>
      </c>
      <c r="C6" s="150" t="str">
        <f>CONCATENATE("Amount for ",G2-2,"")</f>
        <v>Amount for 2012</v>
      </c>
      <c r="D6" s="111" t="s">
        <v>91</v>
      </c>
      <c r="E6" s="111" t="s">
        <v>92</v>
      </c>
      <c r="F6" s="111" t="s">
        <v>90</v>
      </c>
      <c r="G6" s="392"/>
    </row>
    <row r="7" spans="1:7" ht="15">
      <c r="A7" s="389"/>
      <c r="B7" s="50" t="str">
        <f>(inputPrYr!B17)</f>
        <v>General</v>
      </c>
      <c r="C7" s="114">
        <f>(inputPrYr!E17)</f>
        <v>27760</v>
      </c>
      <c r="D7" s="114">
        <f>IF(inputOth!E39=0,0,D22-SUM(D8:D19))</f>
        <v>3738</v>
      </c>
      <c r="E7" s="114">
        <f>IF(inputOth!E40=0,0,E23-SUM(E8:E19))</f>
        <v>102</v>
      </c>
      <c r="F7" s="114">
        <f>IF(inputOth!E41=0,0,F24-SUM(F8:F19))</f>
        <v>692</v>
      </c>
      <c r="G7" s="390"/>
    </row>
    <row r="8" spans="1:7" ht="15">
      <c r="A8" s="389"/>
      <c r="B8" s="50" t="str">
        <f>IF(inputPrYr!$B18&gt;"  ",(inputPrYr!$B18),"  ")</f>
        <v>G. O. Bond and Interest</v>
      </c>
      <c r="C8" s="114">
        <f>IF(inputPrYr!$E18&gt;0,(inputPrYr!$E18),"  ")</f>
        <v>21034</v>
      </c>
      <c r="D8" s="114">
        <f>IF(inputPrYr!E18&gt;0,ROUND(C8*$D$27,0),"  ")</f>
        <v>2832</v>
      </c>
      <c r="E8" s="114">
        <f>IF(inputPrYr!E18&gt;0,ROUND(+C8*E$28,0)," ")</f>
        <v>77</v>
      </c>
      <c r="F8" s="114">
        <f>IF(inputPrYr!E18&gt;0,ROUND(+C8*F$29,0)," ")</f>
        <v>525</v>
      </c>
      <c r="G8" s="390"/>
    </row>
    <row r="9" spans="1:7" ht="15">
      <c r="A9" s="389"/>
      <c r="B9" s="50" t="str">
        <f>IF(inputPrYr!$B19&gt;"  ",(inputPrYr!$B19),"  ")</f>
        <v>Library</v>
      </c>
      <c r="C9" s="114">
        <f>IF(inputPrYr!$E19&gt;0,(inputPrYr!$E19),"  ")</f>
        <v>2404</v>
      </c>
      <c r="D9" s="114">
        <f>IF(inputPrYr!E19&gt;0,ROUND(C9*$D$27,0),"  ")</f>
        <v>324</v>
      </c>
      <c r="E9" s="114">
        <f>IF(inputPrYr!E19&gt;0,ROUND(+C9*E$28,0)," ")</f>
        <v>9</v>
      </c>
      <c r="F9" s="114">
        <f>IF(inputPrYr!E19&gt;0,ROUND(+C9*F$29,0)," ")</f>
        <v>60</v>
      </c>
      <c r="G9" s="390"/>
    </row>
    <row r="10" spans="1:7" ht="15">
      <c r="A10" s="389"/>
      <c r="B10" s="50" t="str">
        <f>IF(inputPrYr!$B21&gt;"  ",(inputPrYr!$B21),"  ")</f>
        <v>Special Liabilty</v>
      </c>
      <c r="C10" s="114">
        <f>IF(inputPrYr!$E21&gt;0,(inputPrYr!$E21),"  ")</f>
        <v>2404</v>
      </c>
      <c r="D10" s="114">
        <f>IF(inputPrYr!E21&gt;0,ROUND(C10*$D$27,0),"  ")</f>
        <v>324</v>
      </c>
      <c r="E10" s="114">
        <f>IF(inputPrYr!E21&gt;0,ROUND(+C10*E$28,0)," ")</f>
        <v>9</v>
      </c>
      <c r="F10" s="114">
        <f>IF(inputPrYr!E21&gt;0,ROUND(+C10*F$29,0)," ")</f>
        <v>60</v>
      </c>
      <c r="G10" s="390"/>
    </row>
    <row r="11" spans="1:7" ht="15">
      <c r="A11" s="389"/>
      <c r="B11" s="50" t="str">
        <f>IF(inputPrYr!$B22&gt;"  ",(inputPrYr!$B22),"  ")</f>
        <v>  </v>
      </c>
      <c r="C11" s="114" t="str">
        <f>IF(inputPrYr!$E22&gt;0,(inputPrYr!$E22),"  ")</f>
        <v>  </v>
      </c>
      <c r="D11" s="114" t="str">
        <f>IF(inputPrYr!E22&gt;0,ROUND(C11*$D$27,0),"  ")</f>
        <v>  </v>
      </c>
      <c r="E11" s="114" t="str">
        <f>IF(inputPrYr!E22&gt;0,ROUND(+C11*E$28,0)," ")</f>
        <v> </v>
      </c>
      <c r="F11" s="114" t="str">
        <f>IF(inputPrYr!E22&gt;0,ROUND(+C11*F$29,0)," ")</f>
        <v> </v>
      </c>
      <c r="G11" s="390"/>
    </row>
    <row r="12" spans="1:7" ht="15">
      <c r="A12" s="389"/>
      <c r="B12" s="50" t="str">
        <f>IF(inputPrYr!$B23&gt;"  ",(inputPrYr!$B23),"  ")</f>
        <v>  </v>
      </c>
      <c r="C12" s="114" t="str">
        <f>IF(inputPrYr!$E23&gt;0,(inputPrYr!$E23),"  ")</f>
        <v>  </v>
      </c>
      <c r="D12" s="114" t="str">
        <f>IF(inputPrYr!E23&gt;0,ROUND(C12*$D$27,0),"  ")</f>
        <v>  </v>
      </c>
      <c r="E12" s="114" t="str">
        <f>IF(inputPrYr!E23&gt;0,ROUND(+C12*E$28,0)," ")</f>
        <v> </v>
      </c>
      <c r="F12" s="114" t="str">
        <f>IF(inputPrYr!E23&gt;0,ROUND(+C12*F$29,0)," ")</f>
        <v> </v>
      </c>
      <c r="G12" s="390"/>
    </row>
    <row r="13" spans="1:7" ht="15">
      <c r="A13" s="389"/>
      <c r="B13" s="50" t="str">
        <f>IF(inputPrYr!$B24&gt;"  ",(inputPrYr!$B24),"  ")</f>
        <v>  </v>
      </c>
      <c r="C13" s="114" t="str">
        <f>IF(inputPrYr!$E24&gt;0,(inputPrYr!$E24),"  ")</f>
        <v>  </v>
      </c>
      <c r="D13" s="114" t="str">
        <f>IF(inputPrYr!E24&gt;0,ROUND(C13*$D$27,0),"  ")</f>
        <v>  </v>
      </c>
      <c r="E13" s="114" t="str">
        <f>IF(inputPrYr!E24&gt;0,ROUND(+C13*E$28,0)," ")</f>
        <v> </v>
      </c>
      <c r="F13" s="114" t="str">
        <f>IF(inputPrYr!E24&gt;0,ROUND(+C13*F$29,0)," ")</f>
        <v> </v>
      </c>
      <c r="G13" s="390"/>
    </row>
    <row r="14" spans="1:7" ht="15">
      <c r="A14" s="389"/>
      <c r="B14" s="50" t="str">
        <f>IF(inputPrYr!$B25&gt;"  ",(inputPrYr!$B25),"  ")</f>
        <v>  </v>
      </c>
      <c r="C14" s="114" t="str">
        <f>IF(inputPrYr!$E25&gt;0,(inputPrYr!$E25),"  ")</f>
        <v>  </v>
      </c>
      <c r="D14" s="114" t="str">
        <f>IF(inputPrYr!E25&gt;0,ROUND(C14*$D$27,0),"  ")</f>
        <v>  </v>
      </c>
      <c r="E14" s="114" t="str">
        <f>IF(inputPrYr!E25&gt;0,ROUND(+C14*E$28,0)," ")</f>
        <v> </v>
      </c>
      <c r="F14" s="114" t="str">
        <f>IF(inputPrYr!E25&gt;0,ROUND(+C14*F$29,0)," ")</f>
        <v> </v>
      </c>
      <c r="G14" s="390"/>
    </row>
    <row r="15" spans="1:7" ht="15">
      <c r="A15" s="389"/>
      <c r="B15" s="50" t="str">
        <f>IF(inputPrYr!$B26&gt;"  ",(inputPrYr!$B26),"  ")</f>
        <v>  </v>
      </c>
      <c r="C15" s="114" t="str">
        <f>IF(inputPrYr!$E26&gt;0,(inputPrYr!$E26),"  ")</f>
        <v>  </v>
      </c>
      <c r="D15" s="114" t="str">
        <f>IF(inputPrYr!E26&gt;0,ROUND(C15*$D$27,0),"  ")</f>
        <v>  </v>
      </c>
      <c r="E15" s="114" t="str">
        <f>IF(inputPrYr!E26&gt;0,ROUND(+C15*E$28,0)," ")</f>
        <v> </v>
      </c>
      <c r="F15" s="114" t="str">
        <f>IF(inputPrYr!E26&gt;0,ROUND(+C15*F$29,0)," ")</f>
        <v> </v>
      </c>
      <c r="G15" s="390"/>
    </row>
    <row r="16" spans="1:7" ht="15">
      <c r="A16" s="389"/>
      <c r="B16" s="50" t="str">
        <f>IF(inputPrYr!$B27&gt;"  ",(inputPrYr!$B27),"  ")</f>
        <v>  </v>
      </c>
      <c r="C16" s="114" t="str">
        <f>IF(inputPrYr!$E27&gt;0,(inputPrYr!$E27),"  ")</f>
        <v>  </v>
      </c>
      <c r="D16" s="114" t="str">
        <f>IF(inputPrYr!E27&gt;0,ROUND(C16*$D$27,0),"  ")</f>
        <v>  </v>
      </c>
      <c r="E16" s="114" t="str">
        <f>IF(inputPrYr!E27&gt;0,ROUND(+C16*E$28,0)," ")</f>
        <v> </v>
      </c>
      <c r="F16" s="114" t="str">
        <f>IF(inputPrYr!E27&gt;0,ROUND(+C16*F$29,0)," ")</f>
        <v> </v>
      </c>
      <c r="G16" s="390"/>
    </row>
    <row r="17" spans="1:7" ht="15">
      <c r="A17" s="389"/>
      <c r="B17" s="50" t="str">
        <f>IF(inputPrYr!$B28&gt;"  ",(inputPrYr!$B28),"  ")</f>
        <v>  </v>
      </c>
      <c r="C17" s="114" t="str">
        <f>IF(inputPrYr!$E28&gt;0,(inputPrYr!$E28),"  ")</f>
        <v>  </v>
      </c>
      <c r="D17" s="114" t="str">
        <f>IF(inputPrYr!E28&gt;0,ROUND(C17*$D$27,0),"  ")</f>
        <v>  </v>
      </c>
      <c r="E17" s="114" t="str">
        <f>IF(inputPrYr!E28&gt;0,ROUND(+C17*E$28,0)," ")</f>
        <v> </v>
      </c>
      <c r="F17" s="114" t="str">
        <f>IF(inputPrYr!E28&gt;0,ROUND(+C17*F$29,0)," ")</f>
        <v> </v>
      </c>
      <c r="G17" s="390"/>
    </row>
    <row r="18" spans="1:7" ht="15">
      <c r="A18" s="389"/>
      <c r="B18" s="50" t="str">
        <f>IF(inputPrYr!$B29&gt;"  ",(inputPrYr!$B29),"  ")</f>
        <v>  </v>
      </c>
      <c r="C18" s="114" t="str">
        <f>IF(inputPrYr!$E29&gt;0,(inputPrYr!$E29),"  ")</f>
        <v>  </v>
      </c>
      <c r="D18" s="114" t="str">
        <f>IF(inputPrYr!E29&gt;0,ROUND(C18*$D$27,0),"  ")</f>
        <v>  </v>
      </c>
      <c r="E18" s="114" t="str">
        <f>IF(inputPrYr!E29&gt;0,ROUND(+C18*E$28,0)," ")</f>
        <v> </v>
      </c>
      <c r="F18" s="114" t="str">
        <f>IF(inputPrYr!E29&gt;0,ROUND(+C18*F$29,0)," ")</f>
        <v> </v>
      </c>
      <c r="G18" s="390"/>
    </row>
    <row r="19" spans="1:7" ht="15">
      <c r="A19" s="389"/>
      <c r="B19" s="50" t="str">
        <f>IF(inputPrYr!$B30&gt;"  ",(inputPrYr!$B30),"  ")</f>
        <v>  </v>
      </c>
      <c r="C19" s="114" t="str">
        <f>IF(inputPrYr!$E30&gt;0,(inputPrYr!$E30),"  ")</f>
        <v>  </v>
      </c>
      <c r="D19" s="114" t="str">
        <f>IF(inputPrYr!E30&gt;0,ROUND(C19*$D$27,0),"  ")</f>
        <v>  </v>
      </c>
      <c r="E19" s="114" t="str">
        <f>IF(inputPrYr!E30&gt;0,ROUND(+C19*E$28,0)," ")</f>
        <v> </v>
      </c>
      <c r="F19" s="114" t="str">
        <f>IF(inputPrYr!E30&gt;0,ROUND(+C19*F$29,0)," ")</f>
        <v> </v>
      </c>
      <c r="G19" s="390"/>
    </row>
    <row r="20" spans="1:7" ht="15">
      <c r="A20" s="389"/>
      <c r="B20" s="391" t="s">
        <v>19</v>
      </c>
      <c r="C20" s="120">
        <f>SUM(C7:C19)</f>
        <v>53602</v>
      </c>
      <c r="D20" s="120">
        <f>SUM(D7:D19)</f>
        <v>7218</v>
      </c>
      <c r="E20" s="120">
        <f>SUM(E7:E19)</f>
        <v>197</v>
      </c>
      <c r="F20" s="120">
        <f>SUM(F7:F19)</f>
        <v>1337</v>
      </c>
      <c r="G20" s="390"/>
    </row>
    <row r="21" spans="1:7" ht="15">
      <c r="A21" s="389"/>
      <c r="B21" s="4"/>
      <c r="C21" s="4"/>
      <c r="D21" s="4"/>
      <c r="E21" s="4"/>
      <c r="F21" s="4"/>
      <c r="G21" s="4"/>
    </row>
    <row r="22" spans="1:7" ht="15">
      <c r="A22" s="389"/>
      <c r="B22" s="11" t="s">
        <v>20</v>
      </c>
      <c r="C22" s="151"/>
      <c r="D22" s="152">
        <f>(inputOth!E39)</f>
        <v>7218</v>
      </c>
      <c r="E22" s="151"/>
      <c r="F22" s="4"/>
      <c r="G22" s="4"/>
    </row>
    <row r="23" spans="1:7" ht="15">
      <c r="A23" s="389"/>
      <c r="B23" s="11" t="s">
        <v>21</v>
      </c>
      <c r="C23" s="4"/>
      <c r="D23" s="4"/>
      <c r="E23" s="152">
        <f>(inputOth!E40)</f>
        <v>197</v>
      </c>
      <c r="F23" s="4"/>
      <c r="G23" s="4"/>
    </row>
    <row r="24" spans="1:7" ht="15">
      <c r="A24" s="389"/>
      <c r="B24" s="11" t="s">
        <v>93</v>
      </c>
      <c r="C24" s="4"/>
      <c r="D24" s="4"/>
      <c r="E24" s="4"/>
      <c r="F24" s="152">
        <f>inputOth!E41</f>
        <v>1337</v>
      </c>
      <c r="G24" s="4"/>
    </row>
    <row r="25" spans="1:7" ht="15">
      <c r="A25" s="389"/>
      <c r="B25" s="43"/>
      <c r="C25" s="42"/>
      <c r="D25" s="42"/>
      <c r="E25" s="42"/>
      <c r="F25" s="153"/>
      <c r="G25" s="40"/>
    </row>
    <row r="26" spans="1:7" ht="15">
      <c r="A26" s="389"/>
      <c r="B26" s="11"/>
      <c r="C26" s="4"/>
      <c r="D26" s="4"/>
      <c r="E26" s="4"/>
      <c r="F26" s="153"/>
      <c r="G26" s="4"/>
    </row>
    <row r="27" spans="1:7" ht="15">
      <c r="A27" s="389"/>
      <c r="B27" s="11" t="s">
        <v>22</v>
      </c>
      <c r="C27" s="4"/>
      <c r="D27" s="154">
        <f>IF(C20=0,0,D22/C20)</f>
        <v>0.1346591545091601</v>
      </c>
      <c r="E27" s="4"/>
      <c r="F27" s="4"/>
      <c r="G27" s="4"/>
    </row>
    <row r="28" spans="1:7" ht="15">
      <c r="A28" s="389"/>
      <c r="B28" s="4"/>
      <c r="C28" s="11" t="s">
        <v>23</v>
      </c>
      <c r="D28" s="4"/>
      <c r="E28" s="154">
        <f>IF(C20=0,0,E23/C20)</f>
        <v>0.0036752359986567664</v>
      </c>
      <c r="F28" s="4"/>
      <c r="G28" s="4"/>
    </row>
    <row r="29" spans="1:7" ht="15">
      <c r="A29" s="389"/>
      <c r="B29" s="4"/>
      <c r="C29" s="4"/>
      <c r="D29" s="11" t="s">
        <v>94</v>
      </c>
      <c r="E29" s="4"/>
      <c r="F29" s="154">
        <f>IF(F24=0,0,F24/C20)</f>
        <v>0.02494309913809186</v>
      </c>
      <c r="G29" s="4"/>
    </row>
    <row r="30" spans="1:7" ht="15">
      <c r="A30" s="389"/>
      <c r="B30" s="4"/>
      <c r="C30" s="4"/>
      <c r="D30" s="4"/>
      <c r="E30" s="4"/>
      <c r="F30" s="4"/>
      <c r="G30" s="4"/>
    </row>
    <row r="31" spans="1:7" ht="15" customHeight="1">
      <c r="A31" s="623" t="s">
        <v>445</v>
      </c>
      <c r="B31" s="624"/>
      <c r="C31" s="624"/>
      <c r="D31" s="624"/>
      <c r="E31" s="624"/>
      <c r="F31" s="624"/>
      <c r="G31" s="620"/>
    </row>
    <row r="32" ht="15" customHeight="1"/>
    <row r="33" s="155"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3">
    <mergeCell ref="B3:F3"/>
    <mergeCell ref="D5:F5"/>
    <mergeCell ref="A31:G31"/>
  </mergeCells>
  <printOptions/>
  <pageMargins left="0.5" right="0.5" top="0.5" bottom="0" header="0.25" footer="0"/>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25">
      <selection activeCell="A33" sqref="A33"/>
    </sheetView>
  </sheetViews>
  <sheetFormatPr defaultColWidth="8.8984375" defaultRowHeight="15"/>
  <cols>
    <col min="1" max="2" width="17.69921875" style="1" customWidth="1"/>
    <col min="3" max="6" width="12.69921875" style="1" customWidth="1"/>
    <col min="7" max="16384" width="8.8984375" style="1" customWidth="1"/>
  </cols>
  <sheetData>
    <row r="1" spans="1:6" ht="15">
      <c r="A1" s="66" t="str">
        <f>inputPrYr!D2</f>
        <v>City of Toronto</v>
      </c>
      <c r="B1" s="66"/>
      <c r="C1" s="68"/>
      <c r="D1" s="68"/>
      <c r="E1" s="68"/>
      <c r="F1" s="68">
        <f>inputPrYr!$C$5</f>
        <v>2014</v>
      </c>
    </row>
    <row r="2" spans="1:6" ht="15">
      <c r="A2" s="68"/>
      <c r="B2" s="68"/>
      <c r="C2" s="68"/>
      <c r="D2" s="68"/>
      <c r="E2" s="68"/>
      <c r="F2" s="68"/>
    </row>
    <row r="3" spans="1:6" ht="15">
      <c r="A3" s="629" t="s">
        <v>146</v>
      </c>
      <c r="B3" s="629"/>
      <c r="C3" s="629"/>
      <c r="D3" s="629"/>
      <c r="E3" s="629"/>
      <c r="F3" s="629"/>
    </row>
    <row r="4" spans="1:6" ht="15">
      <c r="A4" s="156"/>
      <c r="B4" s="156"/>
      <c r="C4" s="156"/>
      <c r="D4" s="156"/>
      <c r="E4" s="156"/>
      <c r="F4" s="156"/>
    </row>
    <row r="5" spans="1:6" ht="15">
      <c r="A5" s="157" t="s">
        <v>249</v>
      </c>
      <c r="B5" s="157" t="s">
        <v>251</v>
      </c>
      <c r="C5" s="157" t="s">
        <v>43</v>
      </c>
      <c r="D5" s="157" t="s">
        <v>152</v>
      </c>
      <c r="E5" s="157" t="s">
        <v>153</v>
      </c>
      <c r="F5" s="157" t="s">
        <v>184</v>
      </c>
    </row>
    <row r="6" spans="1:6" ht="15">
      <c r="A6" s="158" t="s">
        <v>250</v>
      </c>
      <c r="B6" s="158" t="s">
        <v>252</v>
      </c>
      <c r="C6" s="158" t="s">
        <v>185</v>
      </c>
      <c r="D6" s="158" t="s">
        <v>185</v>
      </c>
      <c r="E6" s="158" t="s">
        <v>185</v>
      </c>
      <c r="F6" s="158" t="s">
        <v>186</v>
      </c>
    </row>
    <row r="7" spans="1:6" ht="15" customHeight="1">
      <c r="A7" s="159" t="s">
        <v>187</v>
      </c>
      <c r="B7" s="159" t="s">
        <v>188</v>
      </c>
      <c r="C7" s="160">
        <f>F1-2</f>
        <v>2012</v>
      </c>
      <c r="D7" s="160">
        <f>F1-1</f>
        <v>2013</v>
      </c>
      <c r="E7" s="160">
        <f>F1</f>
        <v>2014</v>
      </c>
      <c r="F7" s="159" t="s">
        <v>189</v>
      </c>
    </row>
    <row r="8" spans="1:6" ht="14.25" customHeight="1">
      <c r="A8" s="584" t="s">
        <v>365</v>
      </c>
      <c r="B8" s="584" t="s">
        <v>374</v>
      </c>
      <c r="C8" s="381">
        <v>16000</v>
      </c>
      <c r="D8" s="381">
        <v>16000</v>
      </c>
      <c r="E8" s="381">
        <v>16000</v>
      </c>
      <c r="F8" s="584" t="s">
        <v>377</v>
      </c>
    </row>
    <row r="9" spans="1:6" ht="15" customHeight="1">
      <c r="A9" s="585" t="s">
        <v>366</v>
      </c>
      <c r="B9" s="585" t="s">
        <v>375</v>
      </c>
      <c r="C9" s="382">
        <v>0</v>
      </c>
      <c r="D9" s="382">
        <v>2500</v>
      </c>
      <c r="E9" s="382">
        <v>2500</v>
      </c>
      <c r="F9" s="584" t="s">
        <v>377</v>
      </c>
    </row>
    <row r="10" spans="1:6" ht="15" customHeight="1">
      <c r="A10" s="585" t="s">
        <v>366</v>
      </c>
      <c r="B10" s="585" t="s">
        <v>374</v>
      </c>
      <c r="C10" s="382">
        <v>6000</v>
      </c>
      <c r="D10" s="382">
        <v>6000</v>
      </c>
      <c r="E10" s="382">
        <v>6000</v>
      </c>
      <c r="F10" s="584" t="s">
        <v>377</v>
      </c>
    </row>
    <row r="11" spans="1:6" ht="15" customHeight="1">
      <c r="A11" s="585" t="s">
        <v>367</v>
      </c>
      <c r="B11" s="585" t="s">
        <v>375</v>
      </c>
      <c r="C11" s="382">
        <v>17500</v>
      </c>
      <c r="D11" s="382">
        <v>17500</v>
      </c>
      <c r="E11" s="382">
        <v>17500</v>
      </c>
      <c r="F11" s="584" t="s">
        <v>377</v>
      </c>
    </row>
    <row r="12" spans="1:6" ht="15" customHeight="1">
      <c r="A12" s="585" t="s">
        <v>367</v>
      </c>
      <c r="B12" s="585" t="s">
        <v>376</v>
      </c>
      <c r="C12" s="382">
        <v>5000</v>
      </c>
      <c r="D12" s="382">
        <v>5000</v>
      </c>
      <c r="E12" s="382">
        <v>5000</v>
      </c>
      <c r="F12" s="585" t="s">
        <v>378</v>
      </c>
    </row>
    <row r="13" spans="1:6" ht="15" customHeight="1">
      <c r="A13" s="585" t="s">
        <v>366</v>
      </c>
      <c r="B13" s="585" t="s">
        <v>376</v>
      </c>
      <c r="C13" s="382">
        <v>2500</v>
      </c>
      <c r="D13" s="382">
        <v>2500</v>
      </c>
      <c r="E13" s="382">
        <v>2500</v>
      </c>
      <c r="F13" s="585" t="s">
        <v>378</v>
      </c>
    </row>
    <row r="14" spans="1:6" ht="15" customHeight="1">
      <c r="A14" s="161"/>
      <c r="B14" s="161"/>
      <c r="C14" s="382"/>
      <c r="D14" s="382"/>
      <c r="E14" s="382"/>
      <c r="F14" s="161"/>
    </row>
    <row r="15" spans="1:6" ht="15" customHeight="1">
      <c r="A15" s="161"/>
      <c r="B15" s="161"/>
      <c r="C15" s="382"/>
      <c r="D15" s="382"/>
      <c r="E15" s="382"/>
      <c r="F15" s="161"/>
    </row>
    <row r="16" spans="1:6" ht="15" customHeight="1">
      <c r="A16" s="161"/>
      <c r="B16" s="161"/>
      <c r="C16" s="382"/>
      <c r="D16" s="382"/>
      <c r="E16" s="382"/>
      <c r="F16" s="161"/>
    </row>
    <row r="17" spans="1:6" ht="15" customHeight="1">
      <c r="A17" s="161"/>
      <c r="B17" s="161"/>
      <c r="C17" s="382"/>
      <c r="D17" s="382"/>
      <c r="E17" s="382"/>
      <c r="F17" s="161"/>
    </row>
    <row r="18" spans="1:6" ht="15" customHeight="1">
      <c r="A18" s="161"/>
      <c r="B18" s="161"/>
      <c r="C18" s="382"/>
      <c r="D18" s="382"/>
      <c r="E18" s="382"/>
      <c r="F18" s="161"/>
    </row>
    <row r="19" spans="1:6" ht="15" customHeight="1">
      <c r="A19" s="161"/>
      <c r="B19" s="161"/>
      <c r="C19" s="382"/>
      <c r="D19" s="382"/>
      <c r="E19" s="382"/>
      <c r="F19" s="161"/>
    </row>
    <row r="20" spans="1:6" ht="15" customHeight="1">
      <c r="A20" s="161"/>
      <c r="B20" s="161"/>
      <c r="C20" s="382"/>
      <c r="D20" s="382"/>
      <c r="E20" s="382"/>
      <c r="F20" s="161"/>
    </row>
    <row r="21" spans="1:6" ht="15" customHeight="1">
      <c r="A21" s="161"/>
      <c r="B21" s="161"/>
      <c r="C21" s="382"/>
      <c r="D21" s="382"/>
      <c r="E21" s="382"/>
      <c r="F21" s="161"/>
    </row>
    <row r="22" spans="1:6" ht="15" customHeight="1">
      <c r="A22" s="161"/>
      <c r="B22" s="161"/>
      <c r="C22" s="382"/>
      <c r="D22" s="382"/>
      <c r="E22" s="382"/>
      <c r="F22" s="161"/>
    </row>
    <row r="23" spans="1:6" ht="15" customHeight="1">
      <c r="A23" s="161"/>
      <c r="B23" s="161"/>
      <c r="C23" s="382"/>
      <c r="D23" s="382"/>
      <c r="E23" s="382"/>
      <c r="F23" s="161"/>
    </row>
    <row r="24" spans="1:6" ht="15" customHeight="1">
      <c r="A24" s="161"/>
      <c r="B24" s="161"/>
      <c r="C24" s="382"/>
      <c r="D24" s="382"/>
      <c r="E24" s="382"/>
      <c r="F24" s="161"/>
    </row>
    <row r="25" spans="1:6" ht="15" customHeight="1">
      <c r="A25" s="161"/>
      <c r="B25" s="161"/>
      <c r="C25" s="382"/>
      <c r="D25" s="382"/>
      <c r="E25" s="382"/>
      <c r="F25" s="161"/>
    </row>
    <row r="26" spans="1:6" ht="15" customHeight="1">
      <c r="A26" s="162"/>
      <c r="B26" s="163" t="s">
        <v>12</v>
      </c>
      <c r="C26" s="380">
        <f>SUM(C8:C25)</f>
        <v>47000</v>
      </c>
      <c r="D26" s="380">
        <f>SUM(D8:D25)</f>
        <v>49500</v>
      </c>
      <c r="E26" s="380">
        <f>SUM(E8:E25)</f>
        <v>49500</v>
      </c>
      <c r="F26" s="162"/>
    </row>
    <row r="27" spans="1:6" ht="15" customHeight="1">
      <c r="A27" s="162"/>
      <c r="B27" s="165" t="s">
        <v>253</v>
      </c>
      <c r="C27" s="119"/>
      <c r="D27" s="161"/>
      <c r="E27" s="161"/>
      <c r="F27" s="162"/>
    </row>
    <row r="28" spans="1:6" ht="15" customHeight="1">
      <c r="A28" s="162"/>
      <c r="B28" s="163" t="s">
        <v>190</v>
      </c>
      <c r="C28" s="380">
        <f>C26</f>
        <v>47000</v>
      </c>
      <c r="D28" s="380">
        <f>SUM(D26-D27)</f>
        <v>49500</v>
      </c>
      <c r="E28" s="380">
        <f>SUM(E26-E27)</f>
        <v>49500</v>
      </c>
      <c r="F28" s="162"/>
    </row>
    <row r="29" spans="1:6" ht="15" customHeight="1">
      <c r="A29" s="60"/>
      <c r="B29" s="60"/>
      <c r="C29" s="60"/>
      <c r="D29" s="60"/>
      <c r="E29" s="60"/>
      <c r="F29" s="60"/>
    </row>
    <row r="30" spans="1:6" ht="15" customHeight="1">
      <c r="A30" s="60"/>
      <c r="B30" s="60"/>
      <c r="C30" s="60"/>
      <c r="D30" s="60"/>
      <c r="E30" s="60"/>
      <c r="F30" s="60"/>
    </row>
    <row r="31" spans="1:6" ht="21.75" customHeight="1">
      <c r="A31" s="283" t="s">
        <v>248</v>
      </c>
      <c r="B31" s="284" t="str">
        <f>CONCATENATE("Adjustments are required only if the transfer is being made in ",D7," and/or ",E7," from a non-budgeted fund.")</f>
        <v>Adjustments are required only if the transfer is being made in 2013 and/or 2014 from a non-budgeted fund.</v>
      </c>
      <c r="C31" s="60"/>
      <c r="D31" s="60"/>
      <c r="E31" s="60"/>
      <c r="F31" s="60"/>
    </row>
    <row r="32" spans="1:7" ht="15" customHeight="1">
      <c r="A32" s="623" t="s">
        <v>445</v>
      </c>
      <c r="B32" s="624"/>
      <c r="C32" s="624"/>
      <c r="D32" s="624"/>
      <c r="E32" s="624"/>
      <c r="F32" s="624"/>
      <c r="G32" s="65"/>
    </row>
  </sheetData>
  <sheetProtection/>
  <mergeCells count="2">
    <mergeCell ref="A3:F3"/>
    <mergeCell ref="A32:F32"/>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30">
      <selection activeCell="B45" sqref="B45"/>
    </sheetView>
  </sheetViews>
  <sheetFormatPr defaultColWidth="8.8984375" defaultRowHeight="15"/>
  <cols>
    <col min="1" max="1" width="4.59765625" style="5" customWidth="1"/>
    <col min="2" max="2" width="20.69921875" style="5" customWidth="1"/>
    <col min="3" max="3" width="9.296875" style="5" customWidth="1"/>
    <col min="4" max="4" width="9.09765625" style="5" customWidth="1"/>
    <col min="5" max="5" width="8.69921875" style="5" customWidth="1"/>
    <col min="6" max="6" width="12.69921875" style="5" customWidth="1"/>
    <col min="7" max="7" width="13.69921875" style="5" customWidth="1"/>
    <col min="8" max="9" width="9.296875" style="5" customWidth="1"/>
    <col min="10" max="13" width="9.69921875" style="5" customWidth="1"/>
    <col min="14" max="16384" width="8.8984375" style="5" customWidth="1"/>
  </cols>
  <sheetData>
    <row r="1" spans="2:13" ht="18.75" customHeight="1">
      <c r="B1" s="133" t="str">
        <f>inputPrYr!$D$2</f>
        <v>City of Toronto</v>
      </c>
      <c r="C1" s="4"/>
      <c r="D1" s="4"/>
      <c r="E1" s="4"/>
      <c r="F1" s="4"/>
      <c r="G1" s="4"/>
      <c r="H1" s="4"/>
      <c r="I1" s="4"/>
      <c r="J1" s="4"/>
      <c r="K1" s="4"/>
      <c r="L1" s="4"/>
      <c r="M1" s="166">
        <f>inputPrYr!$C$5</f>
        <v>2014</v>
      </c>
    </row>
    <row r="2" spans="2:13" ht="15">
      <c r="B2" s="133"/>
      <c r="C2" s="4"/>
      <c r="D2" s="4"/>
      <c r="E2" s="4"/>
      <c r="F2" s="4"/>
      <c r="G2" s="4"/>
      <c r="H2" s="4"/>
      <c r="I2" s="4"/>
      <c r="J2" s="4"/>
      <c r="K2" s="4"/>
      <c r="L2" s="4"/>
      <c r="M2" s="129"/>
    </row>
    <row r="3" spans="2:13" ht="15">
      <c r="B3" s="167" t="s">
        <v>89</v>
      </c>
      <c r="C3" s="15"/>
      <c r="D3" s="15"/>
      <c r="E3" s="15"/>
      <c r="F3" s="15"/>
      <c r="G3" s="15"/>
      <c r="H3" s="15"/>
      <c r="I3" s="15"/>
      <c r="J3" s="15"/>
      <c r="K3" s="15"/>
      <c r="L3" s="15"/>
      <c r="M3" s="15"/>
    </row>
    <row r="4" spans="2:13" ht="15">
      <c r="B4" s="4"/>
      <c r="C4" s="168"/>
      <c r="D4" s="168"/>
      <c r="E4" s="168"/>
      <c r="F4" s="168"/>
      <c r="G4" s="168"/>
      <c r="H4" s="168"/>
      <c r="I4" s="168"/>
      <c r="J4" s="168"/>
      <c r="K4" s="168"/>
      <c r="L4" s="168"/>
      <c r="M4" s="168"/>
    </row>
    <row r="5" spans="2:13" ht="15">
      <c r="B5" s="115"/>
      <c r="C5" s="148" t="s">
        <v>58</v>
      </c>
      <c r="D5" s="148" t="s">
        <v>58</v>
      </c>
      <c r="E5" s="148" t="s">
        <v>72</v>
      </c>
      <c r="F5" s="148"/>
      <c r="G5" s="148" t="s">
        <v>179</v>
      </c>
      <c r="H5" s="4"/>
      <c r="I5" s="4"/>
      <c r="J5" s="169" t="s">
        <v>59</v>
      </c>
      <c r="K5" s="170"/>
      <c r="L5" s="169" t="s">
        <v>59</v>
      </c>
      <c r="M5" s="170"/>
    </row>
    <row r="6" spans="2:13" ht="15">
      <c r="B6" s="109" t="s">
        <v>338</v>
      </c>
      <c r="C6" s="109" t="s">
        <v>60</v>
      </c>
      <c r="D6" s="109" t="s">
        <v>180</v>
      </c>
      <c r="E6" s="109" t="s">
        <v>61</v>
      </c>
      <c r="F6" s="109" t="s">
        <v>17</v>
      </c>
      <c r="G6" s="109" t="s">
        <v>181</v>
      </c>
      <c r="H6" s="633" t="s">
        <v>62</v>
      </c>
      <c r="I6" s="634"/>
      <c r="J6" s="635">
        <f>M1-1</f>
        <v>2013</v>
      </c>
      <c r="K6" s="636"/>
      <c r="L6" s="635">
        <f>M1</f>
        <v>2014</v>
      </c>
      <c r="M6" s="636"/>
    </row>
    <row r="7" spans="2:13" ht="15">
      <c r="B7" s="112" t="s">
        <v>339</v>
      </c>
      <c r="C7" s="112" t="s">
        <v>63</v>
      </c>
      <c r="D7" s="112" t="s">
        <v>182</v>
      </c>
      <c r="E7" s="112" t="s">
        <v>39</v>
      </c>
      <c r="F7" s="112" t="s">
        <v>64</v>
      </c>
      <c r="G7" s="171" t="str">
        <f>CONCATENATE("Jan 1,",M1-1,"")</f>
        <v>Jan 1,2013</v>
      </c>
      <c r="H7" s="119" t="s">
        <v>72</v>
      </c>
      <c r="I7" s="119" t="s">
        <v>74</v>
      </c>
      <c r="J7" s="119" t="s">
        <v>72</v>
      </c>
      <c r="K7" s="119" t="s">
        <v>74</v>
      </c>
      <c r="L7" s="119" t="s">
        <v>72</v>
      </c>
      <c r="M7" s="119" t="s">
        <v>74</v>
      </c>
    </row>
    <row r="8" spans="2:13" ht="15">
      <c r="B8" s="172" t="s">
        <v>65</v>
      </c>
      <c r="C8" s="30"/>
      <c r="D8" s="30"/>
      <c r="E8" s="173"/>
      <c r="F8" s="174"/>
      <c r="G8" s="174"/>
      <c r="H8" s="30"/>
      <c r="I8" s="30"/>
      <c r="J8" s="174"/>
      <c r="K8" s="174"/>
      <c r="L8" s="174"/>
      <c r="M8" s="174"/>
    </row>
    <row r="9" spans="2:13" ht="15">
      <c r="B9" s="35" t="s">
        <v>379</v>
      </c>
      <c r="C9" s="286"/>
      <c r="D9" s="286"/>
      <c r="E9" s="175"/>
      <c r="F9" s="176"/>
      <c r="G9" s="177"/>
      <c r="H9" s="178"/>
      <c r="I9" s="178"/>
      <c r="J9" s="177"/>
      <c r="K9" s="177"/>
      <c r="L9" s="177"/>
      <c r="M9" s="177"/>
    </row>
    <row r="10" spans="2:13" ht="15">
      <c r="B10" s="35" t="s">
        <v>380</v>
      </c>
      <c r="C10" s="286">
        <v>40084</v>
      </c>
      <c r="D10" s="286">
        <v>45170</v>
      </c>
      <c r="E10" s="175" t="s">
        <v>381</v>
      </c>
      <c r="F10" s="176">
        <v>560000</v>
      </c>
      <c r="G10" s="177">
        <v>450000</v>
      </c>
      <c r="H10" s="178" t="s">
        <v>382</v>
      </c>
      <c r="I10" s="178" t="s">
        <v>383</v>
      </c>
      <c r="J10" s="177">
        <v>17785</v>
      </c>
      <c r="K10" s="177">
        <v>40000</v>
      </c>
      <c r="L10" s="177">
        <v>16685</v>
      </c>
      <c r="M10" s="177">
        <v>40000</v>
      </c>
    </row>
    <row r="11" spans="2:13" ht="15">
      <c r="B11" s="35"/>
      <c r="C11" s="286"/>
      <c r="D11" s="286"/>
      <c r="E11" s="175"/>
      <c r="F11" s="176"/>
      <c r="G11" s="177"/>
      <c r="H11" s="178"/>
      <c r="I11" s="178"/>
      <c r="J11" s="177"/>
      <c r="K11" s="177"/>
      <c r="L11" s="177"/>
      <c r="M11" s="177"/>
    </row>
    <row r="12" spans="2:13" ht="15">
      <c r="B12" s="35"/>
      <c r="C12" s="286"/>
      <c r="D12" s="286"/>
      <c r="E12" s="175"/>
      <c r="F12" s="176"/>
      <c r="G12" s="177"/>
      <c r="H12" s="178"/>
      <c r="I12" s="178"/>
      <c r="J12" s="177"/>
      <c r="K12" s="177"/>
      <c r="L12" s="177"/>
      <c r="M12" s="177"/>
    </row>
    <row r="13" spans="2:13" ht="15">
      <c r="B13" s="35"/>
      <c r="C13" s="286"/>
      <c r="D13" s="286"/>
      <c r="E13" s="175"/>
      <c r="F13" s="176"/>
      <c r="G13" s="177"/>
      <c r="H13" s="178"/>
      <c r="I13" s="178"/>
      <c r="J13" s="177"/>
      <c r="K13" s="177"/>
      <c r="L13" s="177"/>
      <c r="M13" s="177"/>
    </row>
    <row r="14" spans="2:13" ht="15">
      <c r="B14" s="35"/>
      <c r="C14" s="286"/>
      <c r="D14" s="286"/>
      <c r="E14" s="175"/>
      <c r="F14" s="176"/>
      <c r="G14" s="177"/>
      <c r="H14" s="178"/>
      <c r="I14" s="178"/>
      <c r="J14" s="177"/>
      <c r="K14" s="177"/>
      <c r="L14" s="177"/>
      <c r="M14" s="177"/>
    </row>
    <row r="15" spans="2:13" ht="15">
      <c r="B15" s="35"/>
      <c r="C15" s="286"/>
      <c r="D15" s="286"/>
      <c r="E15" s="175"/>
      <c r="F15" s="176"/>
      <c r="G15" s="177"/>
      <c r="H15" s="178"/>
      <c r="I15" s="178"/>
      <c r="J15" s="177"/>
      <c r="K15" s="177"/>
      <c r="L15" s="177"/>
      <c r="M15" s="177"/>
    </row>
    <row r="16" spans="2:13" ht="15">
      <c r="B16" s="35"/>
      <c r="C16" s="286"/>
      <c r="D16" s="286"/>
      <c r="E16" s="175"/>
      <c r="F16" s="176"/>
      <c r="G16" s="177"/>
      <c r="H16" s="178"/>
      <c r="I16" s="178"/>
      <c r="J16" s="177"/>
      <c r="K16" s="177"/>
      <c r="L16" s="177"/>
      <c r="M16" s="177"/>
    </row>
    <row r="17" spans="2:13" ht="15">
      <c r="B17" s="35"/>
      <c r="C17" s="286"/>
      <c r="D17" s="286"/>
      <c r="E17" s="175"/>
      <c r="F17" s="176"/>
      <c r="G17" s="177"/>
      <c r="H17" s="178"/>
      <c r="I17" s="178"/>
      <c r="J17" s="177"/>
      <c r="K17" s="177"/>
      <c r="L17" s="177"/>
      <c r="M17" s="177"/>
    </row>
    <row r="18" spans="2:13" ht="15">
      <c r="B18" s="35"/>
      <c r="C18" s="286"/>
      <c r="D18" s="286"/>
      <c r="E18" s="175"/>
      <c r="F18" s="176"/>
      <c r="G18" s="177"/>
      <c r="H18" s="178"/>
      <c r="I18" s="178"/>
      <c r="J18" s="177"/>
      <c r="K18" s="177"/>
      <c r="L18" s="177"/>
      <c r="M18" s="177"/>
    </row>
    <row r="19" spans="2:13" ht="15">
      <c r="B19" s="35"/>
      <c r="C19" s="286"/>
      <c r="D19" s="286"/>
      <c r="E19" s="175"/>
      <c r="F19" s="176"/>
      <c r="G19" s="177"/>
      <c r="H19" s="178"/>
      <c r="I19" s="178"/>
      <c r="J19" s="177"/>
      <c r="K19" s="177"/>
      <c r="L19" s="177"/>
      <c r="M19" s="177"/>
    </row>
    <row r="20" spans="2:13" ht="15">
      <c r="B20" s="179" t="s">
        <v>66</v>
      </c>
      <c r="C20" s="180"/>
      <c r="D20" s="180"/>
      <c r="E20" s="181"/>
      <c r="F20" s="182"/>
      <c r="G20" s="183">
        <f>SUM(G9:G19)</f>
        <v>450000</v>
      </c>
      <c r="H20" s="184"/>
      <c r="I20" s="184"/>
      <c r="J20" s="183">
        <f>SUM(J9:J19)</f>
        <v>17785</v>
      </c>
      <c r="K20" s="183">
        <f>SUM(K9:K19)</f>
        <v>40000</v>
      </c>
      <c r="L20" s="183">
        <f>SUM(L9:L19)</f>
        <v>16685</v>
      </c>
      <c r="M20" s="183">
        <f>SUM(M9:M19)</f>
        <v>40000</v>
      </c>
    </row>
    <row r="21" spans="2:13" ht="15">
      <c r="B21" s="172" t="s">
        <v>67</v>
      </c>
      <c r="C21" s="185"/>
      <c r="D21" s="185"/>
      <c r="E21" s="186"/>
      <c r="F21" s="164"/>
      <c r="G21" s="164"/>
      <c r="H21" s="187"/>
      <c r="I21" s="187"/>
      <c r="J21" s="164"/>
      <c r="K21" s="164"/>
      <c r="L21" s="164"/>
      <c r="M21" s="164"/>
    </row>
    <row r="22" spans="2:13" ht="15">
      <c r="B22" s="35" t="s">
        <v>384</v>
      </c>
      <c r="C22" s="286"/>
      <c r="D22" s="286"/>
      <c r="E22" s="175"/>
      <c r="F22" s="176"/>
      <c r="G22" s="177"/>
      <c r="H22" s="178"/>
      <c r="I22" s="178"/>
      <c r="J22" s="177"/>
      <c r="K22" s="177"/>
      <c r="L22" s="177"/>
      <c r="M22" s="177"/>
    </row>
    <row r="23" spans="2:13" ht="15">
      <c r="B23" s="35"/>
      <c r="C23" s="286"/>
      <c r="D23" s="286"/>
      <c r="E23" s="175"/>
      <c r="F23" s="176"/>
      <c r="G23" s="177"/>
      <c r="H23" s="178"/>
      <c r="I23" s="178"/>
      <c r="J23" s="177"/>
      <c r="K23" s="177"/>
      <c r="L23" s="177"/>
      <c r="M23" s="177"/>
    </row>
    <row r="24" spans="2:13" ht="15">
      <c r="B24" s="35"/>
      <c r="C24" s="286"/>
      <c r="D24" s="286"/>
      <c r="E24" s="175"/>
      <c r="F24" s="176"/>
      <c r="G24" s="177"/>
      <c r="H24" s="178"/>
      <c r="I24" s="178"/>
      <c r="J24" s="177"/>
      <c r="K24" s="177"/>
      <c r="L24" s="177"/>
      <c r="M24" s="177"/>
    </row>
    <row r="25" spans="2:13" ht="15">
      <c r="B25" s="35"/>
      <c r="C25" s="286"/>
      <c r="D25" s="286"/>
      <c r="E25" s="175"/>
      <c r="F25" s="176"/>
      <c r="G25" s="177"/>
      <c r="H25" s="178"/>
      <c r="I25" s="178"/>
      <c r="J25" s="177"/>
      <c r="K25" s="177"/>
      <c r="L25" s="177"/>
      <c r="M25" s="177"/>
    </row>
    <row r="26" spans="2:13" ht="15">
      <c r="B26" s="35"/>
      <c r="C26" s="286"/>
      <c r="D26" s="286"/>
      <c r="E26" s="175"/>
      <c r="F26" s="176"/>
      <c r="G26" s="177"/>
      <c r="H26" s="178"/>
      <c r="I26" s="178"/>
      <c r="J26" s="177"/>
      <c r="K26" s="177"/>
      <c r="L26" s="177"/>
      <c r="M26" s="177"/>
    </row>
    <row r="27" spans="2:13" ht="15">
      <c r="B27" s="35"/>
      <c r="C27" s="286"/>
      <c r="D27" s="286"/>
      <c r="E27" s="175"/>
      <c r="F27" s="176"/>
      <c r="G27" s="177"/>
      <c r="H27" s="178"/>
      <c r="I27" s="178"/>
      <c r="J27" s="177"/>
      <c r="K27" s="177"/>
      <c r="L27" s="177"/>
      <c r="M27" s="177"/>
    </row>
    <row r="28" spans="2:13" ht="15">
      <c r="B28" s="35"/>
      <c r="C28" s="286"/>
      <c r="D28" s="286"/>
      <c r="E28" s="175"/>
      <c r="F28" s="176"/>
      <c r="G28" s="177"/>
      <c r="H28" s="178"/>
      <c r="I28" s="178"/>
      <c r="J28" s="177"/>
      <c r="K28" s="177"/>
      <c r="L28" s="177"/>
      <c r="M28" s="177"/>
    </row>
    <row r="29" spans="2:13" ht="15">
      <c r="B29" s="35"/>
      <c r="C29" s="286"/>
      <c r="D29" s="286"/>
      <c r="E29" s="175"/>
      <c r="F29" s="176"/>
      <c r="G29" s="177"/>
      <c r="H29" s="178"/>
      <c r="I29" s="178"/>
      <c r="J29" s="177"/>
      <c r="K29" s="177"/>
      <c r="L29" s="177"/>
      <c r="M29" s="177"/>
    </row>
    <row r="30" spans="2:13" ht="15">
      <c r="B30" s="35"/>
      <c r="C30" s="286"/>
      <c r="D30" s="286"/>
      <c r="E30" s="175"/>
      <c r="F30" s="176"/>
      <c r="G30" s="177"/>
      <c r="H30" s="178"/>
      <c r="I30" s="178"/>
      <c r="J30" s="177"/>
      <c r="K30" s="177"/>
      <c r="L30" s="177"/>
      <c r="M30" s="177"/>
    </row>
    <row r="31" spans="2:13" ht="15">
      <c r="B31" s="35"/>
      <c r="C31" s="286"/>
      <c r="D31" s="286"/>
      <c r="E31" s="175"/>
      <c r="F31" s="176"/>
      <c r="G31" s="177"/>
      <c r="H31" s="178"/>
      <c r="I31" s="178"/>
      <c r="J31" s="177"/>
      <c r="K31" s="177"/>
      <c r="L31" s="177"/>
      <c r="M31" s="177"/>
    </row>
    <row r="32" spans="2:13" ht="15">
      <c r="B32" s="179" t="s">
        <v>68</v>
      </c>
      <c r="C32" s="180"/>
      <c r="D32" s="180"/>
      <c r="E32" s="188"/>
      <c r="F32" s="182"/>
      <c r="G32" s="189">
        <f>SUM(G22:G31)</f>
        <v>0</v>
      </c>
      <c r="H32" s="184"/>
      <c r="I32" s="184"/>
      <c r="J32" s="189">
        <f>SUM(J22:J31)</f>
        <v>0</v>
      </c>
      <c r="K32" s="189">
        <f>SUM(K22:K31)</f>
        <v>0</v>
      </c>
      <c r="L32" s="183">
        <f>SUM(L22:L31)</f>
        <v>0</v>
      </c>
      <c r="M32" s="189">
        <f>SUM(M22:M31)</f>
        <v>0</v>
      </c>
    </row>
    <row r="33" spans="2:13" ht="15">
      <c r="B33" s="172" t="s">
        <v>69</v>
      </c>
      <c r="C33" s="185"/>
      <c r="D33" s="185"/>
      <c r="E33" s="186"/>
      <c r="F33" s="164"/>
      <c r="G33" s="190"/>
      <c r="H33" s="187"/>
      <c r="I33" s="187"/>
      <c r="J33" s="164"/>
      <c r="K33" s="164"/>
      <c r="L33" s="164"/>
      <c r="M33" s="164"/>
    </row>
    <row r="34" spans="2:13" ht="15">
      <c r="B34" s="35"/>
      <c r="C34" s="286"/>
      <c r="D34" s="286"/>
      <c r="E34" s="175"/>
      <c r="F34" s="176"/>
      <c r="G34" s="177"/>
      <c r="H34" s="178"/>
      <c r="I34" s="178"/>
      <c r="J34" s="177"/>
      <c r="K34" s="177"/>
      <c r="L34" s="177"/>
      <c r="M34" s="177"/>
    </row>
    <row r="35" spans="2:13" ht="15">
      <c r="B35" s="35"/>
      <c r="C35" s="286"/>
      <c r="D35" s="286"/>
      <c r="E35" s="175"/>
      <c r="F35" s="176"/>
      <c r="G35" s="177"/>
      <c r="H35" s="178"/>
      <c r="I35" s="178"/>
      <c r="J35" s="177"/>
      <c r="K35" s="177"/>
      <c r="L35" s="177"/>
      <c r="M35" s="177"/>
    </row>
    <row r="36" spans="2:13" ht="15">
      <c r="B36" s="35"/>
      <c r="C36" s="286"/>
      <c r="D36" s="286"/>
      <c r="E36" s="175"/>
      <c r="F36" s="176"/>
      <c r="G36" s="177"/>
      <c r="H36" s="178"/>
      <c r="I36" s="178"/>
      <c r="J36" s="177"/>
      <c r="K36" s="177"/>
      <c r="L36" s="177"/>
      <c r="M36" s="177"/>
    </row>
    <row r="37" spans="2:13" ht="15">
      <c r="B37" s="35"/>
      <c r="C37" s="286"/>
      <c r="D37" s="286"/>
      <c r="E37" s="175"/>
      <c r="F37" s="176"/>
      <c r="G37" s="177"/>
      <c r="H37" s="178"/>
      <c r="I37" s="178"/>
      <c r="J37" s="177"/>
      <c r="K37" s="177"/>
      <c r="L37" s="177"/>
      <c r="M37" s="177"/>
    </row>
    <row r="38" spans="2:13" ht="15">
      <c r="B38" s="35"/>
      <c r="C38" s="286"/>
      <c r="D38" s="286"/>
      <c r="E38" s="175"/>
      <c r="F38" s="176"/>
      <c r="G38" s="177"/>
      <c r="H38" s="178"/>
      <c r="I38" s="178"/>
      <c r="J38" s="177"/>
      <c r="K38" s="177"/>
      <c r="L38" s="177"/>
      <c r="M38" s="177"/>
    </row>
    <row r="39" spans="2:13" ht="15">
      <c r="B39" s="35"/>
      <c r="C39" s="286"/>
      <c r="D39" s="286"/>
      <c r="E39" s="175"/>
      <c r="F39" s="176"/>
      <c r="G39" s="177"/>
      <c r="H39" s="178"/>
      <c r="I39" s="178"/>
      <c r="J39" s="177"/>
      <c r="K39" s="177"/>
      <c r="L39" s="177"/>
      <c r="M39" s="177"/>
    </row>
    <row r="40" spans="2:13" ht="15">
      <c r="B40" s="35"/>
      <c r="C40" s="286"/>
      <c r="D40" s="286"/>
      <c r="E40" s="175"/>
      <c r="F40" s="176"/>
      <c r="G40" s="177"/>
      <c r="H40" s="178"/>
      <c r="I40" s="178"/>
      <c r="J40" s="177"/>
      <c r="K40" s="177"/>
      <c r="L40" s="177"/>
      <c r="M40" s="177"/>
    </row>
    <row r="41" spans="2:29" ht="15">
      <c r="B41" s="35"/>
      <c r="C41" s="286"/>
      <c r="D41" s="286"/>
      <c r="E41" s="175"/>
      <c r="F41" s="176"/>
      <c r="G41" s="177"/>
      <c r="H41" s="178"/>
      <c r="I41" s="178"/>
      <c r="J41" s="177"/>
      <c r="K41" s="177"/>
      <c r="L41" s="177"/>
      <c r="M41" s="177"/>
      <c r="N41" s="1"/>
      <c r="O41" s="1"/>
      <c r="P41" s="1"/>
      <c r="Q41" s="1"/>
      <c r="R41" s="1"/>
      <c r="S41" s="1"/>
      <c r="T41" s="1"/>
      <c r="U41" s="1"/>
      <c r="V41" s="1"/>
      <c r="W41" s="1"/>
      <c r="X41" s="1"/>
      <c r="Y41" s="1"/>
      <c r="Z41" s="1"/>
      <c r="AA41" s="1"/>
      <c r="AB41" s="1"/>
      <c r="AC41" s="1"/>
    </row>
    <row r="42" spans="2:13" ht="15">
      <c r="B42" s="179" t="s">
        <v>183</v>
      </c>
      <c r="C42" s="163"/>
      <c r="D42" s="163"/>
      <c r="E42" s="188"/>
      <c r="F42" s="182"/>
      <c r="G42" s="189">
        <f>SUM(G34:G41)</f>
        <v>0</v>
      </c>
      <c r="H42" s="182"/>
      <c r="I42" s="182"/>
      <c r="J42" s="189">
        <f>SUM(J34:J41)</f>
        <v>0</v>
      </c>
      <c r="K42" s="189">
        <f>SUM(K34:K41)</f>
        <v>0</v>
      </c>
      <c r="L42" s="189">
        <f>SUM(L34:L41)</f>
        <v>0</v>
      </c>
      <c r="M42" s="189">
        <f>SUM(M34:M41)</f>
        <v>0</v>
      </c>
    </row>
    <row r="43" spans="2:13" ht="15">
      <c r="B43" s="179" t="s">
        <v>70</v>
      </c>
      <c r="C43" s="163"/>
      <c r="D43" s="163"/>
      <c r="E43" s="163"/>
      <c r="F43" s="182"/>
      <c r="G43" s="189">
        <f>SUM(G20+G32+G42)</f>
        <v>450000</v>
      </c>
      <c r="H43" s="182"/>
      <c r="I43" s="182"/>
      <c r="J43" s="189">
        <f>SUM(J20+J32+J42)</f>
        <v>17785</v>
      </c>
      <c r="K43" s="189">
        <f>SUM(K20+K32+K42)</f>
        <v>40000</v>
      </c>
      <c r="L43" s="189">
        <f>SUM(L20+L32+L42)</f>
        <v>16685</v>
      </c>
      <c r="M43" s="189">
        <f>SUM(M20+M32+M42)</f>
        <v>40000</v>
      </c>
    </row>
    <row r="44" spans="2:13" ht="15">
      <c r="B44" s="637" t="s">
        <v>446</v>
      </c>
      <c r="C44" s="638"/>
      <c r="D44" s="638"/>
      <c r="E44" s="638"/>
      <c r="F44" s="638"/>
      <c r="G44" s="638"/>
      <c r="H44" s="639"/>
      <c r="I44" s="639"/>
      <c r="J44" s="639"/>
      <c r="K44" s="639"/>
      <c r="L44" s="639"/>
      <c r="M44" s="639"/>
    </row>
    <row r="45" spans="6:13" ht="15">
      <c r="F45" s="191"/>
      <c r="G45" s="191"/>
      <c r="J45" s="191"/>
      <c r="K45" s="191"/>
      <c r="L45" s="191"/>
      <c r="M45" s="191"/>
    </row>
    <row r="46" spans="6:14" ht="15">
      <c r="F46" s="1"/>
      <c r="H46" s="192"/>
      <c r="N46" s="1"/>
    </row>
    <row r="47" spans="2:13" ht="15">
      <c r="B47" s="1"/>
      <c r="C47" s="1"/>
      <c r="D47" s="1"/>
      <c r="E47" s="1"/>
      <c r="F47" s="1"/>
      <c r="G47" s="1"/>
      <c r="H47" s="1"/>
      <c r="I47" s="1"/>
      <c r="J47" s="1"/>
      <c r="K47" s="1"/>
      <c r="L47" s="1"/>
      <c r="M47" s="1"/>
    </row>
    <row r="48" spans="2:13" ht="15">
      <c r="B48" s="1"/>
      <c r="C48" s="1"/>
      <c r="D48" s="1"/>
      <c r="E48" s="1"/>
      <c r="F48" s="1"/>
      <c r="G48" s="1"/>
      <c r="H48" s="1"/>
      <c r="I48" s="1"/>
      <c r="J48" s="1"/>
      <c r="K48" s="1"/>
      <c r="L48" s="1"/>
      <c r="M48" s="1"/>
    </row>
  </sheetData>
  <sheetProtection/>
  <mergeCells count="4">
    <mergeCell ref="H6:I6"/>
    <mergeCell ref="J6:K6"/>
    <mergeCell ref="L6:M6"/>
    <mergeCell ref="B44:M44"/>
  </mergeCells>
  <printOptions/>
  <pageMargins left="0.25" right="0.25" top="1" bottom="0.5" header="0.5" footer="0.25"/>
  <pageSetup blackAndWhite="1" fitToHeight="1" fitToWidth="1" horizontalDpi="120" verticalDpi="120" orientation="landscape" scale="76" r:id="rId1"/>
  <headerFooter alignWithMargins="0">
    <oddHeader>&amp;RState of Kansas
City
</oddHeader>
    <oddFooter>&amp;CPage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M31"/>
  <sheetViews>
    <sheetView zoomScale="75" zoomScaleNormal="75" zoomScalePageLayoutView="0" workbookViewId="0" topLeftCell="A30">
      <selection activeCell="B32" sqref="B32"/>
    </sheetView>
  </sheetViews>
  <sheetFormatPr defaultColWidth="8.8984375" defaultRowHeight="15"/>
  <cols>
    <col min="1" max="1" width="10.69921875" style="5" customWidth="1"/>
    <col min="2" max="2" width="23.59765625" style="5" customWidth="1"/>
    <col min="3" max="5" width="9.69921875" style="5" customWidth="1"/>
    <col min="6" max="6" width="18.296875" style="5" customWidth="1"/>
    <col min="7" max="9" width="15.69921875" style="5" customWidth="1"/>
    <col min="10" max="16384" width="8.8984375" style="5" customWidth="1"/>
  </cols>
  <sheetData>
    <row r="1" spans="2:9" ht="15">
      <c r="B1" s="133" t="str">
        <f>inputPrYr!$D$2</f>
        <v>City of Toronto</v>
      </c>
      <c r="C1" s="4"/>
      <c r="D1" s="4"/>
      <c r="E1" s="4"/>
      <c r="F1" s="4"/>
      <c r="G1" s="4"/>
      <c r="H1" s="4"/>
      <c r="I1" s="193">
        <f>inputPrYr!$C$5</f>
        <v>2014</v>
      </c>
    </row>
    <row r="2" spans="2:9" ht="15">
      <c r="B2" s="133"/>
      <c r="C2" s="4"/>
      <c r="D2" s="4"/>
      <c r="E2" s="4"/>
      <c r="F2" s="4"/>
      <c r="G2" s="4"/>
      <c r="H2" s="4"/>
      <c r="I2" s="129"/>
    </row>
    <row r="3" spans="2:9" ht="15">
      <c r="B3" s="4"/>
      <c r="C3" s="4"/>
      <c r="D3" s="4"/>
      <c r="E3" s="4"/>
      <c r="F3" s="4"/>
      <c r="G3" s="4"/>
      <c r="H3" s="4"/>
      <c r="I3" s="101"/>
    </row>
    <row r="4" spans="2:9" ht="15">
      <c r="B4" s="167" t="s">
        <v>83</v>
      </c>
      <c r="C4" s="15"/>
      <c r="D4" s="15"/>
      <c r="E4" s="15"/>
      <c r="F4" s="15"/>
      <c r="G4" s="15"/>
      <c r="H4" s="15"/>
      <c r="I4" s="15"/>
    </row>
    <row r="5" spans="2:9" ht="15">
      <c r="B5" s="37"/>
      <c r="C5" s="168"/>
      <c r="D5" s="168"/>
      <c r="E5" s="168"/>
      <c r="F5" s="168"/>
      <c r="G5" s="168"/>
      <c r="H5" s="168"/>
      <c r="I5" s="168"/>
    </row>
    <row r="6" spans="2:9" ht="15">
      <c r="B6" s="115"/>
      <c r="C6" s="115"/>
      <c r="D6" s="115"/>
      <c r="E6" s="115"/>
      <c r="F6" s="148" t="s">
        <v>229</v>
      </c>
      <c r="G6" s="115"/>
      <c r="H6" s="115"/>
      <c r="I6" s="115"/>
    </row>
    <row r="7" spans="2:9" ht="15">
      <c r="B7" s="116"/>
      <c r="C7" s="109"/>
      <c r="D7" s="109" t="s">
        <v>71</v>
      </c>
      <c r="E7" s="109" t="s">
        <v>72</v>
      </c>
      <c r="F7" s="109" t="s">
        <v>17</v>
      </c>
      <c r="G7" s="109" t="s">
        <v>74</v>
      </c>
      <c r="H7" s="109" t="s">
        <v>75</v>
      </c>
      <c r="I7" s="109" t="s">
        <v>75</v>
      </c>
    </row>
    <row r="8" spans="2:9" ht="15">
      <c r="B8" s="116"/>
      <c r="C8" s="109" t="s">
        <v>76</v>
      </c>
      <c r="D8" s="109" t="s">
        <v>77</v>
      </c>
      <c r="E8" s="109" t="s">
        <v>61</v>
      </c>
      <c r="F8" s="109" t="s">
        <v>78</v>
      </c>
      <c r="G8" s="109" t="s">
        <v>123</v>
      </c>
      <c r="H8" s="109" t="s">
        <v>79</v>
      </c>
      <c r="I8" s="109" t="s">
        <v>79</v>
      </c>
    </row>
    <row r="9" spans="2:9" ht="15">
      <c r="B9" s="112" t="s">
        <v>80</v>
      </c>
      <c r="C9" s="112" t="s">
        <v>58</v>
      </c>
      <c r="D9" s="194" t="s">
        <v>81</v>
      </c>
      <c r="E9" s="112" t="s">
        <v>39</v>
      </c>
      <c r="F9" s="194" t="s">
        <v>147</v>
      </c>
      <c r="G9" s="195" t="str">
        <f>CONCATENATE("Jan 1 ",I1-1,"")</f>
        <v>Jan 1 2013</v>
      </c>
      <c r="H9" s="112">
        <f>I1-1</f>
        <v>2013</v>
      </c>
      <c r="I9" s="112">
        <f>I1</f>
        <v>2014</v>
      </c>
    </row>
    <row r="10" spans="2:9" ht="15">
      <c r="B10" s="35" t="s">
        <v>384</v>
      </c>
      <c r="C10" s="196"/>
      <c r="D10" s="197"/>
      <c r="E10" s="175"/>
      <c r="F10" s="176"/>
      <c r="G10" s="176"/>
      <c r="H10" s="176"/>
      <c r="I10" s="176"/>
    </row>
    <row r="11" spans="2:9" ht="15">
      <c r="B11" s="35"/>
      <c r="C11" s="196"/>
      <c r="D11" s="197"/>
      <c r="E11" s="175"/>
      <c r="F11" s="176"/>
      <c r="G11" s="176"/>
      <c r="H11" s="176"/>
      <c r="I11" s="176"/>
    </row>
    <row r="12" spans="2:9" ht="15">
      <c r="B12" s="35"/>
      <c r="C12" s="196"/>
      <c r="D12" s="197"/>
      <c r="E12" s="175"/>
      <c r="F12" s="176"/>
      <c r="G12" s="176"/>
      <c r="H12" s="176"/>
      <c r="I12" s="176"/>
    </row>
    <row r="13" spans="2:9" ht="15">
      <c r="B13" s="35"/>
      <c r="C13" s="196"/>
      <c r="D13" s="197"/>
      <c r="E13" s="175"/>
      <c r="F13" s="176"/>
      <c r="G13" s="176"/>
      <c r="H13" s="176"/>
      <c r="I13" s="176"/>
    </row>
    <row r="14" spans="2:9" ht="15">
      <c r="B14" s="35"/>
      <c r="C14" s="286"/>
      <c r="D14" s="197"/>
      <c r="E14" s="175"/>
      <c r="F14" s="176"/>
      <c r="G14" s="176"/>
      <c r="H14" s="176"/>
      <c r="I14" s="176"/>
    </row>
    <row r="15" spans="2:9" ht="15">
      <c r="B15" s="35"/>
      <c r="C15" s="196"/>
      <c r="D15" s="197"/>
      <c r="E15" s="175"/>
      <c r="F15" s="176"/>
      <c r="G15" s="176"/>
      <c r="H15" s="176"/>
      <c r="I15" s="176"/>
    </row>
    <row r="16" spans="2:9" ht="15">
      <c r="B16" s="35"/>
      <c r="C16" s="196"/>
      <c r="D16" s="197"/>
      <c r="E16" s="175"/>
      <c r="F16" s="176"/>
      <c r="G16" s="176"/>
      <c r="H16" s="176"/>
      <c r="I16" s="176"/>
    </row>
    <row r="17" spans="2:9" ht="15">
      <c r="B17" s="35"/>
      <c r="C17" s="196"/>
      <c r="D17" s="197"/>
      <c r="E17" s="175"/>
      <c r="F17" s="176"/>
      <c r="G17" s="176"/>
      <c r="H17" s="176"/>
      <c r="I17" s="176"/>
    </row>
    <row r="18" spans="2:9" ht="15">
      <c r="B18" s="35"/>
      <c r="C18" s="196"/>
      <c r="D18" s="197"/>
      <c r="E18" s="175"/>
      <c r="F18" s="176"/>
      <c r="G18" s="176"/>
      <c r="H18" s="176"/>
      <c r="I18" s="176"/>
    </row>
    <row r="19" spans="2:9" ht="15">
      <c r="B19" s="35"/>
      <c r="C19" s="196"/>
      <c r="D19" s="197"/>
      <c r="E19" s="175"/>
      <c r="F19" s="176"/>
      <c r="G19" s="176"/>
      <c r="H19" s="176"/>
      <c r="I19" s="176"/>
    </row>
    <row r="20" spans="2:9" ht="15">
      <c r="B20" s="35"/>
      <c r="C20" s="196"/>
      <c r="D20" s="197"/>
      <c r="E20" s="175"/>
      <c r="F20" s="176"/>
      <c r="G20" s="176"/>
      <c r="H20" s="176"/>
      <c r="I20" s="176"/>
    </row>
    <row r="21" spans="2:9" ht="15">
      <c r="B21" s="35"/>
      <c r="C21" s="196"/>
      <c r="D21" s="197"/>
      <c r="E21" s="175"/>
      <c r="F21" s="176"/>
      <c r="G21" s="176"/>
      <c r="H21" s="176"/>
      <c r="I21" s="176"/>
    </row>
    <row r="22" spans="2:9" ht="15">
      <c r="B22" s="35"/>
      <c r="C22" s="196"/>
      <c r="D22" s="197"/>
      <c r="E22" s="175"/>
      <c r="F22" s="176"/>
      <c r="G22" s="176"/>
      <c r="H22" s="176"/>
      <c r="I22" s="176"/>
    </row>
    <row r="23" spans="2:9" ht="15">
      <c r="B23" s="35"/>
      <c r="C23" s="196"/>
      <c r="D23" s="197"/>
      <c r="E23" s="175"/>
      <c r="F23" s="176"/>
      <c r="G23" s="176"/>
      <c r="H23" s="176"/>
      <c r="I23" s="176"/>
    </row>
    <row r="24" spans="2:9" ht="15">
      <c r="B24" s="35"/>
      <c r="C24" s="196"/>
      <c r="D24" s="197"/>
      <c r="E24" s="175"/>
      <c r="F24" s="176"/>
      <c r="G24" s="176"/>
      <c r="H24" s="176"/>
      <c r="I24" s="176"/>
    </row>
    <row r="25" spans="2:9" ht="15">
      <c r="B25" s="35"/>
      <c r="C25" s="196"/>
      <c r="D25" s="197"/>
      <c r="E25" s="175"/>
      <c r="F25" s="176"/>
      <c r="G25" s="176"/>
      <c r="H25" s="176"/>
      <c r="I25" s="176"/>
    </row>
    <row r="26" spans="2:9" ht="15">
      <c r="B26" s="35"/>
      <c r="C26" s="196"/>
      <c r="D26" s="197"/>
      <c r="E26" s="175"/>
      <c r="F26" s="176"/>
      <c r="G26" s="176"/>
      <c r="H26" s="176"/>
      <c r="I26" s="176"/>
    </row>
    <row r="27" spans="2:9" ht="15">
      <c r="B27" s="35"/>
      <c r="C27" s="196"/>
      <c r="D27" s="197"/>
      <c r="E27" s="175"/>
      <c r="F27" s="176"/>
      <c r="G27" s="176"/>
      <c r="H27" s="176"/>
      <c r="I27" s="176"/>
    </row>
    <row r="28" spans="2:9" ht="15.75" thickBot="1">
      <c r="B28" s="198" t="s">
        <v>12</v>
      </c>
      <c r="C28" s="132"/>
      <c r="D28" s="132"/>
      <c r="E28" s="132"/>
      <c r="F28" s="132"/>
      <c r="G28" s="199">
        <f>SUM(G10:G27)</f>
        <v>0</v>
      </c>
      <c r="H28" s="199">
        <f>SUM(H10:H27)</f>
        <v>0</v>
      </c>
      <c r="I28" s="199">
        <f>SUM(I10:I27)</f>
        <v>0</v>
      </c>
    </row>
    <row r="29" spans="2:9" ht="15.75" thickTop="1">
      <c r="B29" s="4"/>
      <c r="C29" s="4"/>
      <c r="D29" s="4"/>
      <c r="E29" s="4"/>
      <c r="F29" s="4"/>
      <c r="G29" s="4"/>
      <c r="H29" s="133"/>
      <c r="I29" s="133"/>
    </row>
    <row r="30" spans="2:9" ht="15">
      <c r="B30" s="200" t="s">
        <v>222</v>
      </c>
      <c r="C30" s="201"/>
      <c r="D30" s="201"/>
      <c r="E30" s="201"/>
      <c r="F30" s="201"/>
      <c r="G30" s="201"/>
      <c r="H30" s="133"/>
      <c r="I30" s="133"/>
    </row>
    <row r="31" spans="2:13" ht="15">
      <c r="B31" s="637" t="s">
        <v>445</v>
      </c>
      <c r="C31" s="639"/>
      <c r="D31" s="639"/>
      <c r="E31" s="639"/>
      <c r="F31" s="639"/>
      <c r="G31" s="639"/>
      <c r="H31" s="639"/>
      <c r="I31" s="639"/>
      <c r="J31" s="595"/>
      <c r="K31" s="595"/>
      <c r="L31" s="595"/>
      <c r="M31" s="595"/>
    </row>
  </sheetData>
  <sheetProtection/>
  <mergeCells count="1">
    <mergeCell ref="B31:I31"/>
  </mergeCells>
  <printOptions/>
  <pageMargins left="0.25" right="0.25" top="1" bottom="0.5" header="0.5" footer="0.5"/>
  <pageSetup blackAndWhite="1" fitToHeight="1" fitToWidth="1" horizontalDpi="120" verticalDpi="120" orientation="landscape" scale="88" r:id="rId1"/>
  <headerFooter alignWithMargins="0">
    <oddHeader>&amp;RState of Kansas
City
</oddHeader>
    <oddFooter>&amp;CPage No.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Clerk 2</cp:lastModifiedBy>
  <cp:lastPrinted>2013-07-26T15:04:02Z</cp:lastPrinted>
  <dcterms:created xsi:type="dcterms:W3CDTF">1999-08-03T13:11:47Z</dcterms:created>
  <dcterms:modified xsi:type="dcterms:W3CDTF">2014-01-13T22:43:06Z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