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1170" tabRatio="909"/>
  </bookViews>
  <sheets>
    <sheet name="Instructions" sheetId="1" r:id="rId1"/>
    <sheet name="inputPrYr" sheetId="2" r:id="rId2"/>
    <sheet name="inputOth" sheetId="29" r:id="rId3"/>
    <sheet name="inputBudSum" sheetId="49" r:id="rId4"/>
    <sheet name="cert" sheetId="3" r:id="rId5"/>
    <sheet name="computation" sheetId="24" r:id="rId6"/>
    <sheet name="mvalloc" sheetId="5" r:id="rId7"/>
    <sheet name="transfers" sheetId="27" r:id="rId8"/>
    <sheet name="TransferStatutes" sheetId="37" r:id="rId9"/>
    <sheet name="debt" sheetId="22" r:id="rId10"/>
    <sheet name="lpform" sheetId="23" r:id="rId11"/>
    <sheet name="general" sheetId="7" r:id="rId12"/>
    <sheet name="GenDetail" sheetId="9" r:id="rId13"/>
    <sheet name="DebtSvs-Library" sheetId="28" r:id="rId14"/>
    <sheet name="levy page9" sheetId="8" r:id="rId15"/>
    <sheet name="levy page10" sheetId="10" r:id="rId16"/>
    <sheet name="Sp Hiway" sheetId="14" r:id="rId17"/>
    <sheet name="nolevypage15" sheetId="15" r:id="rId18"/>
    <sheet name="nolevypage16" sheetId="16" r:id="rId19"/>
    <sheet name="NonBudA" sheetId="30" r:id="rId20"/>
    <sheet name="NonBudB" sheetId="35" r:id="rId21"/>
    <sheet name="NonBudFunds" sheetId="43" r:id="rId22"/>
    <sheet name="summ" sheetId="21" r:id="rId23"/>
    <sheet name="nhood" sheetId="36" r:id="rId24"/>
    <sheet name="Ordinance" sheetId="26" r:id="rId25"/>
    <sheet name="Tab A" sheetId="38" r:id="rId26"/>
    <sheet name="Tab B" sheetId="39" r:id="rId27"/>
    <sheet name="Tab C" sheetId="40" r:id="rId28"/>
    <sheet name="Tab D" sheetId="41" r:id="rId29"/>
    <sheet name="Tab E" sheetId="42" r:id="rId30"/>
    <sheet name="Mill Rate Computation" sheetId="45" r:id="rId31"/>
    <sheet name="Helpful Links" sheetId="46" r:id="rId32"/>
    <sheet name="Legend" sheetId="25" r:id="rId33"/>
  </sheets>
  <definedNames>
    <definedName name="_xlnm.Print_Area" localSheetId="13">'DebtSvs-Library'!$B$1:$E$83</definedName>
    <definedName name="_xlnm.Print_Area" localSheetId="12">GenDetail!$A$1:$D$69</definedName>
    <definedName name="_xlnm.Print_Area" localSheetId="11">general!$B$1:$E$118</definedName>
    <definedName name="_xlnm.Print_Area" localSheetId="1">inputPrYr!$A$1:$E$118</definedName>
    <definedName name="_xlnm.Print_Area" localSheetId="0">Instructions!$A$1:$A$102</definedName>
    <definedName name="_xlnm.Print_Area" localSheetId="15">'levy page10'!$B$1:$E$84</definedName>
    <definedName name="_xlnm.Print_Area" localSheetId="14">'levy page9'!$A$1:$E$83</definedName>
    <definedName name="_xlnm.Print_Area" localSheetId="10">lpform!$B$1:$I$38</definedName>
    <definedName name="_xlnm.Print_Area" localSheetId="30">'Mill Rate Computation'!#REF!</definedName>
    <definedName name="_xlnm.Print_Area" localSheetId="22">summ!$A$2:$H$61</definedName>
  </definedNames>
  <calcPr calcId="145621"/>
</workbook>
</file>

<file path=xl/calcChain.xml><?xml version="1.0" encoding="utf-8"?>
<calcChain xmlns="http://schemas.openxmlformats.org/spreadsheetml/2006/main">
  <c r="D48" i="2" l="1"/>
  <c r="D49" i="10"/>
  <c r="D61" i="10" s="1"/>
  <c r="D8" i="10"/>
  <c r="D20" i="10" s="1"/>
  <c r="D48" i="8"/>
  <c r="D60" i="8"/>
  <c r="D8" i="8"/>
  <c r="D20" i="8" s="1"/>
  <c r="D48" i="28"/>
  <c r="D60" i="28" s="1"/>
  <c r="D8" i="28"/>
  <c r="D20" i="28"/>
  <c r="D19" i="28" s="1"/>
  <c r="D9" i="7"/>
  <c r="D56" i="7"/>
  <c r="J30" i="10"/>
  <c r="J28" i="10"/>
  <c r="J29" i="8"/>
  <c r="J28" i="8"/>
  <c r="J29" i="28"/>
  <c r="J28" i="28"/>
  <c r="J67" i="28"/>
  <c r="J27" i="28"/>
  <c r="J67" i="8"/>
  <c r="J27" i="8"/>
  <c r="J68" i="10"/>
  <c r="J27" i="10"/>
  <c r="D59" i="7"/>
  <c r="D21" i="3"/>
  <c r="J148" i="45"/>
  <c r="H134" i="45"/>
  <c r="C137" i="45"/>
  <c r="J137" i="45"/>
  <c r="H120" i="45"/>
  <c r="C123" i="45"/>
  <c r="H114" i="45"/>
  <c r="F117" i="45"/>
  <c r="H117" i="45"/>
  <c r="F123" i="45"/>
  <c r="J123" i="45"/>
  <c r="H100" i="45"/>
  <c r="C103" i="45"/>
  <c r="H94" i="45"/>
  <c r="F97" i="45"/>
  <c r="H97" i="45"/>
  <c r="F103" i="45"/>
  <c r="J103" i="45"/>
  <c r="H80" i="45"/>
  <c r="C83" i="45"/>
  <c r="H74" i="45"/>
  <c r="F77" i="45"/>
  <c r="H77" i="45"/>
  <c r="F83" i="45"/>
  <c r="J83" i="45"/>
  <c r="H48" i="45"/>
  <c r="F50" i="45"/>
  <c r="J50" i="45"/>
  <c r="H41" i="45"/>
  <c r="B28" i="45"/>
  <c r="H28" i="45"/>
  <c r="H25" i="45"/>
  <c r="C25" i="45"/>
  <c r="G30" i="2"/>
  <c r="G29" i="2"/>
  <c r="G28" i="2"/>
  <c r="G27" i="2"/>
  <c r="G26" i="2"/>
  <c r="G25" i="2"/>
  <c r="G24" i="2"/>
  <c r="G23" i="2"/>
  <c r="G22" i="2"/>
  <c r="G21" i="2"/>
  <c r="G19" i="2"/>
  <c r="G18" i="2"/>
  <c r="G17" i="2"/>
  <c r="A6" i="21"/>
  <c r="A8" i="21"/>
  <c r="B59" i="21"/>
  <c r="A58" i="21"/>
  <c r="G20" i="49"/>
  <c r="G23" i="49"/>
  <c r="D19" i="3"/>
  <c r="B19" i="3"/>
  <c r="E35" i="16"/>
  <c r="D35" i="16"/>
  <c r="C35" i="16"/>
  <c r="E45" i="10"/>
  <c r="D45" i="10"/>
  <c r="C45" i="10"/>
  <c r="E44" i="8"/>
  <c r="D44" i="8"/>
  <c r="C44" i="8"/>
  <c r="E44" i="28"/>
  <c r="D44" i="28"/>
  <c r="C44" i="28"/>
  <c r="E64" i="7"/>
  <c r="D64" i="7"/>
  <c r="C64" i="7"/>
  <c r="D40" i="10"/>
  <c r="D80" i="10"/>
  <c r="D79" i="8"/>
  <c r="D79" i="28"/>
  <c r="D39" i="28"/>
  <c r="D75" i="28"/>
  <c r="G2" i="5"/>
  <c r="B6" i="5"/>
  <c r="D5" i="5"/>
  <c r="C23" i="3"/>
  <c r="B66" i="2"/>
  <c r="B8" i="36"/>
  <c r="A18" i="21"/>
  <c r="B45" i="28"/>
  <c r="C9" i="5"/>
  <c r="B9" i="5"/>
  <c r="B23" i="3"/>
  <c r="A63" i="29"/>
  <c r="A23" i="29"/>
  <c r="C76" i="10"/>
  <c r="C36" i="10"/>
  <c r="C94" i="10" s="1"/>
  <c r="B38" i="10" s="1"/>
  <c r="C75" i="8"/>
  <c r="C35" i="8"/>
  <c r="C95" i="8" s="1"/>
  <c r="B37" i="8" s="1"/>
  <c r="C75" i="28"/>
  <c r="C93" i="28" s="1"/>
  <c r="B77" i="28" s="1"/>
  <c r="C22" i="21"/>
  <c r="C21" i="21"/>
  <c r="C20" i="21"/>
  <c r="C19" i="21"/>
  <c r="C18" i="21"/>
  <c r="B18" i="36"/>
  <c r="B17" i="36"/>
  <c r="B16" i="36"/>
  <c r="B15" i="36"/>
  <c r="B14" i="36"/>
  <c r="B13" i="36"/>
  <c r="B12" i="36"/>
  <c r="B11" i="36"/>
  <c r="B10" i="36"/>
  <c r="B9" i="36"/>
  <c r="D54" i="21"/>
  <c r="D53" i="21"/>
  <c r="D52" i="21"/>
  <c r="D51" i="21"/>
  <c r="D55" i="21" s="1"/>
  <c r="B54" i="21"/>
  <c r="B53" i="21"/>
  <c r="B52" i="21"/>
  <c r="B51" i="21"/>
  <c r="B46" i="21"/>
  <c r="B48" i="21"/>
  <c r="D48" i="21"/>
  <c r="F48" i="21"/>
  <c r="M46" i="21" s="1"/>
  <c r="A22" i="21"/>
  <c r="A21" i="21"/>
  <c r="A20" i="21"/>
  <c r="A19" i="21"/>
  <c r="G23" i="3"/>
  <c r="C19" i="5"/>
  <c r="C18" i="5"/>
  <c r="C17" i="5"/>
  <c r="C16" i="5"/>
  <c r="C15" i="5"/>
  <c r="C14" i="5"/>
  <c r="C13" i="5"/>
  <c r="C12" i="5"/>
  <c r="C11" i="5"/>
  <c r="C10" i="5"/>
  <c r="B19" i="5"/>
  <c r="B18" i="5"/>
  <c r="B17" i="5"/>
  <c r="B16" i="5"/>
  <c r="B15" i="5"/>
  <c r="B14" i="5"/>
  <c r="B13" i="5"/>
  <c r="B12" i="5"/>
  <c r="B11" i="5"/>
  <c r="B10" i="5"/>
  <c r="D27" i="3"/>
  <c r="D25" i="3"/>
  <c r="D23" i="3"/>
  <c r="C27" i="3"/>
  <c r="C26" i="3"/>
  <c r="C25" i="3"/>
  <c r="C24" i="3"/>
  <c r="B27" i="3"/>
  <c r="B26" i="3"/>
  <c r="B25" i="3"/>
  <c r="B24" i="3"/>
  <c r="A73" i="29"/>
  <c r="A72" i="29"/>
  <c r="A71" i="29"/>
  <c r="A70" i="29"/>
  <c r="A69" i="29"/>
  <c r="A68" i="29"/>
  <c r="A67" i="29"/>
  <c r="A66" i="29"/>
  <c r="A65" i="29"/>
  <c r="A64" i="29"/>
  <c r="A33" i="29"/>
  <c r="A32" i="29"/>
  <c r="A31" i="29"/>
  <c r="A30" i="29"/>
  <c r="A29" i="29"/>
  <c r="A28" i="29"/>
  <c r="A27" i="29"/>
  <c r="A26" i="29"/>
  <c r="A25" i="29"/>
  <c r="A24" i="29"/>
  <c r="B76" i="2"/>
  <c r="B75" i="2"/>
  <c r="B74" i="2"/>
  <c r="B73" i="2"/>
  <c r="B72" i="2"/>
  <c r="B71" i="2"/>
  <c r="B70" i="2"/>
  <c r="B69" i="2"/>
  <c r="B68" i="2"/>
  <c r="B67" i="2"/>
  <c r="D22" i="3"/>
  <c r="D34" i="29"/>
  <c r="C35" i="28"/>
  <c r="C90" i="28"/>
  <c r="B37" i="28" s="1"/>
  <c r="D75" i="8"/>
  <c r="D35" i="8"/>
  <c r="D95" i="8"/>
  <c r="D76" i="10"/>
  <c r="D36" i="10"/>
  <c r="D39" i="8"/>
  <c r="B5" i="28"/>
  <c r="A22" i="29"/>
  <c r="A21" i="29"/>
  <c r="D77" i="2"/>
  <c r="D110" i="7"/>
  <c r="C110" i="7"/>
  <c r="D114" i="7"/>
  <c r="C56" i="7"/>
  <c r="C57" i="7"/>
  <c r="D35" i="28"/>
  <c r="E1" i="28"/>
  <c r="H76" i="28" s="1"/>
  <c r="H34" i="28"/>
  <c r="B1" i="28"/>
  <c r="D73" i="28"/>
  <c r="D72" i="28"/>
  <c r="D93" i="28"/>
  <c r="C73" i="28"/>
  <c r="C72" i="28"/>
  <c r="G78" i="28"/>
  <c r="C60" i="28"/>
  <c r="C59" i="28"/>
  <c r="C61" i="28"/>
  <c r="C74" i="28"/>
  <c r="D46" i="28"/>
  <c r="D33" i="28"/>
  <c r="D90" i="28"/>
  <c r="C33" i="28"/>
  <c r="C32" i="28"/>
  <c r="B17" i="21"/>
  <c r="G38" i="28"/>
  <c r="C20" i="28"/>
  <c r="C19" i="28"/>
  <c r="A34" i="39"/>
  <c r="A8" i="42"/>
  <c r="A46" i="41"/>
  <c r="A41" i="41"/>
  <c r="A6" i="41"/>
  <c r="A38" i="40"/>
  <c r="A33" i="40"/>
  <c r="A19" i="40"/>
  <c r="A6" i="40"/>
  <c r="A33" i="39"/>
  <c r="A6" i="39"/>
  <c r="A77" i="38"/>
  <c r="A74" i="38"/>
  <c r="A33" i="38"/>
  <c r="A28" i="38"/>
  <c r="A25" i="38"/>
  <c r="A16" i="38"/>
  <c r="A6" i="38"/>
  <c r="D22" i="36"/>
  <c r="D24" i="36" s="1"/>
  <c r="E31" i="2"/>
  <c r="J5" i="24"/>
  <c r="J7" i="24" s="1"/>
  <c r="D46" i="21"/>
  <c r="A80" i="2"/>
  <c r="A79" i="2"/>
  <c r="D62" i="2"/>
  <c r="C8" i="5"/>
  <c r="C7" i="5"/>
  <c r="C20" i="8"/>
  <c r="C19" i="8"/>
  <c r="F1" i="36"/>
  <c r="C5" i="36"/>
  <c r="A63" i="2"/>
  <c r="D59" i="9"/>
  <c r="C59" i="9"/>
  <c r="D65" i="9"/>
  <c r="C65" i="9"/>
  <c r="D62" i="9"/>
  <c r="C62" i="9"/>
  <c r="D56" i="9"/>
  <c r="E72" i="7"/>
  <c r="C56" i="9"/>
  <c r="D72" i="7"/>
  <c r="D53" i="9"/>
  <c r="E71" i="7"/>
  <c r="C53" i="9"/>
  <c r="D71" i="7"/>
  <c r="C46" i="9"/>
  <c r="D70" i="7"/>
  <c r="D46" i="9"/>
  <c r="E70" i="7"/>
  <c r="D28" i="9"/>
  <c r="C28" i="9"/>
  <c r="D69" i="7"/>
  <c r="B65" i="9"/>
  <c r="B62" i="9"/>
  <c r="B59" i="9"/>
  <c r="B56" i="9"/>
  <c r="C72" i="7"/>
  <c r="B53" i="9"/>
  <c r="C71" i="7"/>
  <c r="B46" i="9"/>
  <c r="C70" i="7"/>
  <c r="B28" i="9"/>
  <c r="C69" i="7"/>
  <c r="D19" i="9"/>
  <c r="E68" i="7"/>
  <c r="C19" i="9"/>
  <c r="D68" i="7"/>
  <c r="B19" i="9"/>
  <c r="C68" i="7"/>
  <c r="B72" i="7"/>
  <c r="B71" i="7"/>
  <c r="B70" i="7"/>
  <c r="B69" i="7"/>
  <c r="B68" i="7"/>
  <c r="C74" i="10"/>
  <c r="G79" i="10"/>
  <c r="B22" i="21"/>
  <c r="C73" i="10"/>
  <c r="C61" i="10"/>
  <c r="C60" i="10"/>
  <c r="C62" i="10"/>
  <c r="C75" i="10"/>
  <c r="D47" i="10"/>
  <c r="D74" i="10"/>
  <c r="D96" i="10"/>
  <c r="D73" i="10"/>
  <c r="C34" i="10"/>
  <c r="C20" i="10"/>
  <c r="C21" i="10"/>
  <c r="D34" i="10"/>
  <c r="D33" i="10"/>
  <c r="C33" i="8"/>
  <c r="C32" i="8"/>
  <c r="D33" i="8"/>
  <c r="D32" i="8"/>
  <c r="D19" i="21"/>
  <c r="C73" i="8"/>
  <c r="C72" i="8"/>
  <c r="B20" i="21"/>
  <c r="C60" i="8"/>
  <c r="C59" i="8"/>
  <c r="D73" i="8"/>
  <c r="D20" i="21"/>
  <c r="D97" i="8"/>
  <c r="E1" i="7"/>
  <c r="C115" i="7"/>
  <c r="D6" i="7"/>
  <c r="D65" i="7" s="1"/>
  <c r="G105" i="7"/>
  <c r="E1" i="8"/>
  <c r="C40" i="8" s="1"/>
  <c r="E1" i="10"/>
  <c r="H37" i="10" s="1"/>
  <c r="C28" i="14"/>
  <c r="C27" i="14"/>
  <c r="B29" i="21"/>
  <c r="C15" i="14"/>
  <c r="C16" i="14"/>
  <c r="C29" i="14"/>
  <c r="C14" i="14"/>
  <c r="D28" i="14"/>
  <c r="D31" i="14"/>
  <c r="D27" i="14"/>
  <c r="D29" i="21"/>
  <c r="E28" i="14"/>
  <c r="E27" i="14"/>
  <c r="E34" i="3"/>
  <c r="C30" i="14"/>
  <c r="D30" i="14"/>
  <c r="C59" i="14"/>
  <c r="C58" i="14"/>
  <c r="D59" i="14"/>
  <c r="D30" i="21"/>
  <c r="D58" i="14"/>
  <c r="E59" i="14"/>
  <c r="E58" i="14"/>
  <c r="C61" i="14"/>
  <c r="C62" i="14"/>
  <c r="D61" i="14"/>
  <c r="D62" i="14" s="1"/>
  <c r="C34" i="15"/>
  <c r="D34" i="15"/>
  <c r="D33" i="15"/>
  <c r="D31" i="21"/>
  <c r="E34" i="15"/>
  <c r="E36" i="3"/>
  <c r="C36" i="15"/>
  <c r="C37" i="15"/>
  <c r="D36" i="15"/>
  <c r="E1" i="14"/>
  <c r="B30" i="14" s="1"/>
  <c r="E1" i="15"/>
  <c r="B36" i="15"/>
  <c r="B71" i="15"/>
  <c r="E5" i="15"/>
  <c r="E42" i="15" s="1"/>
  <c r="D5" i="15"/>
  <c r="D42" i="15" s="1"/>
  <c r="C69" i="15"/>
  <c r="B32" i="21"/>
  <c r="D69" i="15"/>
  <c r="D68" i="15"/>
  <c r="E69" i="15"/>
  <c r="E37" i="3"/>
  <c r="C71" i="15"/>
  <c r="C72" i="15" s="1"/>
  <c r="D71" i="15"/>
  <c r="D72" i="15" s="1"/>
  <c r="C28" i="16"/>
  <c r="B33" i="21"/>
  <c r="D28" i="16"/>
  <c r="D33" i="21"/>
  <c r="D27" i="16"/>
  <c r="E28" i="16"/>
  <c r="F33" i="21"/>
  <c r="E27" i="16"/>
  <c r="E38" i="3"/>
  <c r="C30" i="16"/>
  <c r="C31" i="16"/>
  <c r="D30" i="16"/>
  <c r="D31" i="16"/>
  <c r="E1" i="16"/>
  <c r="D5" i="16" s="1"/>
  <c r="D36" i="16" s="1"/>
  <c r="B30" i="16"/>
  <c r="E59" i="16"/>
  <c r="F34" i="21"/>
  <c r="E58" i="16"/>
  <c r="C59" i="16"/>
  <c r="B34" i="21"/>
  <c r="C58" i="16"/>
  <c r="D59" i="16"/>
  <c r="D34" i="21"/>
  <c r="D58" i="16"/>
  <c r="C61" i="16"/>
  <c r="C62" i="16" s="1"/>
  <c r="D61" i="16"/>
  <c r="D62" i="16" s="1"/>
  <c r="B65" i="2"/>
  <c r="A48" i="2"/>
  <c r="D15" i="2"/>
  <c r="J28" i="35"/>
  <c r="K28" i="35"/>
  <c r="B42" i="21"/>
  <c r="H28" i="35"/>
  <c r="F28" i="35"/>
  <c r="D28" i="35"/>
  <c r="D17" i="35"/>
  <c r="D18" i="35"/>
  <c r="D29" i="35"/>
  <c r="D30" i="35"/>
  <c r="B28" i="35"/>
  <c r="B17" i="35"/>
  <c r="K17" i="35"/>
  <c r="B18" i="35"/>
  <c r="J28" i="30"/>
  <c r="J17" i="30"/>
  <c r="J18" i="30"/>
  <c r="J29" i="30"/>
  <c r="J30" i="30"/>
  <c r="H28" i="30"/>
  <c r="H17" i="30"/>
  <c r="H18" i="30"/>
  <c r="H29" i="30"/>
  <c r="H30" i="30"/>
  <c r="F28" i="30"/>
  <c r="F17" i="30"/>
  <c r="F18" i="30"/>
  <c r="F29" i="30"/>
  <c r="F30" i="30"/>
  <c r="D28" i="30"/>
  <c r="D17" i="30"/>
  <c r="D18" i="30"/>
  <c r="D29" i="30"/>
  <c r="D30" i="30"/>
  <c r="B28" i="30"/>
  <c r="K28" i="30"/>
  <c r="B41" i="21"/>
  <c r="B17" i="30"/>
  <c r="E15" i="2"/>
  <c r="G16" i="2"/>
  <c r="E28" i="24"/>
  <c r="G11" i="24"/>
  <c r="E14" i="24"/>
  <c r="G16" i="24"/>
  <c r="E15" i="24"/>
  <c r="E19" i="24"/>
  <c r="G22" i="24" s="1"/>
  <c r="G26" i="24" s="1"/>
  <c r="G30" i="24" s="1"/>
  <c r="G32" i="24" s="1"/>
  <c r="E20" i="24"/>
  <c r="E21" i="24"/>
  <c r="G24" i="24"/>
  <c r="J6" i="24"/>
  <c r="K1" i="35"/>
  <c r="F2" i="35" s="1"/>
  <c r="K1" i="30"/>
  <c r="F2" i="30" s="1"/>
  <c r="E1" i="29"/>
  <c r="B59" i="29" s="1"/>
  <c r="C59" i="29"/>
  <c r="D51" i="3"/>
  <c r="D22" i="5"/>
  <c r="E23" i="5"/>
  <c r="F24" i="5"/>
  <c r="E14" i="7"/>
  <c r="E15" i="7"/>
  <c r="E16" i="7"/>
  <c r="D7" i="36"/>
  <c r="E7" i="36"/>
  <c r="E30" i="28" s="1"/>
  <c r="E33" i="28" s="1"/>
  <c r="F17" i="21" s="1"/>
  <c r="D8" i="36"/>
  <c r="E8" i="36"/>
  <c r="E70" i="28" s="1"/>
  <c r="E73" i="28" s="1"/>
  <c r="C16" i="21"/>
  <c r="C43" i="21" s="1"/>
  <c r="C17" i="21"/>
  <c r="B7" i="36"/>
  <c r="D26" i="36"/>
  <c r="D28" i="36"/>
  <c r="A1" i="36"/>
  <c r="E46" i="16"/>
  <c r="E45" i="16"/>
  <c r="D46" i="16"/>
  <c r="D45" i="16"/>
  <c r="C46" i="16"/>
  <c r="C45" i="16"/>
  <c r="C47" i="16"/>
  <c r="C60" i="16"/>
  <c r="C63" i="16"/>
  <c r="E8" i="14"/>
  <c r="E15" i="14"/>
  <c r="E9" i="14"/>
  <c r="D8" i="14"/>
  <c r="D9" i="14"/>
  <c r="E15" i="16"/>
  <c r="E16" i="16"/>
  <c r="E29" i="16"/>
  <c r="E30" i="16"/>
  <c r="E14" i="16"/>
  <c r="D15" i="16"/>
  <c r="D14" i="16"/>
  <c r="C15" i="16"/>
  <c r="C14" i="16"/>
  <c r="E15" i="15"/>
  <c r="E14" i="15"/>
  <c r="D15" i="15"/>
  <c r="D14" i="15"/>
  <c r="C15" i="15"/>
  <c r="C16" i="15"/>
  <c r="C14" i="15"/>
  <c r="E52" i="15"/>
  <c r="E51" i="15"/>
  <c r="D52" i="15"/>
  <c r="D51" i="15"/>
  <c r="C52" i="15"/>
  <c r="C53" i="15"/>
  <c r="C70" i="15"/>
  <c r="E46" i="14"/>
  <c r="E47" i="14"/>
  <c r="E60" i="14"/>
  <c r="E61" i="14"/>
  <c r="E45" i="14"/>
  <c r="D46" i="14"/>
  <c r="D45" i="14"/>
  <c r="C46" i="14"/>
  <c r="C47" i="14"/>
  <c r="A85" i="29"/>
  <c r="A84" i="29"/>
  <c r="A83" i="29"/>
  <c r="A82" i="29"/>
  <c r="A81" i="29"/>
  <c r="A80" i="29"/>
  <c r="A79" i="29"/>
  <c r="A78" i="29"/>
  <c r="A77" i="29"/>
  <c r="A76" i="29"/>
  <c r="A75" i="29"/>
  <c r="A74" i="29"/>
  <c r="A62" i="29"/>
  <c r="A61" i="29"/>
  <c r="C5" i="35"/>
  <c r="E5" i="35"/>
  <c r="G5" i="35"/>
  <c r="I5" i="35"/>
  <c r="A5" i="35"/>
  <c r="C5" i="30"/>
  <c r="E5" i="30"/>
  <c r="G5" i="30"/>
  <c r="I5" i="30"/>
  <c r="A5" i="30"/>
  <c r="E16" i="21"/>
  <c r="E17" i="21"/>
  <c r="G44" i="28"/>
  <c r="E18" i="21"/>
  <c r="G84" i="28"/>
  <c r="E19" i="21"/>
  <c r="G44" i="8"/>
  <c r="E20" i="21"/>
  <c r="G84" i="8"/>
  <c r="E21" i="21"/>
  <c r="G45" i="10"/>
  <c r="E22" i="21"/>
  <c r="G85" i="10"/>
  <c r="G1" i="3"/>
  <c r="B14" i="3"/>
  <c r="B9" i="3"/>
  <c r="G51" i="3"/>
  <c r="B47" i="3"/>
  <c r="B46" i="3"/>
  <c r="A42" i="21"/>
  <c r="A41" i="21"/>
  <c r="M1" i="22"/>
  <c r="J6" i="22"/>
  <c r="L6" i="22"/>
  <c r="G7" i="22"/>
  <c r="D82" i="2"/>
  <c r="E82" i="2"/>
  <c r="A13" i="2"/>
  <c r="G42" i="22"/>
  <c r="F53" i="21"/>
  <c r="G32" i="22"/>
  <c r="F52" i="21"/>
  <c r="G20" i="22"/>
  <c r="F51" i="21"/>
  <c r="B1" i="22"/>
  <c r="A1" i="30"/>
  <c r="A1" i="35"/>
  <c r="A4" i="26"/>
  <c r="A21" i="26"/>
  <c r="A27" i="26"/>
  <c r="A15" i="26"/>
  <c r="A31" i="2"/>
  <c r="E26" i="27"/>
  <c r="E28" i="27"/>
  <c r="F44" i="21"/>
  <c r="D26" i="27"/>
  <c r="D28" i="27"/>
  <c r="D44" i="21"/>
  <c r="C26" i="27"/>
  <c r="C28" i="27"/>
  <c r="B44" i="21"/>
  <c r="A34" i="21"/>
  <c r="A33" i="21"/>
  <c r="A32" i="21"/>
  <c r="A31" i="21"/>
  <c r="A30" i="21"/>
  <c r="A29" i="21"/>
  <c r="A17" i="21"/>
  <c r="A16" i="21"/>
  <c r="E41" i="15"/>
  <c r="D41" i="15"/>
  <c r="C41" i="15"/>
  <c r="B42" i="15"/>
  <c r="B5" i="15"/>
  <c r="E35" i="14"/>
  <c r="D35" i="14"/>
  <c r="C35" i="14"/>
  <c r="B36" i="14"/>
  <c r="B5" i="14"/>
  <c r="B46" i="10"/>
  <c r="B5" i="10"/>
  <c r="B45" i="8"/>
  <c r="B5" i="8"/>
  <c r="D1" i="9"/>
  <c r="D5" i="9"/>
  <c r="C5" i="9"/>
  <c r="B5" i="9"/>
  <c r="B6" i="7"/>
  <c r="B65" i="7"/>
  <c r="B5" i="16"/>
  <c r="B36" i="16"/>
  <c r="D47" i="3"/>
  <c r="D46" i="3"/>
  <c r="B39" i="3"/>
  <c r="B38" i="3"/>
  <c r="B37" i="3"/>
  <c r="B36" i="3"/>
  <c r="B35" i="3"/>
  <c r="B34" i="3"/>
  <c r="C22" i="3"/>
  <c r="B22" i="3"/>
  <c r="C21" i="3"/>
  <c r="B21" i="3"/>
  <c r="B3" i="3"/>
  <c r="H1" i="21"/>
  <c r="F13" i="21" s="1"/>
  <c r="F50" i="21"/>
  <c r="J46" i="21"/>
  <c r="J51" i="21"/>
  <c r="D13" i="21"/>
  <c r="A1" i="29"/>
  <c r="J1" i="24"/>
  <c r="B11" i="24"/>
  <c r="B24" i="24"/>
  <c r="A42" i="24"/>
  <c r="B8" i="5"/>
  <c r="B7" i="5"/>
  <c r="B1" i="5"/>
  <c r="A1" i="27"/>
  <c r="F1" i="27"/>
  <c r="E7" i="27"/>
  <c r="D7" i="27"/>
  <c r="B31" i="27" s="1"/>
  <c r="M20" i="22"/>
  <c r="M43" i="22"/>
  <c r="M32" i="22"/>
  <c r="M42" i="22"/>
  <c r="L20" i="22"/>
  <c r="L32" i="22"/>
  <c r="L42" i="22"/>
  <c r="L43" i="22"/>
  <c r="K20" i="22"/>
  <c r="K32" i="22"/>
  <c r="K42" i="22"/>
  <c r="K43" i="22"/>
  <c r="J20" i="22"/>
  <c r="J32" i="22"/>
  <c r="J42" i="22"/>
  <c r="J43" i="22"/>
  <c r="I1" i="23"/>
  <c r="H9" i="23"/>
  <c r="I9" i="23"/>
  <c r="G9" i="23"/>
  <c r="K7" i="35"/>
  <c r="F17" i="35"/>
  <c r="F18" i="35"/>
  <c r="F29" i="35"/>
  <c r="F30" i="35"/>
  <c r="H17" i="35"/>
  <c r="J17" i="35"/>
  <c r="J18" i="35"/>
  <c r="K7" i="30"/>
  <c r="B64" i="2"/>
  <c r="D63" i="2"/>
  <c r="A13" i="26"/>
  <c r="A7" i="26"/>
  <c r="D39" i="3"/>
  <c r="D38" i="3"/>
  <c r="D37" i="3"/>
  <c r="D36" i="3"/>
  <c r="D35" i="3"/>
  <c r="D34" i="3"/>
  <c r="D26" i="3"/>
  <c r="D24" i="3"/>
  <c r="D50" i="3"/>
  <c r="B5" i="3"/>
  <c r="C1" i="24"/>
  <c r="A1" i="9"/>
  <c r="B61" i="7"/>
  <c r="B1" i="7"/>
  <c r="B1" i="23"/>
  <c r="I28" i="23"/>
  <c r="H28" i="23"/>
  <c r="G28" i="23"/>
  <c r="F54" i="21"/>
  <c r="B1" i="15"/>
  <c r="B1" i="16"/>
  <c r="B1" i="8"/>
  <c r="B1" i="10"/>
  <c r="B1" i="14"/>
  <c r="A5" i="21"/>
  <c r="G24" i="3"/>
  <c r="G25" i="3"/>
  <c r="G26" i="3"/>
  <c r="G27" i="3"/>
  <c r="G22" i="3"/>
  <c r="G21" i="3"/>
  <c r="E13" i="5"/>
  <c r="E52" i="10"/>
  <c r="F14" i="5"/>
  <c r="F13" i="5"/>
  <c r="E53" i="10" s="1"/>
  <c r="F9" i="5"/>
  <c r="E52" i="28"/>
  <c r="E9" i="5"/>
  <c r="E51" i="28" s="1"/>
  <c r="E60" i="28" s="1"/>
  <c r="G74" i="28" s="1"/>
  <c r="E19" i="5"/>
  <c r="F19" i="5"/>
  <c r="E18" i="5"/>
  <c r="F18" i="5"/>
  <c r="F17" i="5"/>
  <c r="E17" i="5"/>
  <c r="E16" i="5"/>
  <c r="F16" i="5"/>
  <c r="E15" i="5"/>
  <c r="F15" i="5"/>
  <c r="E14" i="5"/>
  <c r="D15" i="5"/>
  <c r="D17" i="5"/>
  <c r="D14" i="5"/>
  <c r="D13" i="5"/>
  <c r="E51" i="10" s="1"/>
  <c r="E61" i="10" s="1"/>
  <c r="D19" i="5"/>
  <c r="D18" i="5"/>
  <c r="D16" i="5"/>
  <c r="D9" i="5"/>
  <c r="E50" i="28"/>
  <c r="J68" i="28"/>
  <c r="J69" i="28"/>
  <c r="C19" i="36"/>
  <c r="D9" i="36"/>
  <c r="D11" i="36"/>
  <c r="E11" i="36"/>
  <c r="E31" i="10" s="1"/>
  <c r="E34" i="10" s="1"/>
  <c r="D13" i="36"/>
  <c r="D15" i="36"/>
  <c r="E15" i="36"/>
  <c r="D17" i="36"/>
  <c r="D6" i="36"/>
  <c r="D19" i="36" s="1"/>
  <c r="D16" i="36"/>
  <c r="D10" i="36"/>
  <c r="E10" i="36"/>
  <c r="E70" i="8" s="1"/>
  <c r="E73" i="8" s="1"/>
  <c r="D12" i="36"/>
  <c r="D18" i="36"/>
  <c r="D14" i="36"/>
  <c r="E14" i="36"/>
  <c r="E9" i="36"/>
  <c r="E16" i="36"/>
  <c r="E18" i="36"/>
  <c r="E17" i="36"/>
  <c r="E13" i="36"/>
  <c r="E12" i="36"/>
  <c r="E71" i="10" s="1"/>
  <c r="E74" i="10" s="1"/>
  <c r="E6" i="36"/>
  <c r="E19" i="36" s="1"/>
  <c r="E105" i="7"/>
  <c r="J68" i="8"/>
  <c r="J69" i="8"/>
  <c r="M54" i="21"/>
  <c r="J102" i="7"/>
  <c r="J103" i="7"/>
  <c r="J101" i="7"/>
  <c r="J69" i="10"/>
  <c r="J70" i="10"/>
  <c r="A52" i="29"/>
  <c r="A6" i="29"/>
  <c r="C19" i="10"/>
  <c r="B18" i="21"/>
  <c r="E68" i="15"/>
  <c r="C97" i="10"/>
  <c r="E10" i="3"/>
  <c r="E39" i="3"/>
  <c r="B9" i="24"/>
  <c r="A14" i="29"/>
  <c r="A16" i="29"/>
  <c r="D118" i="7"/>
  <c r="G102" i="7"/>
  <c r="B29" i="35"/>
  <c r="B30" i="35"/>
  <c r="H18" i="35"/>
  <c r="H29" i="35"/>
  <c r="H30" i="35"/>
  <c r="D32" i="21"/>
  <c r="E5" i="14"/>
  <c r="E36" i="14" s="1"/>
  <c r="F80" i="28"/>
  <c r="J32" i="21"/>
  <c r="D37" i="15"/>
  <c r="D15" i="14"/>
  <c r="D14" i="14"/>
  <c r="E35" i="3"/>
  <c r="C33" i="10"/>
  <c r="B21" i="21"/>
  <c r="G68" i="8"/>
  <c r="G28" i="8"/>
  <c r="H36" i="8"/>
  <c r="H73" i="8"/>
  <c r="H34" i="8"/>
  <c r="H86" i="8"/>
  <c r="H46" i="8"/>
  <c r="H39" i="8"/>
  <c r="H38" i="8"/>
  <c r="H78" i="28"/>
  <c r="B75" i="28"/>
  <c r="H86" i="28"/>
  <c r="C94" i="28"/>
  <c r="H33" i="28"/>
  <c r="H84" i="28"/>
  <c r="G24" i="28"/>
  <c r="G68" i="28"/>
  <c r="H46" i="28"/>
  <c r="G28" i="28"/>
  <c r="H38" i="28"/>
  <c r="C7" i="27"/>
  <c r="B69" i="9"/>
  <c r="E30" i="8"/>
  <c r="E33" i="8" s="1"/>
  <c r="B13" i="21"/>
  <c r="A10" i="21"/>
  <c r="J52" i="21"/>
  <c r="J43" i="21"/>
  <c r="J54" i="21"/>
  <c r="D50" i="21"/>
  <c r="B55" i="21"/>
  <c r="J45" i="21"/>
  <c r="G14" i="21"/>
  <c r="K18" i="35"/>
  <c r="K30" i="35"/>
  <c r="J29" i="35"/>
  <c r="J30" i="35"/>
  <c r="K29" i="35"/>
  <c r="D37" i="16"/>
  <c r="D47" i="16"/>
  <c r="D60" i="16"/>
  <c r="C5" i="15"/>
  <c r="C42" i="15" s="1"/>
  <c r="D6" i="14"/>
  <c r="D16" i="14"/>
  <c r="D29" i="14"/>
  <c r="C32" i="14"/>
  <c r="C31" i="14"/>
  <c r="D22" i="21"/>
  <c r="H47" i="10"/>
  <c r="G72" i="10"/>
  <c r="G28" i="10"/>
  <c r="H44" i="10"/>
  <c r="C96" i="10"/>
  <c r="B78" i="10" s="1"/>
  <c r="G65" i="10"/>
  <c r="H34" i="10"/>
  <c r="H75" i="10"/>
  <c r="H85" i="10"/>
  <c r="C41" i="10"/>
  <c r="H74" i="10"/>
  <c r="H73" i="28"/>
  <c r="H79" i="28"/>
  <c r="B35" i="28"/>
  <c r="C40" i="28"/>
  <c r="D5" i="28"/>
  <c r="D45" i="28"/>
  <c r="H36" i="28"/>
  <c r="E5" i="28"/>
  <c r="E45" i="28"/>
  <c r="H85" i="28"/>
  <c r="G64" i="28"/>
  <c r="G31" i="28"/>
  <c r="H74" i="28"/>
  <c r="H45" i="28"/>
  <c r="H39" i="28"/>
  <c r="D18" i="21"/>
  <c r="H109" i="7"/>
  <c r="H118" i="7"/>
  <c r="C6" i="7"/>
  <c r="C65" i="7"/>
  <c r="H117" i="7"/>
  <c r="E6" i="7"/>
  <c r="E65" i="7" s="1"/>
  <c r="F55" i="21"/>
  <c r="G43" i="22"/>
  <c r="C20" i="5"/>
  <c r="E28" i="5" s="1"/>
  <c r="C6" i="5"/>
  <c r="C14" i="24"/>
  <c r="G21" i="49"/>
  <c r="G19" i="49"/>
  <c r="A36" i="29"/>
  <c r="A38" i="29"/>
  <c r="A7" i="29"/>
  <c r="A19" i="29"/>
  <c r="M53" i="21"/>
  <c r="A46" i="29"/>
  <c r="M34" i="21"/>
  <c r="A9" i="29"/>
  <c r="A53" i="29"/>
  <c r="D27" i="5"/>
  <c r="D11" i="5" s="1"/>
  <c r="E50" i="8" s="1"/>
  <c r="D59" i="8"/>
  <c r="E37" i="16"/>
  <c r="E47" i="16"/>
  <c r="E60" i="16"/>
  <c r="E61" i="16"/>
  <c r="D63" i="16"/>
  <c r="D5" i="36"/>
  <c r="H77" i="10"/>
  <c r="H79" i="10"/>
  <c r="H80" i="10"/>
  <c r="C5" i="8"/>
  <c r="C45" i="8" s="1"/>
  <c r="B8" i="3"/>
  <c r="H85" i="8"/>
  <c r="H108" i="7"/>
  <c r="H74" i="8"/>
  <c r="C61" i="3"/>
  <c r="H36" i="10"/>
  <c r="G69" i="10"/>
  <c r="B5" i="24"/>
  <c r="G24" i="8"/>
  <c r="B5" i="36"/>
  <c r="A32" i="36"/>
  <c r="C80" i="8"/>
  <c r="A22" i="36"/>
  <c r="H78" i="8"/>
  <c r="E5" i="36"/>
  <c r="H113" i="7"/>
  <c r="H43" i="8"/>
  <c r="B76" i="10"/>
  <c r="B110" i="7"/>
  <c r="H33" i="8"/>
  <c r="H46" i="10"/>
  <c r="H79" i="8"/>
  <c r="B3" i="36"/>
  <c r="E5" i="10"/>
  <c r="E46" i="10"/>
  <c r="A3" i="24"/>
  <c r="H75" i="8"/>
  <c r="H84" i="10"/>
  <c r="B36" i="10"/>
  <c r="H86" i="10"/>
  <c r="C80" i="28"/>
  <c r="H45" i="8"/>
  <c r="H44" i="8"/>
  <c r="H76" i="8"/>
  <c r="H75" i="28"/>
  <c r="C15" i="24"/>
  <c r="H35" i="8"/>
  <c r="H35" i="28"/>
  <c r="H76" i="10"/>
  <c r="F12" i="3"/>
  <c r="G71" i="8"/>
  <c r="H119" i="7"/>
  <c r="H120" i="7"/>
  <c r="D5" i="8"/>
  <c r="D45" i="8"/>
  <c r="E5" i="8"/>
  <c r="E45" i="8"/>
  <c r="B61" i="16"/>
  <c r="G98" i="7"/>
  <c r="B13" i="24"/>
  <c r="H110" i="7"/>
  <c r="B35" i="8"/>
  <c r="B18" i="24"/>
  <c r="H107" i="7"/>
  <c r="G24" i="10"/>
  <c r="B28" i="24"/>
  <c r="H83" i="8"/>
  <c r="E5" i="16"/>
  <c r="E36" i="16"/>
  <c r="G71" i="28"/>
  <c r="H39" i="10"/>
  <c r="B38" i="24"/>
  <c r="H40" i="10"/>
  <c r="A15" i="29"/>
  <c r="H112" i="7"/>
  <c r="H44" i="28"/>
  <c r="C5" i="10"/>
  <c r="C46" i="10" s="1"/>
  <c r="H87" i="10"/>
  <c r="B50" i="21"/>
  <c r="B6" i="24"/>
  <c r="H84" i="8"/>
  <c r="C5" i="16"/>
  <c r="C36" i="16"/>
  <c r="H35" i="10"/>
  <c r="G31" i="8"/>
  <c r="D5" i="10"/>
  <c r="D46" i="10"/>
  <c r="G32" i="10"/>
  <c r="F30" i="21"/>
  <c r="F29" i="21"/>
  <c r="D21" i="21"/>
  <c r="D94" i="10"/>
  <c r="D17" i="21"/>
  <c r="D32" i="28"/>
  <c r="D73" i="7"/>
  <c r="D108" i="7"/>
  <c r="D16" i="21" s="1"/>
  <c r="D43" i="21" s="1"/>
  <c r="D45" i="21" s="1"/>
  <c r="C67" i="9"/>
  <c r="C21" i="28"/>
  <c r="C34" i="28"/>
  <c r="K17" i="30"/>
  <c r="K30" i="30"/>
  <c r="B18" i="30"/>
  <c r="C27" i="16"/>
  <c r="C16" i="16"/>
  <c r="C29" i="16"/>
  <c r="D6" i="16"/>
  <c r="D16" i="16"/>
  <c r="D29" i="16"/>
  <c r="C68" i="15"/>
  <c r="C51" i="15"/>
  <c r="D43" i="15"/>
  <c r="D53" i="15"/>
  <c r="D70" i="15"/>
  <c r="D73" i="15"/>
  <c r="C73" i="15"/>
  <c r="C35" i="15"/>
  <c r="D6" i="15"/>
  <c r="D16" i="15"/>
  <c r="D35" i="15"/>
  <c r="D38" i="15"/>
  <c r="B31" i="21"/>
  <c r="C33" i="15"/>
  <c r="K18" i="30"/>
  <c r="B29" i="30"/>
  <c r="C38" i="15"/>
  <c r="B30" i="21"/>
  <c r="C60" i="14"/>
  <c r="D37" i="14"/>
  <c r="D47" i="14"/>
  <c r="D60" i="14"/>
  <c r="D63" i="14"/>
  <c r="C63" i="14"/>
  <c r="C45" i="14"/>
  <c r="E37" i="14"/>
  <c r="C35" i="10"/>
  <c r="G39" i="10"/>
  <c r="D6" i="10"/>
  <c r="C95" i="10"/>
  <c r="G78" i="8"/>
  <c r="C97" i="8"/>
  <c r="B77" i="8" s="1"/>
  <c r="C61" i="8"/>
  <c r="C74" i="8"/>
  <c r="C98" i="8"/>
  <c r="B19" i="21"/>
  <c r="G38" i="8"/>
  <c r="C21" i="8"/>
  <c r="C34" i="8"/>
  <c r="C96" i="8"/>
  <c r="C73" i="7"/>
  <c r="C108" i="7"/>
  <c r="C109" i="7" s="1"/>
  <c r="B16" i="21"/>
  <c r="B43" i="21"/>
  <c r="B45" i="21" s="1"/>
  <c r="B67" i="9"/>
  <c r="C55" i="7"/>
  <c r="C66" i="7"/>
  <c r="E43" i="15"/>
  <c r="E53" i="15"/>
  <c r="E6" i="15"/>
  <c r="E16" i="15"/>
  <c r="D6" i="28"/>
  <c r="D21" i="28"/>
  <c r="D34" i="28"/>
  <c r="E6" i="28" s="1"/>
  <c r="C91" i="28"/>
  <c r="C32" i="16"/>
  <c r="B30" i="30"/>
  <c r="K29" i="30"/>
  <c r="E6" i="16"/>
  <c r="D32" i="16"/>
  <c r="D46" i="8"/>
  <c r="D61" i="8"/>
  <c r="D6" i="8"/>
  <c r="G112" i="7"/>
  <c r="C107" i="7"/>
  <c r="D91" i="28"/>
  <c r="B38" i="28" s="1"/>
  <c r="G33" i="28"/>
  <c r="F31" i="21"/>
  <c r="E33" i="15"/>
  <c r="E35" i="15"/>
  <c r="E36" i="15"/>
  <c r="D67" i="9"/>
  <c r="E69" i="7"/>
  <c r="E6" i="14"/>
  <c r="D32" i="14"/>
  <c r="E14" i="14"/>
  <c r="E16" i="14"/>
  <c r="E29" i="14" s="1"/>
  <c r="E30" i="14" s="1"/>
  <c r="F29" i="5"/>
  <c r="D8" i="5"/>
  <c r="D7" i="5" s="1"/>
  <c r="D10" i="5"/>
  <c r="E10" i="8"/>
  <c r="D12" i="5"/>
  <c r="E10" i="10"/>
  <c r="E43" i="21"/>
  <c r="G46" i="28"/>
  <c r="G47" i="10"/>
  <c r="G120" i="7"/>
  <c r="G86" i="8"/>
  <c r="G86" i="28"/>
  <c r="G87" i="10"/>
  <c r="G118" i="7"/>
  <c r="J34" i="24"/>
  <c r="E72" i="8"/>
  <c r="E73" i="10"/>
  <c r="F8" i="5"/>
  <c r="E12" i="28" s="1"/>
  <c r="F12" i="5"/>
  <c r="E12" i="10"/>
  <c r="F10" i="5"/>
  <c r="E12" i="8" s="1"/>
  <c r="F11" i="5"/>
  <c r="E52" i="8"/>
  <c r="G46" i="8"/>
  <c r="F32" i="21"/>
  <c r="E70" i="15"/>
  <c r="E71" i="15"/>
  <c r="F37" i="10"/>
  <c r="D72" i="8"/>
  <c r="D74" i="8"/>
  <c r="G73" i="8" s="1"/>
  <c r="D98" i="8"/>
  <c r="B78" i="8" s="1"/>
  <c r="E46" i="8"/>
  <c r="G48" i="3"/>
  <c r="F36" i="8"/>
  <c r="D55" i="7"/>
  <c r="E73" i="7"/>
  <c r="E108" i="7"/>
  <c r="F111" i="7" s="1"/>
  <c r="E112" i="7"/>
  <c r="F16" i="21"/>
  <c r="G22" i="49"/>
  <c r="G18" i="49"/>
  <c r="D7" i="49" l="1"/>
  <c r="E11" i="7"/>
  <c r="D20" i="5"/>
  <c r="G75" i="10"/>
  <c r="E27" i="3"/>
  <c r="E78" i="10"/>
  <c r="F22" i="21"/>
  <c r="F77" i="10"/>
  <c r="E32" i="28"/>
  <c r="E22" i="3"/>
  <c r="E37" i="28"/>
  <c r="F36" i="28"/>
  <c r="E61" i="8"/>
  <c r="F7" i="5"/>
  <c r="C141" i="7"/>
  <c r="D7" i="7"/>
  <c r="D57" i="7" s="1"/>
  <c r="F20" i="21"/>
  <c r="E77" i="8"/>
  <c r="F76" i="8"/>
  <c r="E25" i="3"/>
  <c r="F21" i="21"/>
  <c r="E38" i="10"/>
  <c r="E33" i="10"/>
  <c r="E26" i="3"/>
  <c r="F18" i="21"/>
  <c r="F43" i="21" s="1"/>
  <c r="F45" i="21" s="1"/>
  <c r="F76" i="28"/>
  <c r="E77" i="28"/>
  <c r="E72" i="28"/>
  <c r="E23" i="3"/>
  <c r="D59" i="28"/>
  <c r="D61" i="28"/>
  <c r="D74" i="28" s="1"/>
  <c r="D21" i="10"/>
  <c r="D35" i="10" s="1"/>
  <c r="D19" i="10"/>
  <c r="E107" i="7"/>
  <c r="E21" i="3"/>
  <c r="E48" i="3" s="1"/>
  <c r="E8" i="5"/>
  <c r="E12" i="5"/>
  <c r="E11" i="10" s="1"/>
  <c r="E20" i="10" s="1"/>
  <c r="E10" i="5"/>
  <c r="E11" i="8" s="1"/>
  <c r="E20" i="8" s="1"/>
  <c r="E11" i="5"/>
  <c r="E51" i="8" s="1"/>
  <c r="E60" i="8" s="1"/>
  <c r="E24" i="3"/>
  <c r="E32" i="8"/>
  <c r="F19" i="21"/>
  <c r="E37" i="8"/>
  <c r="J36" i="24"/>
  <c r="D21" i="8"/>
  <c r="D34" i="8" s="1"/>
  <c r="D19" i="8"/>
  <c r="D62" i="10"/>
  <c r="D75" i="10" s="1"/>
  <c r="D60" i="10"/>
  <c r="D107" i="7"/>
  <c r="A51" i="29"/>
  <c r="D5" i="14"/>
  <c r="D36" i="14" s="1"/>
  <c r="H45" i="10"/>
  <c r="G64" i="8"/>
  <c r="E10" i="28"/>
  <c r="D140" i="7"/>
  <c r="A58" i="29"/>
  <c r="A8" i="29"/>
  <c r="B61" i="14"/>
  <c r="C81" i="10"/>
  <c r="B75" i="8"/>
  <c r="H83" i="28"/>
  <c r="C5" i="28"/>
  <c r="C45" i="28" s="1"/>
  <c r="C140" i="7"/>
  <c r="B112" i="7" s="1"/>
  <c r="A54" i="29"/>
  <c r="C5" i="14"/>
  <c r="C36" i="14" s="1"/>
  <c r="H43" i="28"/>
  <c r="G35" i="10" l="1"/>
  <c r="G34" i="8"/>
  <c r="E20" i="28"/>
  <c r="D96" i="8"/>
  <c r="B38" i="8" s="1"/>
  <c r="E6" i="8"/>
  <c r="E21" i="8" s="1"/>
  <c r="G33" i="8"/>
  <c r="E78" i="28"/>
  <c r="E7" i="5"/>
  <c r="E11" i="28"/>
  <c r="E78" i="8"/>
  <c r="E6" i="10"/>
  <c r="E21" i="10" s="1"/>
  <c r="E39" i="10" s="1"/>
  <c r="D95" i="10"/>
  <c r="B39" i="10" s="1"/>
  <c r="G34" i="10"/>
  <c r="G73" i="28"/>
  <c r="E46" i="28"/>
  <c r="E61" i="28" s="1"/>
  <c r="D94" i="28"/>
  <c r="B78" i="28" s="1"/>
  <c r="D97" i="10"/>
  <c r="B79" i="10" s="1"/>
  <c r="G74" i="10"/>
  <c r="E47" i="10"/>
  <c r="E62" i="10" s="1"/>
  <c r="E38" i="8"/>
  <c r="G74" i="8"/>
  <c r="E13" i="7"/>
  <c r="F20" i="5"/>
  <c r="E79" i="10"/>
  <c r="D66" i="7"/>
  <c r="D109" i="7"/>
  <c r="E40" i="10" l="1"/>
  <c r="E79" i="28"/>
  <c r="E80" i="28"/>
  <c r="E39" i="8"/>
  <c r="G35" i="8" s="1"/>
  <c r="E40" i="8"/>
  <c r="E20" i="5"/>
  <c r="E12" i="7"/>
  <c r="E56" i="7" s="1"/>
  <c r="G34" i="28"/>
  <c r="E21" i="28"/>
  <c r="E80" i="10"/>
  <c r="G76" i="10"/>
  <c r="E81" i="10"/>
  <c r="G76" i="8"/>
  <c r="G79" i="8" s="1"/>
  <c r="E79" i="8"/>
  <c r="E80" i="8"/>
  <c r="G75" i="8"/>
  <c r="K75" i="8" s="1"/>
  <c r="G36" i="8"/>
  <c r="G39" i="8" s="1"/>
  <c r="D141" i="7"/>
  <c r="B113" i="7" s="1"/>
  <c r="G107" i="7"/>
  <c r="E7" i="7"/>
  <c r="E57" i="7" s="1"/>
  <c r="E59" i="28"/>
  <c r="F27" i="3" l="1"/>
  <c r="G22" i="21"/>
  <c r="H22" i="21"/>
  <c r="G84" i="10" s="1"/>
  <c r="E60" i="10"/>
  <c r="F24" i="3"/>
  <c r="G19" i="21"/>
  <c r="H19" i="21" s="1"/>
  <c r="G43" i="8" s="1"/>
  <c r="E19" i="8"/>
  <c r="G75" i="28"/>
  <c r="E38" i="28"/>
  <c r="H18" i="21"/>
  <c r="G83" i="28" s="1"/>
  <c r="G18" i="21"/>
  <c r="F23" i="3"/>
  <c r="E66" i="7"/>
  <c r="E113" i="7"/>
  <c r="F25" i="3"/>
  <c r="G20" i="21"/>
  <c r="H20" i="21"/>
  <c r="G83" i="8" s="1"/>
  <c r="E59" i="8"/>
  <c r="K76" i="10"/>
  <c r="G108" i="7"/>
  <c r="K35" i="8"/>
  <c r="G77" i="10"/>
  <c r="G80" i="10" s="1"/>
  <c r="E41" i="10"/>
  <c r="G36" i="10" s="1"/>
  <c r="G37" i="10" s="1"/>
  <c r="G40" i="10" s="1"/>
  <c r="E39" i="28" l="1"/>
  <c r="G35" i="28" s="1"/>
  <c r="H21" i="21"/>
  <c r="G44" i="10" s="1"/>
  <c r="G21" i="21"/>
  <c r="F26" i="3"/>
  <c r="E19" i="10"/>
  <c r="E114" i="7"/>
  <c r="G109" i="7" s="1"/>
  <c r="E115" i="7"/>
  <c r="K75" i="28"/>
  <c r="G76" i="28"/>
  <c r="G79" i="28" s="1"/>
  <c r="K109" i="7" l="1"/>
  <c r="G110" i="7"/>
  <c r="G113" i="7" s="1"/>
  <c r="E40" i="28"/>
  <c r="F21" i="3"/>
  <c r="H16" i="21"/>
  <c r="G16" i="21"/>
  <c r="E55" i="7"/>
  <c r="K35" i="28"/>
  <c r="G36" i="28"/>
  <c r="G39" i="28" s="1"/>
  <c r="H17" i="21" l="1"/>
  <c r="G43" i="28" s="1"/>
  <c r="F22" i="3"/>
  <c r="F48" i="3" s="1"/>
  <c r="F49" i="3" s="1"/>
  <c r="J38" i="24"/>
  <c r="J40" i="24" s="1"/>
  <c r="G17" i="21"/>
  <c r="E19" i="28"/>
  <c r="G43" i="21"/>
  <c r="M45" i="21" s="1"/>
  <c r="M47" i="21" s="1"/>
  <c r="M41" i="21" s="1"/>
  <c r="J41" i="21" s="1"/>
  <c r="G117" i="7"/>
  <c r="H43" i="21" l="1"/>
  <c r="G85" i="28" l="1"/>
  <c r="G45" i="8"/>
  <c r="G46" i="10"/>
  <c r="M51" i="21"/>
  <c r="G85" i="8"/>
  <c r="G119" i="7"/>
  <c r="G86" i="10"/>
  <c r="G45" i="28"/>
</calcChain>
</file>

<file path=xl/sharedStrings.xml><?xml version="1.0" encoding="utf-8"?>
<sst xmlns="http://schemas.openxmlformats.org/spreadsheetml/2006/main" count="1697" uniqueCount="1055">
  <si>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</si>
  <si>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</si>
  <si>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</si>
  <si>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</si>
  <si>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</si>
  <si>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</si>
  <si>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</si>
  <si>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</si>
  <si>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</si>
  <si>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</si>
  <si>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</si>
  <si>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</si>
  <si>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</si>
  <si>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</si>
  <si>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</si>
  <si>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</si>
  <si>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</si>
  <si>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</si>
  <si>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</si>
  <si>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</si>
  <si>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</si>
  <si>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</si>
  <si>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</si>
  <si>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</si>
  <si>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</si>
  <si>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</si>
  <si>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</si>
  <si>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</si>
  <si>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</si>
  <si>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</si>
  <si>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</si>
  <si>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</si>
  <si>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</si>
  <si>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</si>
  <si>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</si>
  <si>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</si>
  <si>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</si>
  <si>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</si>
  <si>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</si>
  <si>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</si>
  <si>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</si>
  <si>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</si>
  <si>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</si>
  <si>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</si>
  <si>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</si>
  <si>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</si>
  <si>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</si>
  <si>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</si>
  <si>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</si>
  <si>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</si>
  <si>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</si>
  <si>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</si>
  <si>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</si>
  <si>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</si>
  <si>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</si>
  <si>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</si>
  <si>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</si>
  <si>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</si>
  <si>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</si>
  <si>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</si>
  <si>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</si>
  <si>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</si>
  <si>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</si>
  <si>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</si>
  <si>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</si>
  <si>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</si>
  <si>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</si>
  <si>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</si>
  <si>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</si>
  <si>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</si>
  <si>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</si>
  <si>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</si>
  <si>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</si>
  <si>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</si>
  <si>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</si>
  <si>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</si>
  <si>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</si>
  <si>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</si>
  <si>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</si>
  <si>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</si>
  <si>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</si>
  <si>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</si>
  <si>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</si>
  <si>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</si>
  <si>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</si>
  <si>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</si>
  <si>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</si>
  <si>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</si>
  <si>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</si>
  <si>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</si>
  <si>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</si>
  <si>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</si>
  <si>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</si>
  <si>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</si>
  <si>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</si>
  <si>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</si>
  <si>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</si>
  <si>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</si>
  <si>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</si>
  <si>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</si>
  <si>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</si>
  <si>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</si>
  <si>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</si>
  <si>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</si>
  <si>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</si>
  <si>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</si>
  <si>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</si>
  <si>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</si>
  <si>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</si>
  <si>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</si>
  <si>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</si>
  <si>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</si>
  <si>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</si>
  <si>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</si>
  <si>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</si>
  <si>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</si>
  <si>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</si>
  <si>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</si>
  <si>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</si>
  <si>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</si>
  <si>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</si>
  <si>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</si>
  <si>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</si>
  <si>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</si>
  <si>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</si>
  <si>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</si>
  <si>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</si>
  <si>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</si>
  <si>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</si>
  <si>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</si>
  <si>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</si>
  <si>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</si>
  <si>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</si>
  <si>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</si>
  <si>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</si>
  <si>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</si>
  <si>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</si>
  <si>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</si>
  <si>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</si>
  <si>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</si>
  <si>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</si>
  <si>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</si>
  <si>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</si>
  <si>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</si>
  <si>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</si>
  <si>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</si>
  <si>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</si>
  <si>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</si>
  <si>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</si>
  <si>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</si>
  <si>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</si>
  <si>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</si>
  <si>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</si>
  <si>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</si>
  <si>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</si>
  <si>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</si>
  <si>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</si>
  <si>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</si>
  <si>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</si>
  <si>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</si>
  <si>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</si>
  <si>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</si>
  <si>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</si>
  <si>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</si>
  <si>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</si>
  <si>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</si>
  <si>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</si>
  <si>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</si>
  <si>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</si>
  <si>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</si>
  <si>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</si>
  <si>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</si>
  <si>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</si>
  <si>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</si>
  <si>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</si>
  <si>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</si>
  <si>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</si>
  <si>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</si>
  <si>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</si>
  <si>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</si>
  <si>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</si>
  <si>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</si>
  <si>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</si>
  <si>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</si>
  <si>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</si>
  <si>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</si>
  <si>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</si>
  <si>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</si>
  <si>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</si>
  <si>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</si>
  <si>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</si>
  <si>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</si>
  <si>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</si>
  <si>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</si>
  <si>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</si>
  <si>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</si>
  <si>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</si>
  <si>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</si>
  <si>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</si>
  <si>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</si>
  <si>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</si>
  <si>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</si>
  <si>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</si>
  <si>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</si>
  <si>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</si>
  <si>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</si>
  <si>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</si>
  <si>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</si>
  <si>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</si>
  <si>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</si>
  <si>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</si>
  <si>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</si>
  <si>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</si>
  <si>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</si>
  <si>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</si>
  <si>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</si>
  <si>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</si>
  <si>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</si>
  <si>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</si>
  <si>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</si>
  <si>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</si>
  <si>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</si>
  <si>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</si>
  <si>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</si>
  <si>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</si>
  <si>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</si>
  <si>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</si>
  <si>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</si>
  <si>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</si>
  <si>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</si>
  <si>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</si>
  <si>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</si>
  <si>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</si>
  <si>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</si>
  <si>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</si>
  <si>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</si>
  <si>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</si>
  <si>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</si>
  <si>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</si>
  <si>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</si>
  <si>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</si>
  <si>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</si>
  <si>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</si>
  <si>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</si>
  <si>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</si>
  <si>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</si>
  <si>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</si>
  <si>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</si>
  <si>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</si>
  <si>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</si>
  <si>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</si>
  <si>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</si>
  <si>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</si>
  <si>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</si>
  <si>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</si>
  <si>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</si>
  <si>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</si>
  <si>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</si>
  <si>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</si>
  <si>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</si>
  <si>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</si>
  <si>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</si>
  <si>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</si>
  <si>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</si>
  <si>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</si>
  <si>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</si>
  <si>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</si>
  <si>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</si>
  <si>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</si>
  <si>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</si>
  <si>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</si>
  <si>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</si>
  <si>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</si>
  <si>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</si>
  <si>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</si>
  <si>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</si>
  <si>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</si>
  <si>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</si>
  <si>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</si>
  <si>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</si>
  <si>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</si>
  <si>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</si>
  <si>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</si>
  <si>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</si>
  <si>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</si>
  <si>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</si>
  <si>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</si>
  <si>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</si>
  <si>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</si>
  <si>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</si>
  <si>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</si>
  <si>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</si>
  <si>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</si>
  <si>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</si>
  <si>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</si>
  <si>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</si>
  <si>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</si>
  <si>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</si>
  <si>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</si>
  <si>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</si>
  <si>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</si>
  <si>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</si>
  <si>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</si>
  <si>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</si>
  <si>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</si>
  <si>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</si>
  <si>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</si>
  <si>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</si>
  <si>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</si>
  <si>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</si>
  <si>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</si>
  <si>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</si>
  <si>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</si>
  <si>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</si>
  <si>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</si>
  <si>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</si>
  <si>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</si>
  <si>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</si>
  <si>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</si>
  <si>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</si>
  <si>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</si>
  <si>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</si>
  <si>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</si>
  <si>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</si>
  <si>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</si>
  <si>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</si>
  <si>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</si>
  <si>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</si>
  <si>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</si>
  <si>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</si>
  <si>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</si>
  <si>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</si>
  <si>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</si>
  <si>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</si>
  <si>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</si>
  <si>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</si>
  <si>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</si>
  <si>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</si>
  <si>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</si>
  <si>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</si>
  <si>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</si>
  <si>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</si>
  <si>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</si>
  <si>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</si>
  <si>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</si>
  <si>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</si>
  <si>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</si>
  <si>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</si>
  <si>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</si>
  <si>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</si>
  <si>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</si>
  <si>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</si>
  <si>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</si>
  <si>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</si>
  <si>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</si>
  <si>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</si>
  <si>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</si>
  <si>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</si>
  <si>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</si>
  <si>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</si>
  <si>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</si>
  <si>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</si>
  <si>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</si>
  <si>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</si>
  <si>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</si>
  <si>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</si>
  <si>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</si>
  <si>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</si>
  <si>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</si>
  <si>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</si>
  <si>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</si>
  <si>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</si>
  <si>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</si>
  <si>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</si>
  <si>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</si>
  <si>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</si>
  <si>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</si>
  <si>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</si>
  <si>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</si>
  <si>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</si>
  <si>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</si>
  <si>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</si>
  <si>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</si>
  <si>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</si>
  <si>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</si>
  <si>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</si>
  <si>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</si>
  <si>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</si>
  <si>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</si>
  <si>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</si>
  <si>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</si>
  <si>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</si>
  <si>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</si>
  <si>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</si>
  <si>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</si>
  <si>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</si>
  <si>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</si>
  <si>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</si>
  <si>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</si>
  <si>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</si>
  <si>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</si>
  <si>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</si>
  <si>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</si>
  <si>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</si>
  <si>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</si>
  <si>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</si>
  <si>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</si>
  <si>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</si>
  <si>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</si>
  <si>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</si>
  <si>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</si>
  <si>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</si>
  <si>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</si>
  <si>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</si>
  <si>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</si>
  <si>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</si>
  <si>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</si>
  <si>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</si>
  <si>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</si>
  <si>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</si>
  <si>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</si>
  <si>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</si>
  <si>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</si>
  <si>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</si>
  <si>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</si>
  <si>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</si>
  <si>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</si>
  <si>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</si>
  <si>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</si>
  <si>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</si>
  <si>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</si>
  <si>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</si>
  <si>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</si>
  <si>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</si>
  <si>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</si>
  <si>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</si>
  <si>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</si>
  <si>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</si>
  <si>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</si>
  <si>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</si>
  <si>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</si>
  <si>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</si>
  <si>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</si>
  <si>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</si>
  <si>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</si>
  <si>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</si>
  <si>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</si>
  <si>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</si>
  <si>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</si>
  <si>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</si>
  <si>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</si>
  <si>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</si>
  <si>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</si>
  <si>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</si>
  <si>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</si>
  <si>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</si>
  <si>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</si>
  <si>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</si>
  <si>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</si>
  <si>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</si>
  <si>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</si>
  <si>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</si>
  <si>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</si>
  <si>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</si>
  <si>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</si>
  <si>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</si>
  <si>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</si>
  <si>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</si>
  <si>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</si>
  <si>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</si>
  <si>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</si>
  <si>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</si>
  <si>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</si>
  <si>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</si>
  <si>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</si>
  <si>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</si>
  <si>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</si>
  <si>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</si>
  <si>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</si>
  <si>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</si>
  <si>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</si>
  <si>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</si>
  <si>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</si>
  <si>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</si>
  <si>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</si>
  <si>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</si>
  <si>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</si>
  <si>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</si>
  <si>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</si>
  <si>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</si>
  <si>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</si>
  <si>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</si>
  <si>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</si>
  <si>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</si>
  <si>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</si>
  <si>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</si>
  <si>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</si>
  <si>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</si>
  <si>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</si>
  <si>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</si>
  <si>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</si>
  <si>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</si>
  <si>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</si>
  <si>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</si>
  <si>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</si>
  <si>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</si>
  <si>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</si>
  <si>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</si>
  <si>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</si>
  <si>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</si>
  <si>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</si>
  <si>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</si>
  <si>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</si>
  <si>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</si>
  <si>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</si>
  <si>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</si>
  <si>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</si>
  <si>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</si>
  <si>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</si>
  <si>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</si>
  <si>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</si>
  <si>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</si>
  <si>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</si>
  <si>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</si>
  <si>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</si>
  <si>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</si>
  <si>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</si>
  <si>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</si>
  <si>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</si>
  <si>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</si>
  <si>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</si>
  <si>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</si>
  <si>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</si>
  <si>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</si>
  <si>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</si>
  <si>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</si>
  <si>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</si>
  <si>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</si>
  <si>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</si>
  <si>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</si>
  <si>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</si>
  <si>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</si>
  <si>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</si>
  <si>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</si>
  <si>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</si>
  <si>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</si>
  <si>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</si>
  <si>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</si>
  <si>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</si>
  <si>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</si>
  <si>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</si>
  <si>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</si>
  <si>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</si>
  <si>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</si>
  <si>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</si>
  <si>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</si>
  <si>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</si>
  <si>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</si>
  <si>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</si>
  <si>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</si>
  <si>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</si>
  <si>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</si>
  <si>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</si>
  <si>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</si>
  <si>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</si>
  <si>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</si>
  <si>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</si>
  <si>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</si>
  <si>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</si>
  <si>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</si>
  <si>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</si>
  <si>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</si>
  <si>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</si>
  <si>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</si>
  <si>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</si>
  <si>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</si>
  <si>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</si>
  <si>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</si>
  <si>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</si>
  <si>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</si>
  <si>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</si>
  <si>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</si>
  <si>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</si>
  <si>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</si>
  <si>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</si>
  <si>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</si>
  <si>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</si>
  <si>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</si>
  <si>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</si>
  <si>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</si>
  <si>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</si>
  <si>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</si>
  <si>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</si>
  <si>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</si>
  <si>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</si>
  <si>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</si>
  <si>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</si>
  <si>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</si>
  <si>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</si>
  <si>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</si>
  <si>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</si>
  <si>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</si>
  <si>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</si>
  <si>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</si>
  <si>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</si>
  <si>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</si>
  <si>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</si>
  <si>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</si>
  <si>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</si>
  <si>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</si>
  <si>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</si>
  <si>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</si>
  <si>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</si>
  <si>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</si>
  <si>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</si>
  <si>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</si>
  <si>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</si>
  <si>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</si>
  <si>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</si>
  <si>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</si>
  <si>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</si>
  <si>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</si>
  <si>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</si>
  <si>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</si>
  <si>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</si>
  <si>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</si>
  <si>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</si>
  <si>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</si>
  <si>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</si>
  <si>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</si>
  <si>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</si>
  <si>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</si>
  <si>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</si>
  <si>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</si>
  <si>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</si>
  <si>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</si>
  <si>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</si>
  <si>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</si>
  <si>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</si>
  <si>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</si>
  <si>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</si>
  <si>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</si>
  <si>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</si>
  <si>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</si>
  <si>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</si>
  <si>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</si>
  <si>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</si>
  <si>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</si>
  <si>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</si>
  <si>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</si>
  <si>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</si>
  <si>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</si>
  <si>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</si>
  <si>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</si>
  <si>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</si>
  <si>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</si>
  <si>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</si>
  <si>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</si>
  <si>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</si>
  <si>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</si>
  <si>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</si>
  <si>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</si>
  <si>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</si>
  <si>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</si>
  <si>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</si>
  <si>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</si>
  <si>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</si>
  <si>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</si>
  <si>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</si>
  <si>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</si>
  <si>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</si>
  <si>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</si>
  <si>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</si>
  <si>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</si>
  <si>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</si>
  <si>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</si>
  <si>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</si>
  <si>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</si>
  <si>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</si>
  <si>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</si>
  <si>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</si>
  <si>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</si>
  <si>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</si>
  <si>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</si>
  <si>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</si>
  <si>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</si>
  <si>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</si>
  <si>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</si>
  <si>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</si>
  <si>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</si>
  <si>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</si>
  <si>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</si>
  <si>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</si>
  <si>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</si>
  <si>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</si>
  <si>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</si>
  <si>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</si>
  <si>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</si>
  <si>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</si>
  <si>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</si>
  <si>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</si>
  <si>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</si>
  <si>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</si>
  <si>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</si>
  <si>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</si>
  <si>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</si>
  <si>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</si>
  <si>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</si>
  <si>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</si>
  <si>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</si>
  <si>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</si>
  <si>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</si>
  <si>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</si>
  <si>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</si>
  <si>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</si>
  <si>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</si>
  <si>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</si>
  <si>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</si>
  <si>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</si>
  <si>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</si>
  <si>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</si>
  <si>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</si>
  <si>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</si>
  <si>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</si>
  <si>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</si>
  <si>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</si>
  <si>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</si>
  <si>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</si>
  <si>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</si>
  <si>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</si>
  <si>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</si>
  <si>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</si>
  <si>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</si>
  <si>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</si>
  <si>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</si>
  <si>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</si>
  <si>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</si>
  <si>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</si>
  <si>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</si>
  <si>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</si>
  <si>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</si>
  <si>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</si>
  <si>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</si>
  <si>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</si>
  <si>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</si>
  <si>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r>
      <rPr>
        <b/>
        <sz val="12"/>
        <rFont val="Times New Roman"/>
        <family val="1"/>
      </rPr>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</si>
  <si>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</si>
  <si>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</si>
  <si>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</si>
  <si>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</si>
  <si>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</si>
  <si>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</si>
  <si>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Local Sales Tax</t>
  </si>
  <si>
    <t>Franchise Tax</t>
  </si>
  <si>
    <t>Licenses</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</si>
  <si>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</si>
  <si>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</si>
  <si>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</si>
  <si>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</si>
  <si>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</si>
  <si>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</si>
  <si>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</si>
  <si>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</si>
  <si>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</si>
  <si>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</si>
  <si>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</si>
  <si>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</si>
  <si>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</si>
  <si>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</si>
  <si>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</si>
  <si>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</si>
  <si>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</si>
  <si>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</si>
  <si>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</si>
  <si>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</si>
  <si>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</si>
  <si>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</si>
  <si>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</si>
  <si>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</si>
  <si>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</si>
  <si>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</si>
  <si>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</si>
  <si>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</si>
  <si>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</si>
  <si>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</si>
  <si>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</si>
  <si>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</si>
  <si>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</si>
  <si>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</si>
  <si>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</si>
  <si>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</si>
  <si>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</si>
  <si>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</si>
  <si>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</si>
  <si>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</si>
  <si>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</si>
  <si>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</si>
  <si>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</si>
  <si>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</si>
  <si>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</si>
  <si>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</si>
  <si>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</si>
  <si>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</si>
  <si>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</si>
  <si>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</si>
  <si>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</si>
  <si>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</si>
  <si>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</si>
  <si>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</si>
  <si>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</si>
  <si>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</si>
  <si>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</si>
  <si>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</si>
  <si>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</si>
  <si>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</si>
  <si>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</si>
  <si>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</si>
  <si>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</si>
  <si>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</si>
  <si>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</si>
  <si>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</si>
  <si>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</si>
  <si>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</si>
  <si>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</si>
  <si>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</si>
  <si>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</si>
  <si>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</si>
  <si>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</si>
  <si>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</si>
  <si>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</si>
  <si>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</si>
  <si>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</si>
  <si>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</si>
  <si>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</si>
  <si>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</si>
  <si>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</si>
  <si>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</si>
  <si>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</si>
  <si>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</si>
  <si>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</si>
  <si>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</si>
  <si>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</si>
  <si>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</si>
  <si>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</si>
  <si>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</si>
  <si>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</si>
  <si>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</si>
  <si>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</si>
  <si>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</si>
  <si>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</si>
  <si>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</si>
  <si>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</si>
  <si>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</si>
  <si>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</si>
  <si>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</si>
  <si>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</si>
  <si>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</si>
  <si>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</si>
  <si>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</si>
  <si>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</si>
  <si>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</si>
  <si>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</si>
  <si>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</si>
  <si>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</si>
  <si>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</si>
  <si>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</si>
  <si>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</si>
  <si>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</si>
  <si>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</si>
  <si>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</si>
  <si>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</si>
  <si>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</si>
  <si>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</si>
  <si>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</si>
  <si>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</si>
  <si>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</si>
  <si>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</si>
  <si>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</si>
  <si>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</si>
  <si>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</si>
  <si>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</si>
  <si>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</si>
  <si>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</si>
  <si>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</si>
  <si>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</si>
  <si>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</si>
  <si>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</si>
  <si>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</si>
  <si>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</si>
  <si>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</si>
  <si>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</si>
  <si>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</si>
  <si>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</si>
  <si>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</si>
  <si>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</si>
  <si>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</si>
  <si>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</si>
  <si>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</si>
  <si>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</si>
  <si>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</si>
  <si>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</si>
  <si>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</si>
  <si>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</si>
  <si>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</si>
  <si>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</si>
  <si>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</si>
  <si>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</si>
  <si>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</si>
  <si>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</si>
  <si>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</si>
  <si>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</si>
  <si>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</si>
  <si>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</si>
  <si>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</si>
  <si>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</si>
  <si>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</si>
  <si>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</si>
  <si>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</si>
  <si>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</si>
  <si>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</si>
  <si>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The following were changed to this spreadsheet on 4/10/12</t>
  </si>
  <si>
    <t>1. Corrected addition computation in column D, inputPrYr tab</t>
  </si>
  <si>
    <t>City of Grandview Plaza, Kansas</t>
  </si>
  <si>
    <t>Geary</t>
  </si>
  <si>
    <t>Shirley Bowers</t>
  </si>
  <si>
    <t>Street Lighting</t>
  </si>
  <si>
    <t>Employee Benefits</t>
  </si>
  <si>
    <t>Parks and Recreation</t>
  </si>
  <si>
    <t>Water Utility</t>
  </si>
  <si>
    <t>Sewer Utility</t>
  </si>
  <si>
    <t>Refuse Collection</t>
  </si>
  <si>
    <t>Fire Grant and Donation</t>
  </si>
  <si>
    <t>Drug Seizure Fund</t>
  </si>
  <si>
    <t>Meter Deposits</t>
  </si>
  <si>
    <t>Police Grant and Donation</t>
  </si>
  <si>
    <t>Sewer Revolving Credit Fund</t>
  </si>
  <si>
    <t>Water Tower Maintenance</t>
  </si>
  <si>
    <t>Victory Valley Fund</t>
  </si>
  <si>
    <t>Fines and Fees</t>
  </si>
  <si>
    <t>Youth Activities</t>
  </si>
  <si>
    <t>Other Receipts</t>
  </si>
  <si>
    <t>Transfer from Refuse</t>
  </si>
  <si>
    <t>General and Administrative</t>
  </si>
  <si>
    <t>Fire Department</t>
  </si>
  <si>
    <t>Police Department</t>
  </si>
  <si>
    <t xml:space="preserve">  Dues and Subscriptions</t>
  </si>
  <si>
    <t xml:space="preserve">  Insurance and Bonds</t>
  </si>
  <si>
    <t xml:space="preserve">  Legal Accounting and Admin</t>
  </si>
  <si>
    <t xml:space="preserve">  Other Expenses</t>
  </si>
  <si>
    <t xml:space="preserve">  Office Supplies and Postage</t>
  </si>
  <si>
    <t xml:space="preserve">  Building Maintenance</t>
  </si>
  <si>
    <t xml:space="preserve">  Equipment</t>
  </si>
  <si>
    <t xml:space="preserve">  Telephone </t>
  </si>
  <si>
    <t xml:space="preserve">  Utilities </t>
  </si>
  <si>
    <t xml:space="preserve">  Supplies</t>
  </si>
  <si>
    <t xml:space="preserve">  Vehicle Maintenance</t>
  </si>
  <si>
    <t xml:space="preserve">  Miscellaneous </t>
  </si>
  <si>
    <t xml:space="preserve">  Supplies and Other</t>
  </si>
  <si>
    <t xml:space="preserve">  Fire Truck Payment 2006</t>
  </si>
  <si>
    <t xml:space="preserve">  Fire Truck Payment 2009</t>
  </si>
  <si>
    <t xml:space="preserve">  Gas, Oil and Truck Expense</t>
  </si>
  <si>
    <t xml:space="preserve">  Radio Contract</t>
  </si>
  <si>
    <t xml:space="preserve">  Training, Supplies and Uniforms</t>
  </si>
  <si>
    <t xml:space="preserve">  Legal and Accounting</t>
  </si>
  <si>
    <t xml:space="preserve">  Judicial and Legal</t>
  </si>
  <si>
    <t xml:space="preserve">  Confinement / Detention</t>
  </si>
  <si>
    <t xml:space="preserve">  Repairs and Maintenance</t>
  </si>
  <si>
    <t xml:space="preserve">  Other Supplies</t>
  </si>
  <si>
    <t xml:space="preserve">  Insurance </t>
  </si>
  <si>
    <t xml:space="preserve">  Transfer to Parks and Rec.</t>
  </si>
  <si>
    <t xml:space="preserve">  Court</t>
  </si>
  <si>
    <t xml:space="preserve">  Sundown Salute</t>
  </si>
  <si>
    <t xml:space="preserve">  Community Building</t>
  </si>
  <si>
    <t>Redemption Tax</t>
  </si>
  <si>
    <t>Utilities</t>
  </si>
  <si>
    <t>Street Maintenance</t>
  </si>
  <si>
    <t>Motor Fuel Tax</t>
  </si>
  <si>
    <t>Sales Tax for Streets</t>
  </si>
  <si>
    <t xml:space="preserve">  Insurance</t>
  </si>
  <si>
    <t xml:space="preserve">  Maintenance and Street Repair</t>
  </si>
  <si>
    <t xml:space="preserve">  Work Apparel</t>
  </si>
  <si>
    <t xml:space="preserve">  Anchor Street Payment</t>
  </si>
  <si>
    <t>Liquor Tax</t>
  </si>
  <si>
    <t>Salaries and Other</t>
  </si>
  <si>
    <t>Repairs and Maintenance</t>
  </si>
  <si>
    <t>Employee Deductions</t>
  </si>
  <si>
    <t>Water and Sewer Reimbursement</t>
  </si>
  <si>
    <t xml:space="preserve">  Social Security Remittances</t>
  </si>
  <si>
    <t xml:space="preserve">  KPERS Remittances</t>
  </si>
  <si>
    <t xml:space="preserve">  Unemployment </t>
  </si>
  <si>
    <t xml:space="preserve">  Workers Compensation Ins.</t>
  </si>
  <si>
    <t>Donations</t>
  </si>
  <si>
    <t>Equipment and Other</t>
  </si>
  <si>
    <t>Collections</t>
  </si>
  <si>
    <t>Expenditures</t>
  </si>
  <si>
    <t>Deposits Collected</t>
  </si>
  <si>
    <t>Deposits Remitted</t>
  </si>
  <si>
    <t>Transfer from Sewer</t>
  </si>
  <si>
    <t xml:space="preserve">       Utility</t>
  </si>
  <si>
    <t>Sewer Loan Payments</t>
  </si>
  <si>
    <t>Victory Valley, Series 2008</t>
  </si>
  <si>
    <t>3.75-4.75</t>
  </si>
  <si>
    <t>2/1, 8/1</t>
  </si>
  <si>
    <t>KDHE Sewer Lagoon Loan</t>
  </si>
  <si>
    <t>KDOT Anchor Street</t>
  </si>
  <si>
    <t>3/1, 9/1</t>
  </si>
  <si>
    <t>Water &amp; Sewer Line</t>
  </si>
  <si>
    <t>2006 Fire Truck</t>
  </si>
  <si>
    <t>Skid Steer Bucket</t>
  </si>
  <si>
    <t>Broom and Plow</t>
  </si>
  <si>
    <t>2009 Fire Truck</t>
  </si>
  <si>
    <t>2008 Tahoe</t>
  </si>
  <si>
    <t>Watchguard Video Cameras</t>
  </si>
  <si>
    <t>2010 Chevy Silverado</t>
  </si>
  <si>
    <t>2008 Dodge Charger</t>
  </si>
  <si>
    <t>Special Assessments</t>
  </si>
  <si>
    <t>Principal Payments</t>
  </si>
  <si>
    <t>Interest Payments</t>
  </si>
  <si>
    <t xml:space="preserve">  Vehicle Expenses</t>
  </si>
  <si>
    <t xml:space="preserve">  Employee Benefits</t>
  </si>
  <si>
    <t xml:space="preserve">  Miscellaneous Revenues</t>
  </si>
  <si>
    <t xml:space="preserve">  Sales to Customers</t>
  </si>
  <si>
    <t xml:space="preserve">  Water Purchase</t>
  </si>
  <si>
    <t xml:space="preserve">  Office Expense</t>
  </si>
  <si>
    <t xml:space="preserve">  Plant Supplies and Expenses</t>
  </si>
  <si>
    <t xml:space="preserve">  Utilities and Telephone</t>
  </si>
  <si>
    <t xml:space="preserve">  Sales Tax</t>
  </si>
  <si>
    <t xml:space="preserve">  Employee Benefit Fund Reimbursement</t>
  </si>
  <si>
    <t xml:space="preserve">  Miscellaneous</t>
  </si>
  <si>
    <t xml:space="preserve">  Equipment &amp; Other</t>
  </si>
  <si>
    <t xml:space="preserve">  User Fees</t>
  </si>
  <si>
    <t xml:space="preserve">  Sewer Surcharge and Tax</t>
  </si>
  <si>
    <t xml:space="preserve">  Interest and Other</t>
  </si>
  <si>
    <t xml:space="preserve">  Construction and Equipment</t>
  </si>
  <si>
    <t xml:space="preserve">  Supplies and Tools</t>
  </si>
  <si>
    <t xml:space="preserve">  Transfer to Sewer Revolving Fund</t>
  </si>
  <si>
    <t xml:space="preserve">  Employee Benefits Reimbursement</t>
  </si>
  <si>
    <t xml:space="preserve">  Collection Fees</t>
  </si>
  <si>
    <t xml:space="preserve">  Cost of Collection</t>
  </si>
  <si>
    <t xml:space="preserve">  Salaries and Other</t>
  </si>
  <si>
    <t xml:space="preserve">  Transfer to General</t>
  </si>
  <si>
    <t>Transfer to Street Maintenance</t>
  </si>
  <si>
    <t xml:space="preserve">  Capital Improvements</t>
  </si>
  <si>
    <t>6:30pm</t>
  </si>
  <si>
    <t>Pottberg Gassman &amp; Hoffman Chtd</t>
  </si>
  <si>
    <t xml:space="preserve">816 N. Washington </t>
  </si>
  <si>
    <t>Junction City, KS 66441</t>
  </si>
  <si>
    <t>hoffman@pgh-cpa.com</t>
  </si>
  <si>
    <t>General Fund</t>
  </si>
  <si>
    <t>12-825d</t>
  </si>
  <si>
    <t xml:space="preserve">Sewer Utility </t>
  </si>
  <si>
    <t>Sewer Revolving Fund</t>
  </si>
  <si>
    <t>Reimbursement from Drug Seizure</t>
  </si>
  <si>
    <t>Reserve</t>
  </si>
  <si>
    <t>8/20/13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</si>
</sst>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43" formatCode="_(* #,##0.00_);_(* \(#,##0.00\);_(* &quot;-&quot;??_);_(@_)"/>
    <numFmt numFmtId="164" formatCode="0.000_)"/>
    <numFmt numFmtId="165" formatCode="0.00000_)"/>
    <numFmt numFmtId="166" formatCode="0_)"/>
    <numFmt numFmtId="171" formatCode="0.00000"/>
    <numFmt numFmtId="174" formatCode="m/d/yy"/>
    <numFmt numFmtId="175" formatCode="m/d"/>
    <numFmt numFmtId="177" formatCode="_(* #,##0_);_(* \(#,##0\);_(* &quot;-&quot;??_);_(@_)"/>
    <numFmt numFmtId="178" formatCode="0.000"/>
    <numFmt numFmtId="181" formatCode="0.000%"/>
    <numFmt numFmtId="182" formatCode="#,##0.000"/>
    <numFmt numFmtId="187" formatCode="[$-409]mmmm\ d\,\ yyyy;@"/>
    <numFmt numFmtId="188" formatCode="[$-409]h:mm\ AM/PM;@"/>
    <numFmt numFmtId="194" formatCode="&quot;$&quot;#,##0"/>
    <numFmt numFmtId="195" formatCode="&quot;$&quot;#,##0.00"/>
    <numFmt numFmtId="196" formatCode="#,###"/>
    <numFmt numFmtId="197" formatCode="0.0%"/>
  </numFmts>
  <fonts count="61">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11"/>
      <name val="Souvenir Lt BT"/>
      <family val="1"/>
    </font>
    <font>
      <u/>
      <sz val="12"/>
      <color indexed="12"/>
      <name val="Courier"/>
      <family val="3"/>
    </font>
    <font>
      <sz val="8"/>
      <name val="Courier"/>
      <family val="3"/>
    </font>
    <font>
      <b/>
      <u/>
      <sz val="12"/>
      <name val="Times New Roman"/>
      <family val="1"/>
    </font>
    <font>
      <sz val="8"/>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10"/>
      <name val="Times New Roman"/>
      <family val="1"/>
    </font>
    <font>
      <b/>
      <sz val="12"/>
      <color indexed="10"/>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sz val="8"/>
      <color indexed="10"/>
      <name val="Times New Roman"/>
      <family val="1"/>
    </font>
    <font>
      <sz val="12"/>
      <name val="Courier New"/>
      <family val="3"/>
    </font>
    <font>
      <b/>
      <sz val="12"/>
      <name val="Courier"/>
      <family val="3"/>
    </font>
    <font>
      <i/>
      <sz val="12"/>
      <name val="Courier"/>
      <family val="3"/>
    </font>
    <font>
      <i/>
      <u/>
      <sz val="12"/>
      <name val="Courier"/>
      <family val="3"/>
    </font>
    <font>
      <sz val="12"/>
      <name val="Courier New"/>
      <family val="3"/>
    </font>
    <font>
      <b/>
      <sz val="12"/>
      <color indexed="10"/>
      <name val="Times New Roman"/>
      <family val="1"/>
    </font>
    <font>
      <sz val="10"/>
      <name val="Times New Roman"/>
      <family val="1"/>
    </font>
    <font>
      <b/>
      <u/>
      <sz val="10"/>
      <name val="Times New Roman"/>
      <family val="1"/>
    </font>
    <font>
      <b/>
      <sz val="10"/>
      <name val="Times New Roman"/>
      <family val="1"/>
    </font>
    <font>
      <sz val="8"/>
      <color indexed="10"/>
      <name val="Times New Roman"/>
      <family val="1"/>
    </font>
    <font>
      <b/>
      <u/>
      <sz val="8"/>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u/>
      <sz val="12"/>
      <color indexed="10"/>
      <name val="Times New Roman"/>
      <family val="1"/>
    </font>
    <font>
      <sz val="10"/>
      <color indexed="10"/>
      <name val="Times New Roman"/>
      <family val="1"/>
    </font>
    <font>
      <sz val="11"/>
      <color theme="1"/>
      <name val="Calibri"/>
      <family val="2"/>
      <scheme val="minor"/>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8">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s>
  <cellStyleXfs count="307">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2" fillId="0" borderId="0"/>
    <xf numFmtId="0" fontId="34" fillId="0" borderId="0"/>
    <xf numFmtId="0" fontId="30" fillId="0" borderId="0"/>
    <xf numFmtId="0" fontId="30" fillId="0" borderId="0"/>
    <xf numFmtId="0" fontId="30" fillId="0" borderId="0"/>
    <xf numFmtId="0" fontId="3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4" fillId="0" borderId="0"/>
    <xf numFmtId="0" fontId="2" fillId="0" borderId="0"/>
    <xf numFmtId="0" fontId="2" fillId="0" borderId="0"/>
    <xf numFmtId="0" fontId="30" fillId="0" borderId="0"/>
    <xf numFmtId="0" fontId="2"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cellStyleXfs>
  <cellXfs count="839">
    <xf numFmtId="0" fontId="0" fillId="0" borderId="0" xfId="0"/>
    <xf numFmtId="0" fontId="4" fillId="0" borderId="0" xfId="0" applyFont="1"/>
    <xf numFmtId="0" fontId="9" fillId="0" borderId="0" xfId="0" applyFont="1" applyAlignment="1">
      <alignment vertical="justify" wrapText="1"/>
    </xf>
    <xf numFmtId="0" fontId="0" fillId="0" borderId="0" xfId="0" applyAlignment="1">
      <alignment vertical="justify" wrapText="1"/>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vertical="justify"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7" fillId="0" borderId="0" xfId="0" applyFont="1" applyFill="1" applyAlignment="1">
      <alignment vertical="center" wrapText="1"/>
    </xf>
    <xf numFmtId="0" fontId="3" fillId="0" borderId="0" xfId="0" applyFont="1" applyAlignment="1">
      <alignment vertical="center" wrapText="1"/>
    </xf>
    <xf numFmtId="0" fontId="4" fillId="2"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4" borderId="0" xfId="0" applyFont="1" applyFill="1" applyAlignment="1">
      <alignment vertical="center" wrapText="1"/>
    </xf>
    <xf numFmtId="0" fontId="4" fillId="5" borderId="0" xfId="0" applyFont="1" applyFill="1" applyAlignment="1">
      <alignment vertical="center"/>
    </xf>
    <xf numFmtId="37" fontId="4"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37" fontId="4" fillId="2" borderId="1" xfId="0" applyNumberFormat="1" applyFont="1" applyFill="1" applyBorder="1" applyAlignment="1" applyProtection="1">
      <alignment horizontal="left" vertical="center"/>
      <protection locked="0"/>
    </xf>
    <xf numFmtId="0" fontId="4" fillId="2" borderId="1" xfId="0" applyFont="1" applyFill="1" applyBorder="1" applyAlignment="1" applyProtection="1">
      <alignment vertical="center"/>
    </xf>
    <xf numFmtId="37" fontId="4" fillId="2" borderId="2" xfId="0" applyNumberFormat="1" applyFont="1" applyFill="1" applyBorder="1" applyAlignment="1" applyProtection="1">
      <alignment horizontal="left" vertical="center"/>
      <protection locked="0"/>
    </xf>
    <xf numFmtId="0" fontId="4" fillId="2" borderId="2" xfId="0"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4" fillId="3" borderId="0" xfId="0" applyNumberFormat="1" applyFont="1" applyFill="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4" fillId="3" borderId="0" xfId="0" applyNumberFormat="1" applyFont="1" applyFill="1" applyAlignment="1" applyProtection="1">
      <alignment horizontal="centerContinuous" vertical="center"/>
    </xf>
    <xf numFmtId="37" fontId="14" fillId="3" borderId="0" xfId="0" applyNumberFormat="1" applyFont="1" applyFill="1" applyAlignment="1" applyProtection="1">
      <alignment horizontal="center" vertical="center"/>
    </xf>
    <xf numFmtId="0" fontId="3" fillId="6" borderId="0" xfId="0" applyFont="1" applyFill="1" applyAlignment="1" applyProtection="1">
      <alignment vertical="center"/>
    </xf>
    <xf numFmtId="0" fontId="4" fillId="6" borderId="0" xfId="0" applyFont="1" applyFill="1" applyAlignment="1" applyProtection="1">
      <alignment vertical="center"/>
    </xf>
    <xf numFmtId="37" fontId="3" fillId="7" borderId="0" xfId="0" applyNumberFormat="1" applyFont="1" applyFill="1" applyAlignment="1" applyProtection="1">
      <alignment horizontal="left" vertical="center"/>
    </xf>
    <xf numFmtId="0" fontId="4" fillId="7" borderId="0" xfId="0" applyFont="1" applyFill="1" applyAlignment="1" applyProtection="1">
      <alignment vertical="center"/>
    </xf>
    <xf numFmtId="0" fontId="5" fillId="3" borderId="0" xfId="0" applyFont="1" applyFill="1" applyAlignment="1" applyProtection="1">
      <alignment horizontal="center" vertical="center"/>
    </xf>
    <xf numFmtId="0" fontId="3" fillId="3" borderId="0" xfId="0" applyFont="1" applyFill="1" applyAlignment="1" applyProtection="1">
      <alignment vertical="center"/>
    </xf>
    <xf numFmtId="0" fontId="5" fillId="6"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xf>
    <xf numFmtId="37" fontId="4" fillId="3" borderId="0" xfId="0" applyNumberFormat="1" applyFont="1" applyFill="1" applyAlignment="1" applyProtection="1">
      <alignment horizontal="center" vertical="center"/>
    </xf>
    <xf numFmtId="0" fontId="4" fillId="6" borderId="5" xfId="0" applyFont="1" applyFill="1" applyBorder="1" applyAlignment="1" applyProtection="1">
      <alignment horizontal="center" vertical="center"/>
      <protection locked="0"/>
    </xf>
    <xf numFmtId="37" fontId="4" fillId="4" borderId="5" xfId="0" applyNumberFormat="1" applyFont="1" applyFill="1" applyBorder="1" applyAlignment="1" applyProtection="1">
      <alignment horizontal="center" vertical="center" wrapText="1"/>
    </xf>
    <xf numFmtId="37" fontId="4" fillId="3" borderId="3"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 fontId="4" fillId="2" borderId="3" xfId="0" applyNumberFormat="1" applyFont="1" applyFill="1" applyBorder="1" applyAlignment="1" applyProtection="1">
      <alignment vertical="center"/>
      <protection locked="0"/>
    </xf>
    <xf numFmtId="3" fontId="4" fillId="8" borderId="3" xfId="0" applyNumberFormat="1" applyFont="1" applyFill="1" applyBorder="1" applyAlignment="1" applyProtection="1">
      <alignment vertical="center"/>
      <protection locked="0"/>
    </xf>
    <xf numFmtId="3" fontId="4" fillId="3" borderId="0" xfId="0" applyNumberFormat="1" applyFont="1" applyFill="1" applyAlignment="1" applyProtection="1">
      <alignment vertical="center"/>
    </xf>
    <xf numFmtId="178" fontId="4" fillId="3" borderId="0" xfId="0" applyNumberFormat="1" applyFont="1" applyFill="1" applyBorder="1" applyAlignment="1" applyProtection="1">
      <alignment vertical="center"/>
    </xf>
    <xf numFmtId="0" fontId="4" fillId="8" borderId="3" xfId="0" applyFont="1" applyFill="1" applyBorder="1" applyAlignment="1" applyProtection="1">
      <alignment vertical="center"/>
      <protection locked="0"/>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3" borderId="2" xfId="0" applyNumberFormat="1" applyFont="1" applyFill="1" applyBorder="1" applyAlignment="1" applyProtection="1">
      <alignment vertical="center"/>
    </xf>
    <xf numFmtId="3" fontId="4" fillId="9" borderId="3" xfId="0" applyNumberFormat="1" applyFont="1" applyFill="1" applyBorder="1" applyAlignment="1" applyProtection="1">
      <alignment vertical="center"/>
    </xf>
    <xf numFmtId="3" fontId="4" fillId="3" borderId="0" xfId="0" applyNumberFormat="1" applyFont="1" applyFill="1" applyBorder="1" applyAlignment="1" applyProtection="1">
      <alignment vertical="center"/>
    </xf>
    <xf numFmtId="164" fontId="4" fillId="3" borderId="3" xfId="0" applyNumberFormat="1" applyFont="1" applyFill="1" applyBorder="1" applyAlignment="1" applyProtection="1">
      <alignmen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37" fontId="4" fillId="6" borderId="0" xfId="0" applyNumberFormat="1" applyFont="1" applyFill="1" applyAlignment="1" applyProtection="1">
      <alignment horizontal="center" vertical="center"/>
    </xf>
    <xf numFmtId="37" fontId="3" fillId="6" borderId="0" xfId="0" applyNumberFormat="1" applyFont="1" applyFill="1" applyAlignment="1" applyProtection="1">
      <alignment horizontal="left" vertical="center"/>
    </xf>
    <xf numFmtId="0" fontId="4" fillId="6" borderId="1" xfId="0" applyFont="1" applyFill="1" applyBorder="1" applyAlignment="1">
      <alignment horizontal="center" vertical="center"/>
    </xf>
    <xf numFmtId="37" fontId="4" fillId="3" borderId="3" xfId="0" applyNumberFormat="1" applyFont="1" applyFill="1" applyBorder="1" applyAlignment="1" applyProtection="1">
      <alignment vertical="center"/>
    </xf>
    <xf numFmtId="0" fontId="4" fillId="3" borderId="5" xfId="0" applyFont="1" applyFill="1" applyBorder="1" applyAlignment="1" applyProtection="1">
      <alignment vertical="center"/>
    </xf>
    <xf numFmtId="178" fontId="4" fillId="8" borderId="3" xfId="0" applyNumberFormat="1" applyFont="1" applyFill="1" applyBorder="1" applyAlignment="1" applyProtection="1">
      <alignment vertical="center"/>
      <protection locked="0"/>
    </xf>
    <xf numFmtId="178" fontId="4" fillId="9" borderId="3" xfId="0" applyNumberFormat="1" applyFont="1" applyFill="1" applyBorder="1" applyAlignment="1" applyProtection="1">
      <alignment vertical="center"/>
    </xf>
    <xf numFmtId="37" fontId="4" fillId="6" borderId="1" xfId="0" applyNumberFormat="1" applyFont="1" applyFill="1" applyBorder="1" applyAlignment="1" applyProtection="1">
      <alignment horizontal="left" vertical="center"/>
    </xf>
    <xf numFmtId="0" fontId="4" fillId="6" borderId="1" xfId="0" applyFont="1" applyFill="1" applyBorder="1" applyAlignment="1" applyProtection="1">
      <alignment vertical="center"/>
    </xf>
    <xf numFmtId="0" fontId="4" fillId="3" borderId="7" xfId="0" applyFont="1" applyFill="1" applyBorder="1" applyAlignment="1" applyProtection="1">
      <alignment vertical="center"/>
    </xf>
    <xf numFmtId="0" fontId="4" fillId="6" borderId="2"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0" xfId="0" applyFont="1" applyFill="1" applyAlignment="1" applyProtection="1">
      <alignment vertical="center"/>
      <protection locked="0"/>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4" fillId="3" borderId="7"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0" fillId="0" borderId="0" xfId="0" applyAlignment="1">
      <alignment vertical="center"/>
    </xf>
    <xf numFmtId="37" fontId="4" fillId="3" borderId="0" xfId="0" applyNumberFormat="1" applyFont="1" applyFill="1" applyAlignment="1">
      <alignment vertical="center"/>
    </xf>
    <xf numFmtId="0" fontId="0" fillId="3" borderId="0" xfId="0" applyFill="1" applyAlignment="1">
      <alignment vertical="center"/>
    </xf>
    <xf numFmtId="0" fontId="4" fillId="3" borderId="0" xfId="0" applyFont="1" applyFill="1" applyAlignment="1">
      <alignment vertical="center"/>
    </xf>
    <xf numFmtId="37" fontId="4" fillId="3" borderId="2" xfId="0" applyNumberFormat="1" applyFont="1" applyFill="1" applyBorder="1" applyAlignment="1" applyProtection="1">
      <alignment horizontal="left" vertical="center"/>
    </xf>
    <xf numFmtId="37" fontId="4" fillId="2" borderId="3" xfId="0" applyNumberFormat="1" applyFont="1" applyFill="1" applyBorder="1" applyAlignment="1" applyProtection="1">
      <alignment vertical="center"/>
      <protection locked="0"/>
    </xf>
    <xf numFmtId="37" fontId="3" fillId="3" borderId="2" xfId="0" applyNumberFormat="1" applyFont="1" applyFill="1" applyBorder="1" applyAlignment="1" applyProtection="1">
      <alignment horizontal="left" vertical="center"/>
    </xf>
    <xf numFmtId="0" fontId="0" fillId="3" borderId="0" xfId="0" applyFill="1" applyAlignment="1" applyProtection="1">
      <alignment vertical="center"/>
    </xf>
    <xf numFmtId="0" fontId="12" fillId="3" borderId="0" xfId="0" applyFont="1" applyFill="1" applyBorder="1" applyAlignment="1" applyProtection="1">
      <alignment horizontal="center" vertical="center"/>
    </xf>
    <xf numFmtId="178" fontId="4" fillId="2" borderId="1" xfId="0" applyNumberFormat="1" applyFont="1" applyFill="1" applyBorder="1" applyAlignment="1" applyProtection="1">
      <alignment vertical="center"/>
      <protection locked="0"/>
    </xf>
    <xf numFmtId="178" fontId="4" fillId="2" borderId="2" xfId="0" applyNumberFormat="1" applyFont="1" applyFill="1" applyBorder="1" applyAlignment="1" applyProtection="1">
      <alignment vertical="center"/>
      <protection locked="0"/>
    </xf>
    <xf numFmtId="0" fontId="4" fillId="3" borderId="9" xfId="0" applyFont="1" applyFill="1" applyBorder="1" applyAlignment="1" applyProtection="1">
      <alignment vertical="center"/>
    </xf>
    <xf numFmtId="178" fontId="4" fillId="2" borderId="9" xfId="0" applyNumberFormat="1" applyFont="1" applyFill="1" applyBorder="1" applyAlignment="1" applyProtection="1">
      <alignment vertical="center"/>
      <protection locked="0"/>
    </xf>
    <xf numFmtId="0" fontId="0" fillId="3" borderId="7" xfId="0" applyFill="1" applyBorder="1" applyAlignment="1" applyProtection="1">
      <alignment vertical="center"/>
    </xf>
    <xf numFmtId="0" fontId="0" fillId="3" borderId="1" xfId="0" applyFill="1" applyBorder="1" applyAlignment="1" applyProtection="1">
      <alignment vertical="center"/>
    </xf>
    <xf numFmtId="3" fontId="4" fillId="6" borderId="0" xfId="0" applyNumberFormat="1" applyFont="1" applyFill="1" applyAlignment="1" applyProtection="1">
      <alignment vertical="center"/>
    </xf>
    <xf numFmtId="3" fontId="4" fillId="3" borderId="7" xfId="0" applyNumberFormat="1" applyFont="1" applyFill="1" applyBorder="1" applyAlignment="1" applyProtection="1">
      <alignment vertical="center"/>
    </xf>
    <xf numFmtId="3" fontId="4" fillId="3" borderId="8" xfId="0" applyNumberFormat="1" applyFont="1" applyFill="1" applyBorder="1" applyAlignment="1" applyProtection="1">
      <alignment vertical="center"/>
    </xf>
    <xf numFmtId="37" fontId="4" fillId="5" borderId="0" xfId="0" applyNumberFormat="1" applyFont="1" applyFill="1" applyBorder="1" applyAlignment="1" applyProtection="1">
      <alignment horizontal="left" vertical="center"/>
    </xf>
    <xf numFmtId="0" fontId="4" fillId="5" borderId="0" xfId="0" applyFont="1" applyFill="1" applyBorder="1" applyAlignment="1" applyProtection="1">
      <alignment vertical="center"/>
    </xf>
    <xf numFmtId="181" fontId="4" fillId="5" borderId="0" xfId="0" applyNumberFormat="1" applyFont="1" applyFill="1" applyBorder="1" applyAlignment="1" applyProtection="1">
      <alignment vertical="center"/>
      <protection locked="0"/>
    </xf>
    <xf numFmtId="0" fontId="3" fillId="6" borderId="0" xfId="0" applyFont="1" applyFill="1" applyAlignment="1">
      <alignment vertical="center"/>
    </xf>
    <xf numFmtId="0" fontId="1" fillId="6" borderId="0" xfId="0" applyFont="1" applyFill="1" applyAlignment="1">
      <alignment vertical="center"/>
    </xf>
    <xf numFmtId="0" fontId="0" fillId="6" borderId="0" xfId="0" applyFill="1" applyAlignment="1" applyProtection="1">
      <alignment vertical="center"/>
      <protection locked="0"/>
    </xf>
    <xf numFmtId="0" fontId="4" fillId="3" borderId="1" xfId="0" applyFont="1" applyFill="1" applyBorder="1" applyAlignment="1">
      <alignment vertical="center"/>
    </xf>
    <xf numFmtId="0" fontId="0" fillId="3" borderId="1" xfId="0" applyFill="1" applyBorder="1" applyAlignment="1">
      <alignment vertical="center"/>
    </xf>
    <xf numFmtId="0" fontId="0" fillId="3" borderId="7" xfId="0" applyFill="1" applyBorder="1" applyAlignment="1">
      <alignment vertical="center"/>
    </xf>
    <xf numFmtId="0" fontId="4" fillId="3" borderId="2" xfId="0" applyFont="1" applyFill="1" applyBorder="1" applyAlignment="1">
      <alignment vertical="center"/>
    </xf>
    <xf numFmtId="0" fontId="0" fillId="3" borderId="2" xfId="0" applyFill="1" applyBorder="1" applyAlignment="1">
      <alignment vertical="center"/>
    </xf>
    <xf numFmtId="0" fontId="0" fillId="3" borderId="8" xfId="0" applyFill="1" applyBorder="1" applyAlignment="1">
      <alignment vertical="center"/>
    </xf>
    <xf numFmtId="0" fontId="0" fillId="5" borderId="0" xfId="0" applyFill="1" applyAlignment="1">
      <alignment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16" fillId="3" borderId="0" xfId="0" applyFont="1" applyFill="1" applyAlignment="1">
      <alignment vertical="center"/>
    </xf>
    <xf numFmtId="0" fontId="19" fillId="3" borderId="0" xfId="0" applyFont="1" applyFill="1" applyAlignment="1">
      <alignment vertical="center"/>
    </xf>
    <xf numFmtId="37" fontId="4" fillId="3" borderId="3"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10" xfId="0" applyNumberFormat="1" applyFont="1" applyFill="1" applyBorder="1" applyAlignment="1" applyProtection="1">
      <alignment horizontal="centerContinuous" vertical="center"/>
    </xf>
    <xf numFmtId="0" fontId="4" fillId="3" borderId="2" xfId="0" applyFont="1" applyFill="1" applyBorder="1" applyAlignment="1" applyProtection="1">
      <alignment horizontal="centerContinuous" vertical="center"/>
    </xf>
    <xf numFmtId="0" fontId="4" fillId="3" borderId="8" xfId="0" applyFont="1" applyFill="1" applyBorder="1" applyAlignment="1" applyProtection="1">
      <alignment horizontal="centerContinuous" vertical="center"/>
    </xf>
    <xf numFmtId="37" fontId="4" fillId="3" borderId="1" xfId="0" applyNumberFormat="1" applyFont="1" applyFill="1" applyBorder="1" applyAlignment="1" applyProtection="1">
      <alignment horizontal="fill" vertical="center"/>
    </xf>
    <xf numFmtId="37" fontId="4" fillId="3" borderId="4" xfId="0" applyNumberFormat="1" applyFont="1" applyFill="1" applyBorder="1" applyAlignment="1" applyProtection="1">
      <alignment horizontal="left" vertical="center"/>
    </xf>
    <xf numFmtId="37" fontId="4" fillId="3" borderId="4"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7" fontId="3" fillId="3" borderId="1" xfId="0" applyNumberFormat="1" applyFont="1" applyFill="1" applyBorder="1" applyAlignment="1" applyProtection="1">
      <alignment horizontal="left" vertical="center"/>
    </xf>
    <xf numFmtId="37" fontId="4" fillId="3" borderId="5" xfId="0" applyNumberFormat="1"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37" fontId="4" fillId="3" borderId="10"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0" fontId="4" fillId="3" borderId="4" xfId="0" applyFont="1" applyFill="1" applyBorder="1" applyAlignment="1" applyProtection="1">
      <alignment vertical="center"/>
    </xf>
    <xf numFmtId="0" fontId="4" fillId="3" borderId="11" xfId="0" applyFont="1" applyFill="1" applyBorder="1" applyAlignment="1" applyProtection="1">
      <alignment vertical="center"/>
    </xf>
    <xf numFmtId="37" fontId="12" fillId="3" borderId="10" xfId="0" applyNumberFormat="1" applyFont="1" applyFill="1" applyBorder="1" applyAlignment="1" applyProtection="1">
      <alignment horizontal="left" vertical="center"/>
    </xf>
    <xf numFmtId="37" fontId="12" fillId="3" borderId="8"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37" fontId="4" fillId="9" borderId="3" xfId="0" applyNumberFormat="1" applyFont="1" applyFill="1" applyBorder="1" applyAlignment="1" applyProtection="1">
      <alignment horizontal="center" vertical="center"/>
    </xf>
    <xf numFmtId="37" fontId="4" fillId="3" borderId="10" xfId="0" applyNumberFormat="1" applyFont="1" applyFill="1" applyBorder="1" applyAlignment="1" applyProtection="1">
      <alignment vertical="center"/>
    </xf>
    <xf numFmtId="37" fontId="4" fillId="3"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0" fontId="8" fillId="3" borderId="0" xfId="0" applyFont="1" applyFill="1" applyBorder="1" applyAlignment="1" applyProtection="1">
      <alignment vertical="center" shrinkToFit="1"/>
    </xf>
    <xf numFmtId="37" fontId="4" fillId="10" borderId="3" xfId="0" applyNumberFormat="1" applyFont="1" applyFill="1" applyBorder="1" applyAlignment="1" applyProtection="1">
      <alignment horizontal="left" vertical="center"/>
    </xf>
    <xf numFmtId="0" fontId="4" fillId="10" borderId="3" xfId="0" applyFont="1" applyFill="1" applyBorder="1" applyAlignment="1" applyProtection="1">
      <alignment vertical="center"/>
    </xf>
    <xf numFmtId="37" fontId="4" fillId="10" borderId="3" xfId="0" applyNumberFormat="1" applyFont="1" applyFill="1" applyBorder="1" applyAlignment="1" applyProtection="1">
      <alignment vertical="center"/>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37" fontId="4" fillId="3" borderId="0" xfId="0" applyNumberFormat="1" applyFont="1" applyFill="1" applyAlignment="1" applyProtection="1">
      <alignment vertical="center"/>
    </xf>
    <xf numFmtId="0" fontId="3" fillId="3" borderId="0" xfId="0" applyFont="1" applyFill="1" applyAlignment="1" applyProtection="1">
      <alignment horizontal="center" vertical="center"/>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horizontal="righ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0" fontId="4" fillId="3" borderId="0" xfId="0" quotePrefix="1" applyFont="1" applyFill="1" applyAlignment="1" applyProtection="1">
      <alignment vertical="center"/>
    </xf>
    <xf numFmtId="3" fontId="4" fillId="3" borderId="9" xfId="0" applyNumberFormat="1" applyFont="1" applyFill="1" applyBorder="1" applyAlignment="1" applyProtection="1">
      <alignment vertical="center"/>
    </xf>
    <xf numFmtId="171"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3" xfId="0" applyNumberFormat="1" applyFont="1" applyFill="1" applyBorder="1" applyAlignment="1" applyProtection="1">
      <alignment vertical="center"/>
    </xf>
    <xf numFmtId="3" fontId="4" fillId="3" borderId="1" xfId="1" applyNumberFormat="1" applyFont="1" applyFill="1" applyBorder="1" applyAlignment="1" applyProtection="1">
      <alignment vertical="center"/>
    </xf>
    <xf numFmtId="0" fontId="6" fillId="0" borderId="0" xfId="0" applyFont="1" applyAlignment="1">
      <alignment vertical="center"/>
    </xf>
    <xf numFmtId="0" fontId="4" fillId="3" borderId="1"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37" fontId="4" fillId="3" borderId="14" xfId="0" applyNumberFormat="1"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1"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165" fontId="4" fillId="9" borderId="1" xfId="0" applyNumberFormat="1" applyFont="1" applyFill="1" applyBorder="1" applyAlignment="1" applyProtection="1">
      <alignment vertical="center"/>
    </xf>
    <xf numFmtId="0" fontId="4" fillId="0" borderId="0" xfId="0" applyFont="1" applyAlignment="1" applyProtection="1">
      <alignment horizontal="center" vertical="center"/>
      <protection locked="0"/>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 fontId="4" fillId="3" borderId="5" xfId="0" applyNumberFormat="1" applyFont="1" applyFill="1" applyBorder="1" applyAlignment="1" applyProtection="1">
      <alignment horizontal="center" vertical="center"/>
    </xf>
    <xf numFmtId="0" fontId="4" fillId="2" borderId="5"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3" borderId="3" xfId="0"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right" vertical="center"/>
    </xf>
    <xf numFmtId="0" fontId="3" fillId="3" borderId="0" xfId="306" applyFont="1" applyFill="1" applyAlignment="1" applyProtection="1">
      <alignment horizontal="centerContinuous" vertical="center"/>
    </xf>
    <xf numFmtId="0" fontId="4" fillId="3" borderId="1" xfId="0" applyFont="1" applyFill="1" applyBorder="1" applyAlignment="1" applyProtection="1">
      <alignment horizontal="fill" vertical="center"/>
    </xf>
    <xf numFmtId="0" fontId="4" fillId="3" borderId="15" xfId="0" applyFont="1" applyFill="1" applyBorder="1" applyAlignment="1" applyProtection="1">
      <alignment horizontal="centerContinuous" vertical="center"/>
    </xf>
    <xf numFmtId="0" fontId="4" fillId="3" borderId="14" xfId="0" applyFont="1" applyFill="1" applyBorder="1" applyAlignment="1" applyProtection="1">
      <alignment horizontal="centerContinuous" vertical="center"/>
    </xf>
    <xf numFmtId="1" fontId="4" fillId="3" borderId="12" xfId="0" applyNumberFormat="1"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2" fontId="4" fillId="3" borderId="3" xfId="0" applyNumberFormat="1" applyFont="1" applyFill="1" applyBorder="1" applyAlignment="1" applyProtection="1">
      <alignment vertical="center"/>
    </xf>
    <xf numFmtId="3" fontId="4" fillId="3" borderId="3" xfId="0" applyNumberFormat="1" applyFont="1" applyFill="1" applyBorder="1" applyAlignment="1" applyProtection="1">
      <alignment vertical="center"/>
    </xf>
    <xf numFmtId="2" fontId="4" fillId="8" borderId="3" xfId="0" applyNumberFormat="1" applyFont="1" applyFill="1" applyBorder="1" applyAlignment="1" applyProtection="1">
      <alignment horizontal="center" vertical="center"/>
      <protection locked="0"/>
    </xf>
    <xf numFmtId="3" fontId="4" fillId="8" borderId="3" xfId="0" applyNumberFormat="1" applyFont="1" applyFill="1" applyBorder="1" applyAlignment="1" applyProtection="1">
      <alignment horizontal="center" vertical="center"/>
      <protection locked="0"/>
    </xf>
    <xf numFmtId="37" fontId="4" fillId="8" borderId="3" xfId="0" applyNumberFormat="1" applyFont="1" applyFill="1" applyBorder="1" applyAlignment="1" applyProtection="1">
      <alignment horizontal="center" vertical="center"/>
      <protection locked="0"/>
    </xf>
    <xf numFmtId="175" fontId="4" fillId="8" borderId="3"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left" vertical="center"/>
    </xf>
    <xf numFmtId="174" fontId="3" fillId="3" borderId="3" xfId="0" applyNumberFormat="1" applyFont="1" applyFill="1" applyBorder="1" applyAlignment="1" applyProtection="1">
      <alignment horizontal="center" vertical="center"/>
    </xf>
    <xf numFmtId="2" fontId="3" fillId="3" borderId="3" xfId="0" applyNumberFormat="1" applyFont="1" applyFill="1" applyBorder="1" applyAlignment="1" applyProtection="1">
      <alignment horizontal="center" vertical="center"/>
    </xf>
    <xf numFmtId="3" fontId="3" fillId="3" borderId="3" xfId="0" applyNumberFormat="1" applyFont="1" applyFill="1" applyBorder="1" applyAlignment="1" applyProtection="1">
      <alignment horizontal="center" vertical="center"/>
    </xf>
    <xf numFmtId="37" fontId="3" fillId="9" borderId="3" xfId="0" applyNumberFormat="1" applyFont="1" applyFill="1" applyBorder="1" applyAlignment="1" applyProtection="1">
      <alignment horizontal="center" vertical="center"/>
    </xf>
    <xf numFmtId="175" fontId="3" fillId="3" borderId="3" xfId="0" applyNumberFormat="1" applyFont="1" applyFill="1" applyBorder="1" applyAlignment="1" applyProtection="1">
      <alignment horizontal="center" vertical="center"/>
    </xf>
    <xf numFmtId="174" fontId="4" fillId="3" borderId="3" xfId="0" applyNumberFormat="1" applyFont="1" applyFill="1" applyBorder="1" applyAlignment="1" applyProtection="1">
      <alignment horizontal="center" vertical="center"/>
    </xf>
    <xf numFmtId="2" fontId="4" fillId="3" borderId="3" xfId="0" applyNumberFormat="1" applyFont="1" applyFill="1" applyBorder="1" applyAlignment="1" applyProtection="1">
      <alignment horizontal="center" vertical="center"/>
    </xf>
    <xf numFmtId="175" fontId="4" fillId="3" borderId="3"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3" fontId="3" fillId="9" borderId="3" xfId="0" applyNumberFormat="1" applyFont="1" applyFill="1" applyBorder="1" applyAlignment="1" applyProtection="1">
      <alignment horizontal="center" vertical="center"/>
    </xf>
    <xf numFmtId="1" fontId="4" fillId="3" borderId="3"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7" fillId="3" borderId="5" xfId="0" applyFont="1" applyFill="1" applyBorder="1" applyAlignment="1" applyProtection="1">
      <alignment horizontal="center" vertical="center"/>
    </xf>
    <xf numFmtId="14" fontId="4" fillId="3" borderId="5" xfId="0" quotePrefix="1" applyNumberFormat="1" applyFont="1" applyFill="1" applyBorder="1" applyAlignment="1" applyProtection="1">
      <alignment horizontal="center" vertical="center"/>
    </xf>
    <xf numFmtId="0" fontId="4" fillId="8" borderId="3" xfId="0" applyFont="1" applyFill="1" applyBorder="1" applyAlignment="1" applyProtection="1">
      <alignment horizontal="center" vertical="center"/>
      <protection locked="0"/>
    </xf>
    <xf numFmtId="1" fontId="4" fillId="8" borderId="3" xfId="0" applyNumberFormat="1" applyFont="1" applyFill="1" applyBorder="1" applyAlignment="1" applyProtection="1">
      <alignment horizontal="center" vertical="center"/>
      <protection locked="0"/>
    </xf>
    <xf numFmtId="0" fontId="3" fillId="3" borderId="0" xfId="0" applyFont="1" applyFill="1" applyAlignment="1" applyProtection="1">
      <alignment horizontal="left" vertical="center"/>
    </xf>
    <xf numFmtId="3" fontId="3" fillId="9" borderId="16" xfId="0" applyNumberFormat="1" applyFont="1" applyFill="1" applyBorder="1" applyAlignment="1" applyProtection="1">
      <alignment horizontal="center" vertical="center"/>
    </xf>
    <xf numFmtId="0" fontId="4" fillId="5" borderId="0" xfId="305" applyFont="1" applyFill="1" applyAlignment="1" applyProtection="1">
      <alignment vertical="center"/>
    </xf>
    <xf numFmtId="0" fontId="4" fillId="5" borderId="0" xfId="0" applyFont="1" applyFill="1" applyAlignment="1" applyProtection="1">
      <alignment vertical="center"/>
    </xf>
    <xf numFmtId="0" fontId="4" fillId="3" borderId="0" xfId="0" applyFont="1" applyFill="1" applyBorder="1" applyAlignment="1" applyProtection="1">
      <alignment horizontal="fill" vertical="center"/>
    </xf>
    <xf numFmtId="0" fontId="4" fillId="3" borderId="5"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3" fontId="4" fillId="8" borderId="10" xfId="0" applyNumberFormat="1" applyFont="1" applyFill="1" applyBorder="1" applyAlignment="1" applyProtection="1">
      <alignment vertical="center"/>
      <protection locked="0"/>
    </xf>
    <xf numFmtId="3" fontId="4" fillId="8" borderId="8" xfId="0" applyNumberFormat="1" applyFont="1" applyFill="1" applyBorder="1" applyAlignment="1" applyProtection="1">
      <alignment vertical="center"/>
      <protection locked="0"/>
    </xf>
    <xf numFmtId="0" fontId="4" fillId="3" borderId="12" xfId="0" applyFont="1" applyFill="1" applyBorder="1" applyAlignment="1" applyProtection="1">
      <alignment horizontal="left" vertical="center"/>
    </xf>
    <xf numFmtId="37" fontId="4" fillId="8" borderId="10" xfId="0" applyNumberFormat="1" applyFont="1" applyFill="1" applyBorder="1" applyAlignment="1" applyProtection="1">
      <alignment vertical="center"/>
      <protection locked="0"/>
    </xf>
    <xf numFmtId="37" fontId="4" fillId="3" borderId="3" xfId="0" applyNumberFormat="1" applyFont="1" applyFill="1" applyBorder="1" applyAlignment="1" applyProtection="1">
      <alignment horizontal="fill" vertical="center"/>
    </xf>
    <xf numFmtId="37" fontId="4" fillId="8" borderId="3" xfId="0" applyNumberFormat="1" applyFont="1" applyFill="1" applyBorder="1" applyAlignment="1" applyProtection="1">
      <alignment vertical="center"/>
      <protection locked="0"/>
    </xf>
    <xf numFmtId="0" fontId="4" fillId="8" borderId="10" xfId="0" applyFont="1" applyFill="1" applyBorder="1" applyAlignment="1" applyProtection="1">
      <alignment horizontal="left" vertical="center"/>
      <protection locked="0"/>
    </xf>
    <xf numFmtId="37" fontId="16" fillId="10" borderId="8"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left" vertical="center"/>
    </xf>
    <xf numFmtId="3" fontId="3" fillId="9" borderId="3" xfId="0" applyNumberFormat="1" applyFont="1" applyFill="1" applyBorder="1" applyAlignment="1" applyProtection="1">
      <alignment vertical="center"/>
    </xf>
    <xf numFmtId="0" fontId="3" fillId="3" borderId="10" xfId="0" applyFont="1" applyFill="1" applyBorder="1" applyAlignment="1" applyProtection="1">
      <alignment horizontal="left" vertical="center"/>
    </xf>
    <xf numFmtId="0" fontId="4" fillId="9" borderId="10" xfId="0" applyFont="1" applyFill="1" applyBorder="1" applyAlignment="1" applyProtection="1">
      <alignment horizontal="left" vertical="center"/>
    </xf>
    <xf numFmtId="0" fontId="4" fillId="9" borderId="10" xfId="0" applyFont="1" applyFill="1" applyBorder="1" applyAlignment="1" applyProtection="1">
      <alignment vertical="center"/>
    </xf>
    <xf numFmtId="37" fontId="4" fillId="0" borderId="0" xfId="0" applyNumberFormat="1" applyFont="1" applyFill="1" applyBorder="1" applyAlignment="1" applyProtection="1">
      <alignment vertical="center"/>
      <protection locked="0"/>
    </xf>
    <xf numFmtId="0" fontId="4" fillId="8" borderId="10" xfId="0" applyFont="1" applyFill="1" applyBorder="1" applyAlignment="1" applyProtection="1">
      <alignment vertical="center"/>
      <protection locked="0"/>
    </xf>
    <xf numFmtId="0" fontId="4" fillId="3" borderId="10" xfId="0" applyFont="1" applyFill="1" applyBorder="1" applyAlignment="1" applyProtection="1">
      <alignment vertical="center"/>
    </xf>
    <xf numFmtId="37" fontId="3" fillId="9" borderId="3" xfId="0" applyNumberFormat="1" applyFont="1" applyFill="1" applyBorder="1" applyAlignment="1" applyProtection="1">
      <alignment vertical="center"/>
    </xf>
    <xf numFmtId="3" fontId="4"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4" fillId="3" borderId="0" xfId="0" applyFont="1" applyFill="1" applyAlignment="1" applyProtection="1">
      <alignment horizontal="center" vertical="center"/>
    </xf>
    <xf numFmtId="0" fontId="4" fillId="3" borderId="0" xfId="0" applyFont="1" applyFill="1" applyAlignment="1">
      <alignment horizontal="right" vertical="center"/>
    </xf>
    <xf numFmtId="0" fontId="4" fillId="3" borderId="0" xfId="0" applyFont="1" applyFill="1" applyAlignment="1" applyProtection="1">
      <alignment horizontal="fill" vertical="center"/>
    </xf>
    <xf numFmtId="1" fontId="4" fillId="3" borderId="4" xfId="0" applyNumberFormat="1" applyFont="1" applyFill="1" applyBorder="1" applyAlignment="1" applyProtection="1">
      <alignment horizontal="center" vertical="center"/>
    </xf>
    <xf numFmtId="0" fontId="4" fillId="2" borderId="3" xfId="0" applyFont="1" applyFill="1" applyBorder="1" applyAlignment="1" applyProtection="1">
      <alignment horizontal="left" vertical="center"/>
      <protection locked="0"/>
    </xf>
    <xf numFmtId="0" fontId="4" fillId="8"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37" fontId="3" fillId="10" borderId="16" xfId="0" applyNumberFormat="1" applyFont="1" applyFill="1" applyBorder="1" applyAlignment="1" applyProtection="1">
      <alignment vertical="center"/>
    </xf>
    <xf numFmtId="0" fontId="16" fillId="3" borderId="0" xfId="0" applyFont="1" applyFill="1" applyAlignment="1" applyProtection="1">
      <alignment vertical="center"/>
    </xf>
    <xf numFmtId="37" fontId="4" fillId="2" borderId="0" xfId="0" applyNumberFormat="1" applyFont="1" applyFill="1" applyAlignment="1" applyProtection="1">
      <alignment horizontal="left" vertical="center"/>
      <protection locked="0"/>
    </xf>
    <xf numFmtId="3" fontId="4" fillId="3" borderId="3" xfId="0" applyNumberFormat="1" applyFont="1" applyFill="1" applyBorder="1" applyAlignment="1" applyProtection="1">
      <alignment horizontal="fill" vertical="center"/>
    </xf>
    <xf numFmtId="3" fontId="16" fillId="10" borderId="8" xfId="0" applyNumberFormat="1" applyFont="1" applyFill="1" applyBorder="1" applyAlignment="1" applyProtection="1">
      <alignment horizontal="center" vertical="center"/>
    </xf>
    <xf numFmtId="3" fontId="4" fillId="10" borderId="3" xfId="0" applyNumberFormat="1" applyFont="1" applyFill="1" applyBorder="1" applyAlignment="1" applyProtection="1">
      <alignment vertical="center"/>
    </xf>
    <xf numFmtId="1" fontId="4" fillId="3" borderId="0" xfId="0" applyNumberFormat="1" applyFont="1" applyFill="1" applyAlignment="1" applyProtection="1">
      <alignment horizontal="right" vertical="center"/>
    </xf>
    <xf numFmtId="37" fontId="4" fillId="3" borderId="0" xfId="0" applyNumberFormat="1" applyFont="1" applyFill="1" applyBorder="1" applyAlignment="1" applyProtection="1">
      <alignment horizontal="fill" vertical="center"/>
    </xf>
    <xf numFmtId="3" fontId="3" fillId="3" borderId="3" xfId="0" applyNumberFormat="1" applyFont="1" applyFill="1" applyBorder="1" applyAlignment="1" applyProtection="1">
      <alignment vertical="center"/>
    </xf>
    <xf numFmtId="3" fontId="4" fillId="10" borderId="16" xfId="0" applyNumberFormat="1" applyFont="1" applyFill="1" applyBorder="1" applyAlignment="1" applyProtection="1">
      <alignment vertical="center"/>
    </xf>
    <xf numFmtId="3" fontId="4" fillId="0" borderId="0" xfId="0" applyNumberFormat="1" applyFont="1" applyAlignment="1" applyProtection="1">
      <alignment horizontal="fill" vertical="center"/>
      <protection locked="0"/>
    </xf>
    <xf numFmtId="0" fontId="4" fillId="2" borderId="10" xfId="0" applyFont="1" applyFill="1" applyBorder="1" applyAlignment="1" applyProtection="1">
      <alignment vertical="center"/>
      <protection locked="0"/>
    </xf>
    <xf numFmtId="3" fontId="4" fillId="3" borderId="1" xfId="0" applyNumberFormat="1" applyFont="1" applyFill="1" applyBorder="1" applyAlignment="1" applyProtection="1">
      <alignment horizontal="fill" vertical="center"/>
    </xf>
    <xf numFmtId="37" fontId="4" fillId="8" borderId="10" xfId="0" applyNumberFormat="1" applyFont="1" applyFill="1" applyBorder="1" applyAlignment="1" applyProtection="1">
      <alignment horizontal="left" vertical="center"/>
      <protection locked="0"/>
    </xf>
    <xf numFmtId="0" fontId="4" fillId="3" borderId="0" xfId="0" applyFont="1" applyFill="1" applyAlignment="1">
      <alignment horizontal="center" vertical="center"/>
    </xf>
    <xf numFmtId="0" fontId="3" fillId="3" borderId="0" xfId="0" applyFont="1" applyFill="1" applyAlignment="1">
      <alignment horizontal="center" vertical="center"/>
    </xf>
    <xf numFmtId="0" fontId="20" fillId="3" borderId="0" xfId="0" applyFont="1" applyFill="1" applyAlignment="1">
      <alignment horizontal="center" vertical="center"/>
    </xf>
    <xf numFmtId="0" fontId="4" fillId="3" borderId="8" xfId="0" applyFont="1" applyFill="1" applyBorder="1" applyAlignment="1">
      <alignment vertical="center"/>
    </xf>
    <xf numFmtId="0" fontId="13" fillId="3" borderId="4" xfId="0" applyFont="1" applyFill="1" applyBorder="1" applyAlignment="1">
      <alignment vertical="center"/>
    </xf>
    <xf numFmtId="0" fontId="13" fillId="3" borderId="8" xfId="0" applyFont="1" applyFill="1" applyBorder="1" applyAlignment="1">
      <alignment horizontal="center" vertical="center"/>
    </xf>
    <xf numFmtId="0" fontId="13" fillId="3" borderId="14" xfId="0" applyFont="1" applyFill="1" applyBorder="1" applyAlignment="1">
      <alignment vertical="center"/>
    </xf>
    <xf numFmtId="0" fontId="13"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13" fillId="3" borderId="12" xfId="0" applyFont="1" applyFill="1" applyBorder="1" applyAlignment="1">
      <alignment vertical="center"/>
    </xf>
    <xf numFmtId="3" fontId="13" fillId="2" borderId="3" xfId="0" applyNumberFormat="1" applyFont="1" applyFill="1" applyBorder="1" applyAlignment="1" applyProtection="1">
      <alignment horizontal="center" vertical="center"/>
      <protection locked="0"/>
    </xf>
    <xf numFmtId="0" fontId="13" fillId="3" borderId="1" xfId="0" applyFont="1" applyFill="1" applyBorder="1" applyAlignment="1">
      <alignment vertical="center"/>
    </xf>
    <xf numFmtId="3" fontId="13" fillId="9" borderId="3" xfId="0" applyNumberFormat="1" applyFont="1" applyFill="1" applyBorder="1" applyAlignment="1">
      <alignment horizontal="center" vertical="center"/>
    </xf>
    <xf numFmtId="0" fontId="13" fillId="3" borderId="0" xfId="0" applyFont="1" applyFill="1" applyAlignment="1">
      <alignment vertical="center"/>
    </xf>
    <xf numFmtId="3" fontId="13" fillId="3" borderId="0" xfId="0" applyNumberFormat="1" applyFont="1" applyFill="1" applyAlignment="1">
      <alignment horizontal="center" vertical="center"/>
    </xf>
    <xf numFmtId="0" fontId="13" fillId="3" borderId="0" xfId="0" applyFont="1" applyFill="1" applyAlignment="1">
      <alignment horizontal="center" vertical="center"/>
    </xf>
    <xf numFmtId="0" fontId="13" fillId="2" borderId="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3" fontId="13" fillId="2" borderId="14"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protection locked="0"/>
    </xf>
    <xf numFmtId="3" fontId="13" fillId="2" borderId="7" xfId="0" applyNumberFormat="1" applyFont="1" applyFill="1" applyBorder="1" applyAlignment="1" applyProtection="1">
      <alignment horizontal="center" vertical="center"/>
      <protection locked="0"/>
    </xf>
    <xf numFmtId="3" fontId="13" fillId="2" borderId="8"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vertical="center"/>
      <protection locked="0"/>
    </xf>
    <xf numFmtId="0" fontId="13" fillId="2" borderId="5" xfId="0" applyFont="1" applyFill="1" applyBorder="1" applyAlignment="1" applyProtection="1">
      <alignment vertical="center"/>
      <protection locked="0"/>
    </xf>
    <xf numFmtId="3" fontId="13" fillId="2" borderId="17" xfId="0" applyNumberFormat="1" applyFont="1" applyFill="1" applyBorder="1" applyAlignment="1" applyProtection="1">
      <alignment horizontal="center" vertical="center"/>
      <protection locked="0"/>
    </xf>
    <xf numFmtId="0" fontId="13" fillId="2" borderId="17" xfId="0" applyFont="1" applyFill="1" applyBorder="1" applyAlignment="1" applyProtection="1">
      <alignment vertical="center"/>
      <protection locked="0"/>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3" fontId="13" fillId="2" borderId="5" xfId="0" applyNumberFormat="1" applyFont="1" applyFill="1" applyBorder="1" applyAlignment="1" applyProtection="1">
      <alignment horizontal="center" vertical="center"/>
      <protection locked="0"/>
    </xf>
    <xf numFmtId="3" fontId="13" fillId="2" borderId="11" xfId="0" applyNumberFormat="1" applyFont="1" applyFill="1" applyBorder="1" applyAlignment="1" applyProtection="1">
      <alignment horizontal="center" vertical="center"/>
      <protection locked="0"/>
    </xf>
    <xf numFmtId="3" fontId="18" fillId="10" borderId="3" xfId="0" applyNumberFormat="1" applyFont="1" applyFill="1" applyBorder="1" applyAlignment="1">
      <alignment horizontal="center" vertical="center"/>
    </xf>
    <xf numFmtId="0" fontId="16" fillId="0" borderId="0" xfId="0" applyFont="1" applyAlignment="1">
      <alignment vertical="center"/>
    </xf>
    <xf numFmtId="3" fontId="4" fillId="3"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 borderId="10" xfId="0" applyNumberFormat="1" applyFont="1" applyFill="1" applyBorder="1" applyAlignment="1" applyProtection="1">
      <alignment horizontal="centerContinuous" vertical="center"/>
    </xf>
    <xf numFmtId="37" fontId="4" fillId="3" borderId="5"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1" xfId="0"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3" fontId="4" fillId="2" borderId="3" xfId="0" applyNumberFormat="1" applyFont="1" applyFill="1" applyBorder="1" applyAlignment="1" applyProtection="1">
      <alignment horizontal="center" vertical="center"/>
      <protection locked="0"/>
    </xf>
    <xf numFmtId="182" fontId="4" fillId="3" borderId="3" xfId="0" applyNumberFormat="1" applyFont="1" applyFill="1" applyBorder="1" applyAlignment="1" applyProtection="1">
      <alignment horizontal="center" vertical="center"/>
    </xf>
    <xf numFmtId="3" fontId="4" fillId="2" borderId="4" xfId="0" applyNumberFormat="1" applyFont="1" applyFill="1" applyBorder="1" applyAlignment="1" applyProtection="1">
      <alignment horizontal="center" vertical="center"/>
      <protection locked="0"/>
    </xf>
    <xf numFmtId="3" fontId="4" fillId="3" borderId="16" xfId="0" applyNumberFormat="1" applyFont="1" applyFill="1" applyBorder="1" applyAlignment="1" applyProtection="1">
      <alignment horizontal="center" vertical="center"/>
    </xf>
    <xf numFmtId="182" fontId="4" fillId="3" borderId="16" xfId="0" applyNumberFormat="1" applyFont="1" applyFill="1" applyBorder="1" applyAlignment="1" applyProtection="1">
      <alignment horizontal="center" vertical="center"/>
    </xf>
    <xf numFmtId="182" fontId="4" fillId="3" borderId="1" xfId="0" applyNumberFormat="1" applyFont="1" applyFill="1" applyBorder="1" applyAlignment="1" applyProtection="1">
      <alignment horizontal="center" vertical="center"/>
    </xf>
    <xf numFmtId="182"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horizontal="center" vertical="center"/>
    </xf>
    <xf numFmtId="0" fontId="4" fillId="3" borderId="1" xfId="0" applyFont="1" applyFill="1" applyBorder="1" applyAlignment="1">
      <alignment horizontal="center" vertical="center"/>
    </xf>
    <xf numFmtId="0" fontId="5" fillId="0" borderId="0" xfId="0" applyFont="1" applyAlignment="1">
      <alignment vertical="center"/>
    </xf>
    <xf numFmtId="0" fontId="0" fillId="0" borderId="0" xfId="0" applyNumberFormat="1" applyFont="1" applyFill="1" applyBorder="1" applyAlignment="1" applyProtection="1">
      <alignment vertical="center"/>
    </xf>
    <xf numFmtId="3" fontId="29" fillId="1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4" fillId="0" borderId="0" xfId="116" applyFont="1" applyAlignment="1">
      <alignment vertical="center" wrapText="1"/>
    </xf>
    <xf numFmtId="0" fontId="4" fillId="0" borderId="0" xfId="9" applyFont="1" applyAlignment="1">
      <alignment vertical="center"/>
    </xf>
    <xf numFmtId="0" fontId="4" fillId="0" borderId="0" xfId="9" applyFont="1" applyAlignment="1">
      <alignment vertical="center" wrapText="1"/>
    </xf>
    <xf numFmtId="0" fontId="4" fillId="0" borderId="0" xfId="296" applyFont="1" applyAlignment="1">
      <alignment vertical="center"/>
    </xf>
    <xf numFmtId="0" fontId="4" fillId="2" borderId="1"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15" fillId="0" borderId="0" xfId="0" applyFont="1" applyAlignment="1">
      <alignment horizontal="center"/>
    </xf>
    <xf numFmtId="0" fontId="2" fillId="0" borderId="0" xfId="0" applyFont="1"/>
    <xf numFmtId="0" fontId="31" fillId="0" borderId="0" xfId="0" applyFont="1"/>
    <xf numFmtId="0" fontId="31" fillId="0" borderId="0" xfId="0" applyFont="1" applyAlignment="1"/>
    <xf numFmtId="0" fontId="2" fillId="0" borderId="0" xfId="0" quotePrefix="1" applyFont="1"/>
    <xf numFmtId="0" fontId="2" fillId="0" borderId="0" xfId="117" applyFont="1"/>
    <xf numFmtId="0" fontId="2" fillId="0" borderId="0" xfId="117" applyFont="1" applyFill="1"/>
    <xf numFmtId="0" fontId="2" fillId="0" borderId="0" xfId="0" applyFont="1" applyAlignment="1"/>
    <xf numFmtId="0" fontId="0" fillId="0" borderId="0" xfId="0" applyAlignment="1"/>
    <xf numFmtId="0" fontId="31" fillId="0" borderId="0" xfId="0" applyFont="1" applyAlignment="1">
      <alignment horizontal="center"/>
    </xf>
    <xf numFmtId="0" fontId="4" fillId="0" borderId="0" xfId="51" applyFont="1" applyAlignment="1">
      <alignment vertical="center"/>
    </xf>
    <xf numFmtId="0" fontId="4" fillId="0" borderId="0" xfId="62" applyFont="1" applyAlignment="1">
      <alignment vertical="center" wrapText="1"/>
    </xf>
    <xf numFmtId="0" fontId="5" fillId="0" borderId="0" xfId="55" applyFont="1" applyAlignment="1">
      <alignment vertical="center"/>
    </xf>
    <xf numFmtId="0" fontId="4" fillId="3" borderId="0" xfId="0" applyFont="1" applyFill="1"/>
    <xf numFmtId="0" fontId="49"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37" fontId="16" fillId="10" borderId="10" xfId="0" applyNumberFormat="1" applyFont="1" applyFill="1" applyBorder="1" applyAlignment="1" applyProtection="1">
      <alignment horizontal="center" vertical="center"/>
    </xf>
    <xf numFmtId="14" fontId="4" fillId="8" borderId="3"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vertical="center"/>
    </xf>
    <xf numFmtId="0" fontId="4" fillId="3" borderId="12" xfId="0" applyNumberFormat="1" applyFont="1" applyFill="1" applyBorder="1" applyAlignment="1" applyProtection="1">
      <alignment horizontal="center" vertical="center"/>
    </xf>
    <xf numFmtId="3" fontId="16" fillId="10" borderId="10" xfId="0" applyNumberFormat="1" applyFont="1" applyFill="1" applyBorder="1" applyAlignment="1" applyProtection="1">
      <alignment horizontal="center" vertical="center"/>
    </xf>
    <xf numFmtId="3" fontId="3" fillId="3" borderId="10" xfId="0" applyNumberFormat="1" applyFont="1" applyFill="1" applyBorder="1" applyAlignment="1" applyProtection="1">
      <alignment vertical="center"/>
    </xf>
    <xf numFmtId="3" fontId="4" fillId="11" borderId="16" xfId="0" applyNumberFormat="1" applyFont="1" applyFill="1" applyBorder="1" applyAlignment="1" applyProtection="1">
      <alignment vertical="center"/>
    </xf>
    <xf numFmtId="37" fontId="16" fillId="10" borderId="3" xfId="0" applyNumberFormat="1" applyFont="1" applyFill="1" applyBorder="1" applyAlignment="1" applyProtection="1">
      <alignment horizontal="center" vertical="center"/>
    </xf>
    <xf numFmtId="37" fontId="4" fillId="0" borderId="0" xfId="0" applyNumberFormat="1" applyFont="1" applyFill="1" applyAlignment="1" applyProtection="1">
      <alignment horizontal="right" vertical="center"/>
    </xf>
    <xf numFmtId="0" fontId="4" fillId="3" borderId="0" xfId="23" applyFont="1" applyFill="1" applyAlignment="1" applyProtection="1">
      <alignment horizontal="right" vertical="center"/>
    </xf>
    <xf numFmtId="0" fontId="4" fillId="3" borderId="0" xfId="7" applyNumberFormat="1" applyFont="1" applyFill="1" applyBorder="1" applyAlignment="1" applyProtection="1">
      <alignment horizontal="right" vertical="center"/>
    </xf>
    <xf numFmtId="37" fontId="4" fillId="3" borderId="0" xfId="0" quotePrefix="1" applyNumberFormat="1" applyFont="1" applyFill="1" applyAlignment="1" applyProtection="1">
      <alignment horizontal="right" vertical="center"/>
    </xf>
    <xf numFmtId="37" fontId="4" fillId="3" borderId="0" xfId="0" applyNumberFormat="1" applyFont="1" applyFill="1" applyAlignment="1" applyProtection="1">
      <alignment horizontal="fill" vertical="center"/>
    </xf>
    <xf numFmtId="3" fontId="16" fillId="11" borderId="8" xfId="0" applyNumberFormat="1" applyFont="1" applyFill="1" applyBorder="1" applyAlignment="1" applyProtection="1">
      <alignment horizontal="center" vertical="center"/>
    </xf>
    <xf numFmtId="0" fontId="4" fillId="3" borderId="10" xfId="0" applyFont="1" applyFill="1" applyBorder="1" applyAlignment="1" applyProtection="1">
      <alignment vertical="center"/>
      <protection locked="0"/>
    </xf>
    <xf numFmtId="3" fontId="16" fillId="11" borderId="10" xfId="0" applyNumberFormat="1" applyFont="1" applyFill="1" applyBorder="1" applyAlignment="1" applyProtection="1">
      <alignment horizontal="center" vertical="center"/>
    </xf>
    <xf numFmtId="37" fontId="4" fillId="2" borderId="10" xfId="0" applyNumberFormat="1" applyFont="1" applyFill="1" applyBorder="1" applyAlignment="1" applyProtection="1">
      <alignment horizontal="right" vertical="center"/>
      <protection locked="0"/>
    </xf>
    <xf numFmtId="3" fontId="3" fillId="9" borderId="10" xfId="0" applyNumberFormat="1" applyFont="1" applyFill="1" applyBorder="1" applyAlignment="1" applyProtection="1">
      <alignment vertical="center"/>
    </xf>
    <xf numFmtId="3" fontId="4" fillId="9" borderId="10" xfId="0" applyNumberFormat="1" applyFont="1" applyFill="1" applyBorder="1" applyAlignment="1" applyProtection="1">
      <alignment vertical="center"/>
    </xf>
    <xf numFmtId="37" fontId="3" fillId="3" borderId="1"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3" fontId="16" fillId="10" borderId="3" xfId="0" applyNumberFormat="1" applyFont="1" applyFill="1" applyBorder="1" applyAlignment="1" applyProtection="1">
      <alignment horizontal="center" vertical="center"/>
    </xf>
    <xf numFmtId="3" fontId="16" fillId="11" borderId="3" xfId="0" applyNumberFormat="1" applyFont="1" applyFill="1" applyBorder="1" applyAlignment="1" applyProtection="1">
      <alignment horizontal="center" vertical="center"/>
    </xf>
    <xf numFmtId="0" fontId="50" fillId="3" borderId="0" xfId="0" applyFont="1" applyFill="1" applyAlignment="1" applyProtection="1">
      <alignment horizontal="center" vertical="center"/>
    </xf>
    <xf numFmtId="0" fontId="50" fillId="0" borderId="0" xfId="0" applyFont="1" applyAlignment="1" applyProtection="1">
      <alignment vertical="center"/>
      <protection locked="0"/>
    </xf>
    <xf numFmtId="37" fontId="3" fillId="3" borderId="12" xfId="0" applyNumberFormat="1" applyFont="1" applyFill="1" applyBorder="1" applyAlignment="1" applyProtection="1">
      <alignment horizontal="left" vertical="center"/>
    </xf>
    <xf numFmtId="0" fontId="8" fillId="12" borderId="0" xfId="0" applyFont="1" applyFill="1" applyAlignment="1" applyProtection="1">
      <alignment vertical="center" shrinkToFit="1"/>
    </xf>
    <xf numFmtId="0" fontId="0" fillId="12" borderId="0" xfId="0" applyFill="1" applyBorder="1" applyAlignment="1" applyProtection="1">
      <alignment vertical="center"/>
    </xf>
    <xf numFmtId="0" fontId="16" fillId="12" borderId="0" xfId="0" applyFont="1" applyFill="1" applyBorder="1" applyAlignment="1" applyProtection="1">
      <alignment horizontal="center" vertical="center"/>
    </xf>
    <xf numFmtId="37" fontId="4" fillId="12" borderId="0" xfId="0" applyNumberFormat="1" applyFont="1" applyFill="1" applyBorder="1" applyAlignment="1" applyProtection="1">
      <alignment horizontal="left" vertical="center"/>
    </xf>
    <xf numFmtId="0" fontId="4" fillId="12" borderId="0" xfId="0" applyFont="1" applyFill="1" applyBorder="1" applyAlignment="1" applyProtection="1">
      <alignment vertical="center"/>
    </xf>
    <xf numFmtId="37" fontId="4" fillId="12" borderId="0" xfId="0" applyNumberFormat="1" applyFont="1" applyFill="1" applyBorder="1" applyAlignment="1" applyProtection="1">
      <alignment vertical="center"/>
    </xf>
    <xf numFmtId="3" fontId="4" fillId="13" borderId="3" xfId="0" applyNumberFormat="1" applyFont="1" applyFill="1" applyBorder="1" applyAlignment="1" applyProtection="1">
      <alignment vertical="center"/>
    </xf>
    <xf numFmtId="3" fontId="4" fillId="13" borderId="16" xfId="0" applyNumberFormat="1" applyFont="1" applyFill="1" applyBorder="1" applyAlignment="1" applyProtection="1">
      <alignment vertical="center"/>
    </xf>
    <xf numFmtId="177" fontId="4" fillId="2" borderId="3" xfId="1" applyNumberFormat="1" applyFont="1" applyFill="1" applyBorder="1" applyAlignment="1" applyProtection="1">
      <alignment vertical="center"/>
      <protection locked="0"/>
    </xf>
    <xf numFmtId="3" fontId="13" fillId="9" borderId="5" xfId="0" applyNumberFormat="1" applyFont="1" applyFill="1" applyBorder="1" applyAlignment="1">
      <alignment horizontal="center" vertical="center"/>
    </xf>
    <xf numFmtId="164" fontId="4" fillId="13" borderId="3" xfId="0" applyNumberFormat="1" applyFont="1" applyFill="1" applyBorder="1" applyAlignment="1" applyProtection="1">
      <alignment vertical="center"/>
    </xf>
    <xf numFmtId="49" fontId="4" fillId="2" borderId="3" xfId="0" applyNumberFormat="1" applyFont="1" applyFill="1" applyBorder="1" applyAlignment="1" applyProtection="1">
      <alignment vertical="center"/>
      <protection locked="0"/>
    </xf>
    <xf numFmtId="49" fontId="4" fillId="8" borderId="3" xfId="0" applyNumberFormat="1" applyFont="1" applyFill="1" applyBorder="1" applyAlignment="1" applyProtection="1">
      <alignment vertical="center"/>
      <protection locked="0"/>
    </xf>
    <xf numFmtId="0" fontId="39" fillId="0" borderId="0" xfId="0" applyFont="1" applyAlignment="1" applyProtection="1">
      <alignment vertical="center"/>
    </xf>
    <xf numFmtId="0" fontId="0" fillId="12" borderId="0" xfId="0" applyFill="1" applyAlignment="1" applyProtection="1">
      <alignment vertical="center"/>
      <protection locked="0"/>
    </xf>
    <xf numFmtId="0" fontId="4" fillId="0" borderId="0" xfId="19" applyFont="1"/>
    <xf numFmtId="37" fontId="4" fillId="3" borderId="4" xfId="19" applyNumberFormat="1" applyFont="1" applyFill="1" applyBorder="1" applyAlignment="1" applyProtection="1">
      <alignment horizontal="center"/>
    </xf>
    <xf numFmtId="37" fontId="4" fillId="3" borderId="5" xfId="19" applyNumberFormat="1" applyFont="1" applyFill="1" applyBorder="1" applyAlignment="1" applyProtection="1">
      <alignment horizontal="center"/>
    </xf>
    <xf numFmtId="0" fontId="4" fillId="12" borderId="0" xfId="19" applyFont="1" applyFill="1" applyBorder="1" applyAlignment="1" applyProtection="1">
      <alignment vertical="center"/>
      <protection locked="0"/>
    </xf>
    <xf numFmtId="0" fontId="36" fillId="12" borderId="0" xfId="19" applyFont="1" applyFill="1" applyBorder="1" applyAlignment="1" applyProtection="1">
      <alignment vertical="center"/>
      <protection locked="0"/>
    </xf>
    <xf numFmtId="194" fontId="36" fillId="14" borderId="3" xfId="19" applyNumberFormat="1" applyFont="1" applyFill="1" applyBorder="1" applyAlignment="1" applyProtection="1">
      <alignment horizontal="center" vertical="center"/>
      <protection locked="0"/>
    </xf>
    <xf numFmtId="0" fontId="4" fillId="12" borderId="17" xfId="19" applyFont="1" applyFill="1" applyBorder="1" applyAlignment="1" applyProtection="1">
      <alignment vertical="center"/>
    </xf>
    <xf numFmtId="194" fontId="36" fillId="12" borderId="6" xfId="19" applyNumberFormat="1" applyFont="1" applyFill="1" applyBorder="1" applyAlignment="1" applyProtection="1">
      <alignment horizontal="center" vertical="center"/>
    </xf>
    <xf numFmtId="0" fontId="36" fillId="12" borderId="0" xfId="19" applyFont="1" applyFill="1" applyBorder="1" applyAlignment="1" applyProtection="1">
      <alignment horizontal="left" vertical="center"/>
    </xf>
    <xf numFmtId="0" fontId="36" fillId="12" borderId="17" xfId="19" applyFont="1" applyFill="1" applyBorder="1" applyAlignment="1" applyProtection="1">
      <alignment vertical="center"/>
    </xf>
    <xf numFmtId="0" fontId="36" fillId="12" borderId="0" xfId="19" applyFont="1" applyFill="1" applyBorder="1" applyAlignment="1" applyProtection="1">
      <alignment vertical="center"/>
    </xf>
    <xf numFmtId="194" fontId="36" fillId="12" borderId="12" xfId="19" applyNumberFormat="1" applyFont="1" applyFill="1" applyBorder="1" applyAlignment="1" applyProtection="1">
      <alignment horizontal="center" vertical="center"/>
    </xf>
    <xf numFmtId="194" fontId="36" fillId="12" borderId="6" xfId="19" applyNumberFormat="1" applyFont="1" applyFill="1" applyBorder="1" applyAlignment="1" applyProtection="1">
      <alignment vertical="center"/>
    </xf>
    <xf numFmtId="0" fontId="38" fillId="15" borderId="1" xfId="19" applyFont="1" applyFill="1" applyBorder="1" applyAlignment="1" applyProtection="1">
      <alignment vertical="center"/>
    </xf>
    <xf numFmtId="0" fontId="36" fillId="15" borderId="7" xfId="19" applyFont="1" applyFill="1" applyBorder="1" applyAlignment="1" applyProtection="1">
      <alignment vertical="center"/>
    </xf>
    <xf numFmtId="0" fontId="4" fillId="15" borderId="7" xfId="19" applyFont="1" applyFill="1" applyBorder="1" applyAlignment="1" applyProtection="1">
      <alignment vertical="center"/>
    </xf>
    <xf numFmtId="0" fontId="36" fillId="12" borderId="6" xfId="19" applyFont="1" applyFill="1" applyBorder="1" applyAlignment="1" applyProtection="1">
      <alignment horizontal="left" vertical="center"/>
    </xf>
    <xf numFmtId="194" fontId="38" fillId="15" borderId="12" xfId="19" applyNumberFormat="1" applyFont="1" applyFill="1" applyBorder="1" applyAlignment="1" applyProtection="1">
      <alignment horizontal="center" vertical="center"/>
    </xf>
    <xf numFmtId="178" fontId="4" fillId="13" borderId="3" xfId="0" applyNumberFormat="1" applyFont="1" applyFill="1" applyBorder="1" applyAlignment="1" applyProtection="1">
      <alignment vertical="center"/>
    </xf>
    <xf numFmtId="0" fontId="5" fillId="0" borderId="0" xfId="56" applyFont="1" applyAlignment="1">
      <alignment vertical="center"/>
    </xf>
    <xf numFmtId="0" fontId="4" fillId="0" borderId="0" xfId="23" applyFont="1" applyAlignment="1">
      <alignment vertical="center" wrapText="1"/>
    </xf>
    <xf numFmtId="0" fontId="4" fillId="0" borderId="0" xfId="23" applyFont="1" applyAlignment="1">
      <alignment vertical="center"/>
    </xf>
    <xf numFmtId="37" fontId="14" fillId="3" borderId="3" xfId="0" applyNumberFormat="1" applyFont="1" applyFill="1" applyBorder="1" applyAlignment="1" applyProtection="1">
      <alignment horizontal="center" vertical="center"/>
    </xf>
    <xf numFmtId="3" fontId="4" fillId="10" borderId="10" xfId="0" applyNumberFormat="1" applyFont="1" applyFill="1" applyBorder="1" applyAlignment="1" applyProtection="1">
      <alignment vertical="center"/>
    </xf>
    <xf numFmtId="3" fontId="4" fillId="3" borderId="5"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94" fontId="13" fillId="15" borderId="12" xfId="19" applyNumberFormat="1" applyFont="1" applyFill="1" applyBorder="1" applyAlignment="1" applyProtection="1">
      <alignment horizontal="center" vertical="center"/>
    </xf>
    <xf numFmtId="0" fontId="13" fillId="15" borderId="1" xfId="19" applyFont="1" applyFill="1" applyBorder="1" applyAlignment="1" applyProtection="1">
      <alignment vertical="center"/>
    </xf>
    <xf numFmtId="0" fontId="42" fillId="16" borderId="0" xfId="0" applyFont="1" applyFill="1"/>
    <xf numFmtId="0" fontId="42" fillId="12" borderId="0" xfId="0" applyFont="1" applyFill="1"/>
    <xf numFmtId="0" fontId="51" fillId="16" borderId="0" xfId="0" applyFont="1" applyFill="1" applyAlignment="1">
      <alignment horizontal="center" wrapText="1"/>
    </xf>
    <xf numFmtId="0" fontId="51" fillId="12" borderId="0" xfId="0" applyFont="1" applyFill="1"/>
    <xf numFmtId="0" fontId="42" fillId="12" borderId="0" xfId="0" applyFont="1" applyFill="1" applyAlignment="1">
      <alignment horizontal="center"/>
    </xf>
    <xf numFmtId="0" fontId="51" fillId="12" borderId="18" xfId="0" applyFont="1" applyFill="1" applyBorder="1"/>
    <xf numFmtId="0" fontId="42" fillId="12" borderId="19" xfId="0" applyFont="1" applyFill="1" applyBorder="1"/>
    <xf numFmtId="0" fontId="42" fillId="12" borderId="20" xfId="0" applyFont="1" applyFill="1" applyBorder="1"/>
    <xf numFmtId="194" fontId="42" fillId="12" borderId="21" xfId="0" applyNumberFormat="1" applyFont="1" applyFill="1" applyBorder="1"/>
    <xf numFmtId="0" fontId="42" fillId="12" borderId="0" xfId="0" applyFont="1" applyFill="1" applyBorder="1"/>
    <xf numFmtId="194" fontId="42" fillId="12" borderId="1" xfId="0" applyNumberFormat="1" applyFont="1" applyFill="1" applyBorder="1" applyAlignment="1">
      <alignment horizontal="center"/>
    </xf>
    <xf numFmtId="0" fontId="42" fillId="12" borderId="22" xfId="0" applyFont="1" applyFill="1" applyBorder="1"/>
    <xf numFmtId="0" fontId="42" fillId="12" borderId="23" xfId="0" applyFont="1" applyFill="1" applyBorder="1"/>
    <xf numFmtId="0" fontId="42" fillId="12" borderId="24" xfId="0" applyFont="1" applyFill="1" applyBorder="1"/>
    <xf numFmtId="0" fontId="42" fillId="12" borderId="25" xfId="0" applyFont="1" applyFill="1" applyBorder="1"/>
    <xf numFmtId="194" fontId="42" fillId="12" borderId="0" xfId="0" applyNumberFormat="1" applyFont="1" applyFill="1"/>
    <xf numFmtId="0" fontId="42" fillId="12" borderId="18" xfId="0" applyFont="1" applyFill="1" applyBorder="1"/>
    <xf numFmtId="0" fontId="42" fillId="12" borderId="26" xfId="0" applyFont="1" applyFill="1" applyBorder="1"/>
    <xf numFmtId="194" fontId="42" fillId="14" borderId="21" xfId="0" applyNumberFormat="1" applyFont="1" applyFill="1" applyBorder="1" applyAlignment="1" applyProtection="1">
      <alignment horizontal="center"/>
      <protection locked="0"/>
    </xf>
    <xf numFmtId="182" fontId="42" fillId="12" borderId="0" xfId="0" applyNumberFormat="1" applyFont="1" applyFill="1" applyBorder="1" applyAlignment="1">
      <alignment horizontal="center"/>
    </xf>
    <xf numFmtId="0" fontId="52" fillId="0" borderId="0" xfId="0" applyFont="1" applyBorder="1"/>
    <xf numFmtId="0" fontId="42" fillId="0" borderId="0" xfId="0" applyFont="1" applyBorder="1"/>
    <xf numFmtId="0" fontId="51" fillId="0" borderId="0" xfId="0" applyFont="1" applyBorder="1" applyAlignment="1">
      <alignment horizontal="centerContinuous"/>
    </xf>
    <xf numFmtId="0" fontId="42" fillId="0" borderId="0" xfId="0" applyFont="1" applyBorder="1" applyAlignment="1">
      <alignment horizontal="centerContinuous"/>
    </xf>
    <xf numFmtId="0" fontId="42" fillId="16" borderId="0" xfId="0" applyFont="1" applyFill="1" applyBorder="1"/>
    <xf numFmtId="0" fontId="42" fillId="12" borderId="27" xfId="0" applyFont="1" applyFill="1" applyBorder="1"/>
    <xf numFmtId="0" fontId="42" fillId="12" borderId="9" xfId="0" applyFont="1" applyFill="1" applyBorder="1"/>
    <xf numFmtId="0" fontId="42" fillId="12" borderId="28" xfId="0" applyFont="1" applyFill="1" applyBorder="1"/>
    <xf numFmtId="5" fontId="42" fillId="12" borderId="24" xfId="0" applyNumberFormat="1" applyFont="1" applyFill="1" applyBorder="1" applyAlignment="1">
      <alignment horizontal="center"/>
    </xf>
    <xf numFmtId="0" fontId="42" fillId="12" borderId="24" xfId="0" applyFont="1" applyFill="1" applyBorder="1" applyAlignment="1">
      <alignment horizontal="center"/>
    </xf>
    <xf numFmtId="182" fontId="42" fillId="12" borderId="24" xfId="0" applyNumberFormat="1" applyFont="1" applyFill="1" applyBorder="1" applyAlignment="1">
      <alignment horizontal="center"/>
    </xf>
    <xf numFmtId="195" fontId="42" fillId="12" borderId="24" xfId="0" applyNumberFormat="1" applyFont="1" applyFill="1" applyBorder="1" applyAlignment="1">
      <alignment horizontal="center"/>
    </xf>
    <xf numFmtId="0" fontId="42" fillId="12" borderId="0" xfId="0" applyFont="1" applyFill="1" applyAlignment="1">
      <alignment horizontal="center" wrapText="1"/>
    </xf>
    <xf numFmtId="0" fontId="51" fillId="12" borderId="18" xfId="0" applyFont="1" applyFill="1" applyBorder="1" applyAlignment="1"/>
    <xf numFmtId="0" fontId="42" fillId="12" borderId="19" xfId="0" applyFont="1" applyFill="1" applyBorder="1" applyAlignment="1"/>
    <xf numFmtId="0" fontId="42" fillId="12" borderId="20" xfId="0" applyFont="1" applyFill="1" applyBorder="1" applyAlignment="1"/>
    <xf numFmtId="0" fontId="42" fillId="12" borderId="26" xfId="0" applyFont="1" applyFill="1" applyBorder="1" applyAlignment="1"/>
    <xf numFmtId="0" fontId="42" fillId="12" borderId="22" xfId="0" applyFont="1" applyFill="1" applyBorder="1" applyAlignment="1"/>
    <xf numFmtId="0" fontId="42" fillId="12" borderId="27" xfId="0" applyFont="1" applyFill="1" applyBorder="1" applyAlignment="1"/>
    <xf numFmtId="0" fontId="42" fillId="12" borderId="9" xfId="0" applyFont="1" applyFill="1" applyBorder="1" applyAlignment="1"/>
    <xf numFmtId="0" fontId="42" fillId="12" borderId="28" xfId="0" applyFont="1" applyFill="1" applyBorder="1" applyAlignment="1"/>
    <xf numFmtId="178" fontId="42" fillId="12" borderId="0" xfId="0" applyNumberFormat="1" applyFont="1" applyFill="1" applyBorder="1" applyAlignment="1">
      <alignment horizontal="center"/>
    </xf>
    <xf numFmtId="0" fontId="42" fillId="12" borderId="23" xfId="0" applyFont="1" applyFill="1" applyBorder="1" applyAlignment="1"/>
    <xf numFmtId="5" fontId="42" fillId="12" borderId="0" xfId="0" applyNumberFormat="1" applyFont="1" applyFill="1" applyBorder="1" applyAlignment="1">
      <alignment horizontal="center"/>
    </xf>
    <xf numFmtId="0" fontId="42" fillId="16" borderId="0" xfId="0" applyFont="1" applyFill="1" applyAlignment="1"/>
    <xf numFmtId="182" fontId="42" fillId="14" borderId="1" xfId="0" applyNumberFormat="1" applyFont="1" applyFill="1" applyBorder="1" applyAlignment="1" applyProtection="1">
      <alignment horizontal="center"/>
      <protection locked="0"/>
    </xf>
    <xf numFmtId="195" fontId="42" fillId="12" borderId="0" xfId="0" applyNumberFormat="1" applyFont="1" applyFill="1" applyBorder="1"/>
    <xf numFmtId="0" fontId="42" fillId="17" borderId="0" xfId="0" applyFont="1" applyFill="1"/>
    <xf numFmtId="0" fontId="28" fillId="0" borderId="0" xfId="0" applyFont="1" applyAlignment="1">
      <alignment horizontal="center"/>
    </xf>
    <xf numFmtId="0" fontId="3" fillId="0" borderId="0" xfId="0" applyFont="1" applyAlignment="1">
      <alignment wrapText="1"/>
    </xf>
    <xf numFmtId="0" fontId="24" fillId="0" borderId="0" xfId="0" applyFont="1"/>
    <xf numFmtId="0" fontId="53"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xf>
    <xf numFmtId="182" fontId="36" fillId="12" borderId="8" xfId="19" applyNumberFormat="1" applyFont="1" applyFill="1" applyBorder="1" applyAlignment="1" applyProtection="1">
      <alignment horizontal="center" vertical="center"/>
      <protection locked="0"/>
    </xf>
    <xf numFmtId="0" fontId="4" fillId="12" borderId="0" xfId="19" applyFont="1" applyFill="1" applyBorder="1" applyAlignment="1" applyProtection="1">
      <alignment vertical="center"/>
    </xf>
    <xf numFmtId="0" fontId="4" fillId="12" borderId="6" xfId="19" applyFont="1" applyFill="1" applyBorder="1" applyAlignment="1" applyProtection="1">
      <alignment vertical="center"/>
    </xf>
    <xf numFmtId="0" fontId="4" fillId="12" borderId="17" xfId="19" applyFont="1" applyFill="1" applyBorder="1" applyAlignment="1" applyProtection="1">
      <alignment vertical="center"/>
    </xf>
    <xf numFmtId="0" fontId="4" fillId="15" borderId="7" xfId="19" applyFont="1" applyFill="1" applyBorder="1" applyAlignment="1" applyProtection="1">
      <alignment vertical="center"/>
    </xf>
    <xf numFmtId="0" fontId="36" fillId="12" borderId="6" xfId="19" applyFont="1" applyFill="1" applyBorder="1" applyAlignment="1" applyProtection="1">
      <alignment vertical="center"/>
    </xf>
    <xf numFmtId="194" fontId="13" fillId="12" borderId="6" xfId="19" applyNumberFormat="1" applyFont="1" applyFill="1" applyBorder="1" applyAlignment="1" applyProtection="1">
      <alignment horizontal="center" vertical="center"/>
    </xf>
    <xf numFmtId="0" fontId="13" fillId="12" borderId="0" xfId="19" applyFont="1" applyFill="1" applyBorder="1" applyAlignment="1" applyProtection="1">
      <alignment horizontal="left" vertical="center"/>
    </xf>
    <xf numFmtId="0" fontId="13" fillId="12" borderId="0" xfId="19" applyFont="1" applyFill="1" applyBorder="1" applyAlignment="1" applyProtection="1">
      <alignment vertical="center"/>
    </xf>
    <xf numFmtId="194" fontId="13" fillId="12" borderId="12" xfId="19" applyNumberFormat="1" applyFont="1" applyFill="1" applyBorder="1" applyAlignment="1" applyProtection="1">
      <alignment horizontal="center" vertical="center"/>
    </xf>
    <xf numFmtId="194" fontId="13" fillId="12" borderId="6" xfId="19" applyNumberFormat="1" applyFont="1" applyFill="1" applyBorder="1" applyAlignment="1" applyProtection="1">
      <alignment vertical="center"/>
    </xf>
    <xf numFmtId="0" fontId="42" fillId="0" borderId="0" xfId="0" applyFont="1"/>
    <xf numFmtId="0" fontId="43" fillId="0" borderId="0" xfId="19" applyFont="1" applyAlignment="1">
      <alignment horizontal="center"/>
    </xf>
    <xf numFmtId="0" fontId="4" fillId="0" borderId="0" xfId="19" applyFont="1" applyAlignment="1">
      <alignment wrapText="1"/>
    </xf>
    <xf numFmtId="0" fontId="44" fillId="0" borderId="0" xfId="7" applyFont="1" applyAlignment="1" applyProtection="1"/>
    <xf numFmtId="0" fontId="4" fillId="0" borderId="0" xfId="285" applyFont="1" applyAlignment="1">
      <alignment vertical="center" wrapText="1"/>
    </xf>
    <xf numFmtId="0" fontId="4" fillId="0" borderId="0" xfId="292" applyNumberFormat="1" applyFont="1" applyAlignment="1">
      <alignment vertical="center" wrapText="1"/>
    </xf>
    <xf numFmtId="0" fontId="4" fillId="0" borderId="0" xfId="191" applyFont="1" applyAlignment="1">
      <alignment vertical="center" wrapText="1"/>
    </xf>
    <xf numFmtId="0" fontId="54" fillId="0" borderId="0" xfId="0" applyFont="1" applyAlignment="1">
      <alignment vertical="center"/>
    </xf>
    <xf numFmtId="182" fontId="4" fillId="14" borderId="17" xfId="20" applyNumberFormat="1" applyFont="1" applyFill="1" applyBorder="1" applyAlignment="1" applyProtection="1">
      <alignment horizontal="center"/>
      <protection locked="0"/>
    </xf>
    <xf numFmtId="0" fontId="36" fillId="12" borderId="6" xfId="20" applyFont="1" applyFill="1" applyBorder="1" applyProtection="1"/>
    <xf numFmtId="0" fontId="4" fillId="12" borderId="0" xfId="20" applyFont="1" applyFill="1" applyBorder="1" applyProtection="1"/>
    <xf numFmtId="194" fontId="4" fillId="12" borderId="17" xfId="20" applyNumberFormat="1" applyFont="1" applyFill="1" applyBorder="1" applyAlignment="1" applyProtection="1">
      <alignment horizontal="center"/>
    </xf>
    <xf numFmtId="0" fontId="4" fillId="12" borderId="12" xfId="20" applyFont="1" applyFill="1" applyBorder="1" applyProtection="1"/>
    <xf numFmtId="0" fontId="4" fillId="12" borderId="1" xfId="20" applyFont="1" applyFill="1" applyBorder="1" applyProtection="1"/>
    <xf numFmtId="194" fontId="4" fillId="15" borderId="7" xfId="20" applyNumberFormat="1" applyFont="1" applyFill="1" applyBorder="1" applyAlignment="1" applyProtection="1">
      <alignment horizontal="center"/>
    </xf>
    <xf numFmtId="0" fontId="4" fillId="0" borderId="0" xfId="20" applyFont="1" applyFill="1" applyBorder="1" applyProtection="1"/>
    <xf numFmtId="0" fontId="4" fillId="12" borderId="6" xfId="20" applyFont="1" applyFill="1" applyBorder="1" applyProtection="1"/>
    <xf numFmtId="0" fontId="4" fillId="12" borderId="17" xfId="20" applyFont="1" applyFill="1" applyBorder="1" applyProtection="1"/>
    <xf numFmtId="178" fontId="4" fillId="12" borderId="17" xfId="20" applyNumberFormat="1" applyFont="1" applyFill="1" applyBorder="1" applyAlignment="1" applyProtection="1">
      <alignment horizontal="center"/>
    </xf>
    <xf numFmtId="0" fontId="4" fillId="15" borderId="6" xfId="20" applyFont="1" applyFill="1" applyBorder="1" applyProtection="1"/>
    <xf numFmtId="0" fontId="4" fillId="15" borderId="0" xfId="20" applyFont="1" applyFill="1" applyBorder="1" applyProtection="1"/>
    <xf numFmtId="0" fontId="4" fillId="15" borderId="12" xfId="20" applyFont="1" applyFill="1" applyBorder="1" applyProtection="1"/>
    <xf numFmtId="0" fontId="4" fillId="15" borderId="1" xfId="20" applyFont="1" applyFill="1" applyBorder="1" applyProtection="1"/>
    <xf numFmtId="0" fontId="4" fillId="0" borderId="0" xfId="20" applyFont="1" applyProtection="1"/>
    <xf numFmtId="194" fontId="4" fillId="12" borderId="7" xfId="20" applyNumberFormat="1" applyFont="1" applyFill="1" applyBorder="1" applyAlignment="1" applyProtection="1">
      <alignment horizontal="center"/>
    </xf>
    <xf numFmtId="3" fontId="4" fillId="13" borderId="16" xfId="0" applyNumberFormat="1" applyFont="1" applyFill="1" applyBorder="1" applyAlignment="1" applyProtection="1">
      <alignment horizontal="center" vertical="center"/>
    </xf>
    <xf numFmtId="0" fontId="4" fillId="8" borderId="10" xfId="23" applyNumberFormat="1" applyFont="1" applyFill="1" applyBorder="1" applyAlignment="1" applyProtection="1">
      <alignment horizontal="left" vertical="center"/>
      <protection locked="0"/>
    </xf>
    <xf numFmtId="0" fontId="4" fillId="8" borderId="10" xfId="0" applyNumberFormat="1" applyFont="1" applyFill="1" applyBorder="1" applyAlignment="1" applyProtection="1">
      <alignment horizontal="left" vertical="center"/>
      <protection locked="0"/>
    </xf>
    <xf numFmtId="37" fontId="4" fillId="8" borderId="10" xfId="14" applyNumberFormat="1" applyFont="1" applyFill="1" applyBorder="1" applyAlignment="1" applyProtection="1">
      <alignment vertical="center"/>
      <protection locked="0"/>
    </xf>
    <xf numFmtId="0" fontId="4" fillId="3" borderId="0" xfId="0" applyNumberFormat="1" applyFont="1" applyFill="1" applyBorder="1" applyAlignment="1" applyProtection="1">
      <alignment horizontal="right" vertical="center"/>
    </xf>
    <xf numFmtId="0" fontId="0" fillId="10" borderId="5" xfId="0" applyFill="1" applyBorder="1" applyAlignment="1" applyProtection="1">
      <alignment vertical="center"/>
    </xf>
    <xf numFmtId="0" fontId="16" fillId="10" borderId="7" xfId="0" applyFont="1" applyFill="1" applyBorder="1" applyAlignment="1" applyProtection="1">
      <alignment horizontal="center" vertical="center"/>
    </xf>
    <xf numFmtId="164" fontId="4" fillId="3" borderId="0" xfId="0" applyNumberFormat="1" applyFont="1" applyFill="1" applyBorder="1" applyAlignment="1" applyProtection="1">
      <alignment vertical="center"/>
    </xf>
    <xf numFmtId="3" fontId="4" fillId="3" borderId="3" xfId="0" applyNumberFormat="1" applyFont="1" applyFill="1" applyBorder="1" applyAlignment="1" applyProtection="1">
      <alignment horizontal="right" vertical="center"/>
    </xf>
    <xf numFmtId="3" fontId="4" fillId="2" borderId="5" xfId="1" applyNumberFormat="1" applyFont="1" applyFill="1" applyBorder="1" applyAlignment="1" applyProtection="1">
      <alignment horizontal="right" vertical="center"/>
      <protection locked="0"/>
    </xf>
    <xf numFmtId="3" fontId="4" fillId="2" borderId="3" xfId="1" applyNumberFormat="1" applyFont="1" applyFill="1" applyBorder="1" applyAlignment="1" applyProtection="1">
      <alignment horizontal="right" vertical="center"/>
      <protection locked="0"/>
    </xf>
    <xf numFmtId="37" fontId="4"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xf>
    <xf numFmtId="0" fontId="51" fillId="12" borderId="26" xfId="0" applyFont="1" applyFill="1" applyBorder="1" applyAlignment="1">
      <alignment horizontal="centerContinuous" vertical="center"/>
    </xf>
    <xf numFmtId="194" fontId="51" fillId="12" borderId="0" xfId="0" applyNumberFormat="1" applyFont="1" applyFill="1" applyBorder="1" applyAlignment="1">
      <alignment horizontal="centerContinuous" vertical="center"/>
    </xf>
    <xf numFmtId="0" fontId="51" fillId="12" borderId="0" xfId="0" applyFont="1" applyFill="1" applyBorder="1" applyAlignment="1">
      <alignment horizontal="centerContinuous" vertical="center"/>
    </xf>
    <xf numFmtId="182" fontId="51" fillId="12" borderId="0" xfId="0" applyNumberFormat="1" applyFont="1" applyFill="1" applyBorder="1" applyAlignment="1" applyProtection="1">
      <alignment horizontal="centerContinuous" vertical="center"/>
      <protection locked="0"/>
    </xf>
    <xf numFmtId="195" fontId="51" fillId="12" borderId="0" xfId="0" applyNumberFormat="1" applyFont="1" applyFill="1" applyBorder="1" applyAlignment="1">
      <alignment horizontal="centerContinuous" vertical="center"/>
    </xf>
    <xf numFmtId="0" fontId="51" fillId="12" borderId="22" xfId="0" applyFont="1" applyFill="1" applyBorder="1" applyAlignment="1">
      <alignment horizontal="centerContinuous" vertical="center"/>
    </xf>
    <xf numFmtId="0" fontId="51" fillId="12" borderId="26" xfId="0" applyFont="1" applyFill="1" applyBorder="1" applyAlignment="1">
      <alignment horizontal="centerContinuous"/>
    </xf>
    <xf numFmtId="194" fontId="51" fillId="12" borderId="0" xfId="0" applyNumberFormat="1" applyFont="1" applyFill="1" applyBorder="1" applyAlignment="1">
      <alignment horizontal="centerContinuous"/>
    </xf>
    <xf numFmtId="0" fontId="51" fillId="12" borderId="0" xfId="0" applyFont="1" applyFill="1" applyBorder="1" applyAlignment="1">
      <alignment horizontal="centerContinuous"/>
    </xf>
    <xf numFmtId="182" fontId="51" fillId="12" borderId="0" xfId="0" applyNumberFormat="1" applyFont="1" applyFill="1" applyBorder="1" applyAlignment="1" applyProtection="1">
      <alignment horizontal="centerContinuous"/>
      <protection locked="0"/>
    </xf>
    <xf numFmtId="195" fontId="51" fillId="12" borderId="0" xfId="0" applyNumberFormat="1" applyFont="1" applyFill="1" applyBorder="1" applyAlignment="1">
      <alignment horizontal="centerContinuous"/>
    </xf>
    <xf numFmtId="0" fontId="51" fillId="12" borderId="22" xfId="0" applyFont="1" applyFill="1" applyBorder="1" applyAlignment="1">
      <alignment horizontal="centerContinuous"/>
    </xf>
    <xf numFmtId="194" fontId="42" fillId="0" borderId="0" xfId="0" applyNumberFormat="1" applyFont="1"/>
    <xf numFmtId="194" fontId="42" fillId="12" borderId="24" xfId="0" applyNumberFormat="1" applyFont="1" applyFill="1" applyBorder="1" applyAlignment="1">
      <alignment horizontal="center"/>
    </xf>
    <xf numFmtId="182" fontId="42" fillId="12" borderId="24" xfId="0" applyNumberFormat="1" applyFont="1" applyFill="1" applyBorder="1" applyAlignment="1" applyProtection="1">
      <alignment horizontal="center"/>
      <protection locked="0"/>
    </xf>
    <xf numFmtId="195" fontId="42" fillId="12" borderId="24" xfId="0" applyNumberFormat="1" applyFont="1" applyFill="1" applyBorder="1"/>
    <xf numFmtId="182" fontId="42" fillId="12" borderId="0" xfId="0" applyNumberFormat="1" applyFont="1" applyFill="1" applyBorder="1" applyAlignment="1" applyProtection="1">
      <alignment horizontal="center"/>
      <protection locked="0"/>
    </xf>
    <xf numFmtId="194" fontId="42" fillId="12" borderId="19" xfId="0" applyNumberFormat="1" applyFont="1" applyFill="1" applyBorder="1" applyAlignment="1">
      <alignment horizontal="center"/>
    </xf>
    <xf numFmtId="0" fontId="42" fillId="12" borderId="19" xfId="0" applyFont="1" applyFill="1" applyBorder="1" applyAlignment="1">
      <alignment horizontal="center"/>
    </xf>
    <xf numFmtId="182" fontId="42" fillId="12" borderId="19" xfId="0" applyNumberFormat="1" applyFont="1" applyFill="1" applyBorder="1" applyAlignment="1" applyProtection="1">
      <alignment horizontal="center"/>
      <protection locked="0"/>
    </xf>
    <xf numFmtId="195" fontId="42" fillId="12" borderId="19" xfId="0" applyNumberFormat="1" applyFont="1" applyFill="1" applyBorder="1"/>
    <xf numFmtId="194" fontId="42" fillId="12" borderId="0" xfId="0" applyNumberFormat="1" applyFont="1" applyFill="1" applyBorder="1" applyAlignment="1" applyProtection="1">
      <alignment horizontal="center"/>
      <protection locked="0"/>
    </xf>
    <xf numFmtId="194" fontId="4" fillId="15" borderId="17" xfId="20" applyNumberFormat="1" applyFont="1" applyFill="1" applyBorder="1" applyAlignment="1" applyProtection="1">
      <alignment horizontal="center"/>
    </xf>
    <xf numFmtId="0" fontId="4" fillId="15" borderId="12" xfId="0" applyFont="1" applyFill="1" applyBorder="1" applyAlignment="1">
      <alignment vertical="center"/>
    </xf>
    <xf numFmtId="0" fontId="4" fillId="15" borderId="1" xfId="0" applyFont="1" applyFill="1" applyBorder="1" applyAlignment="1">
      <alignment vertical="center"/>
    </xf>
    <xf numFmtId="194" fontId="4" fillId="15" borderId="7" xfId="0" applyNumberFormat="1" applyFont="1" applyFill="1" applyBorder="1" applyAlignment="1">
      <alignment horizontal="center" vertical="center"/>
    </xf>
    <xf numFmtId="0" fontId="8" fillId="4" borderId="3" xfId="0" applyFont="1" applyFill="1" applyBorder="1" applyAlignment="1" applyProtection="1">
      <alignment vertical="center" shrinkToFit="1"/>
    </xf>
    <xf numFmtId="0" fontId="4" fillId="12" borderId="0" xfId="0" applyFont="1" applyFill="1" applyAlignment="1" applyProtection="1">
      <alignment vertical="center"/>
      <protection locked="0"/>
    </xf>
    <xf numFmtId="37" fontId="4" fillId="12" borderId="0" xfId="0" applyNumberFormat="1"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0" fillId="12" borderId="0" xfId="0" applyFill="1" applyBorder="1" applyAlignment="1" applyProtection="1">
      <alignment vertical="center" wrapText="1"/>
    </xf>
    <xf numFmtId="177" fontId="4" fillId="12" borderId="0" xfId="1" applyNumberFormat="1" applyFont="1" applyFill="1" applyBorder="1" applyAlignment="1" applyProtection="1">
      <alignment vertical="center"/>
    </xf>
    <xf numFmtId="0" fontId="8" fillId="12" borderId="0" xfId="0" applyFont="1" applyFill="1" applyBorder="1" applyAlignment="1" applyProtection="1">
      <alignment vertical="center" wrapText="1" shrinkToFit="1"/>
    </xf>
    <xf numFmtId="178" fontId="4" fillId="3" borderId="3" xfId="0" applyNumberFormat="1" applyFont="1" applyFill="1" applyBorder="1" applyAlignment="1" applyProtection="1">
      <alignment horizontal="right" vertical="center"/>
    </xf>
    <xf numFmtId="196" fontId="4" fillId="3" borderId="3" xfId="0" applyNumberFormat="1" applyFont="1" applyFill="1" applyBorder="1" applyAlignment="1" applyProtection="1">
      <alignment horizontal="right" vertical="center"/>
    </xf>
    <xf numFmtId="182" fontId="4" fillId="9" borderId="29" xfId="0" applyNumberFormat="1" applyFont="1" applyFill="1" applyBorder="1" applyAlignment="1" applyProtection="1">
      <alignment horizontal="right" vertical="center"/>
    </xf>
    <xf numFmtId="3" fontId="4" fillId="13" borderId="30" xfId="0" applyNumberFormat="1" applyFont="1" applyFill="1" applyBorder="1" applyAlignment="1" applyProtection="1">
      <alignment horizontal="right" vertical="center"/>
    </xf>
    <xf numFmtId="0" fontId="4" fillId="3" borderId="3" xfId="0" applyFont="1" applyFill="1" applyBorder="1" applyAlignment="1" applyProtection="1">
      <alignment horizontal="right" vertical="center"/>
    </xf>
    <xf numFmtId="3" fontId="4" fillId="3" borderId="3" xfId="14" applyNumberFormat="1" applyFont="1" applyFill="1" applyBorder="1" applyAlignment="1" applyProtection="1">
      <alignment vertical="center"/>
    </xf>
    <xf numFmtId="0" fontId="4" fillId="3" borderId="4" xfId="14" applyFont="1" applyFill="1" applyBorder="1" applyAlignment="1" applyProtection="1">
      <alignment horizontal="center" vertical="center"/>
    </xf>
    <xf numFmtId="0" fontId="4" fillId="3" borderId="5" xfId="14" applyFont="1" applyFill="1" applyBorder="1" applyAlignment="1" applyProtection="1">
      <alignment horizontal="center" vertical="center"/>
    </xf>
    <xf numFmtId="0" fontId="4" fillId="0" borderId="0" xfId="0" applyFont="1" applyFill="1" applyAlignment="1" applyProtection="1">
      <alignment vertical="center"/>
      <protection locked="0"/>
    </xf>
    <xf numFmtId="0" fontId="4" fillId="12" borderId="1" xfId="0" applyFont="1" applyFill="1" applyBorder="1" applyAlignment="1" applyProtection="1">
      <alignment vertical="center"/>
      <protection locked="0"/>
    </xf>
    <xf numFmtId="0" fontId="38" fillId="15" borderId="6" xfId="19" applyFont="1" applyFill="1" applyBorder="1" applyAlignment="1" applyProtection="1">
      <alignment vertical="center"/>
      <protection locked="0"/>
    </xf>
    <xf numFmtId="0" fontId="4" fillId="15" borderId="0" xfId="19" applyFont="1" applyFill="1" applyBorder="1" applyAlignment="1" applyProtection="1">
      <alignment vertical="center"/>
      <protection locked="0"/>
    </xf>
    <xf numFmtId="0" fontId="36" fillId="15" borderId="0" xfId="19" applyFont="1" applyFill="1" applyBorder="1" applyAlignment="1" applyProtection="1">
      <alignment vertical="center"/>
      <protection locked="0"/>
    </xf>
    <xf numFmtId="194" fontId="38" fillId="15" borderId="8" xfId="19" applyNumberFormat="1" applyFont="1" applyFill="1" applyBorder="1" applyAlignment="1" applyProtection="1">
      <alignment horizontal="center" vertical="center"/>
      <protection locked="0"/>
    </xf>
    <xf numFmtId="0" fontId="4" fillId="15" borderId="7" xfId="0" applyFont="1" applyFill="1" applyBorder="1" applyAlignment="1" applyProtection="1">
      <alignment vertical="center"/>
      <protection locked="0"/>
    </xf>
    <xf numFmtId="37" fontId="4" fillId="3" borderId="0" xfId="0" applyNumberFormat="1" applyFont="1" applyFill="1" applyAlignment="1" applyProtection="1">
      <alignment vertical="center"/>
      <protection locked="0"/>
    </xf>
    <xf numFmtId="0" fontId="4" fillId="3" borderId="17" xfId="7" applyNumberFormat="1" applyFont="1" applyFill="1" applyBorder="1" applyAlignment="1" applyProtection="1">
      <alignment horizontal="right" vertical="center"/>
    </xf>
    <xf numFmtId="0" fontId="55" fillId="0" borderId="0" xfId="0" applyFont="1" applyAlignment="1" applyProtection="1">
      <alignment vertical="center"/>
      <protection locked="0"/>
    </xf>
    <xf numFmtId="0" fontId="4" fillId="12" borderId="0" xfId="0" applyFont="1" applyFill="1" applyBorder="1" applyAlignment="1" applyProtection="1">
      <alignment vertical="center"/>
    </xf>
    <xf numFmtId="194" fontId="36" fillId="14" borderId="3" xfId="0" applyNumberFormat="1" applyFont="1" applyFill="1" applyBorder="1" applyAlignment="1" applyProtection="1">
      <alignment horizontal="center" vertical="center"/>
      <protection locked="0"/>
    </xf>
    <xf numFmtId="0" fontId="36" fillId="12" borderId="0" xfId="0" applyFont="1" applyFill="1" applyBorder="1" applyAlignment="1" applyProtection="1">
      <alignment vertical="center"/>
    </xf>
    <xf numFmtId="0" fontId="36" fillId="12" borderId="6" xfId="0" applyFont="1" applyFill="1" applyBorder="1" applyAlignment="1" applyProtection="1">
      <alignment horizontal="left" vertical="center"/>
    </xf>
    <xf numFmtId="3" fontId="4" fillId="2" borderId="10" xfId="0" applyNumberFormat="1" applyFont="1" applyFill="1" applyBorder="1" applyAlignment="1" applyProtection="1">
      <alignment horizontal="right" vertical="center"/>
      <protection locked="0"/>
    </xf>
    <xf numFmtId="0" fontId="36" fillId="12" borderId="6" xfId="0" applyFont="1" applyFill="1" applyBorder="1" applyAlignment="1" applyProtection="1">
      <alignment vertical="center"/>
    </xf>
    <xf numFmtId="194" fontId="36" fillId="12" borderId="17" xfId="0" applyNumberFormat="1" applyFont="1" applyFill="1" applyBorder="1" applyAlignment="1" applyProtection="1">
      <alignment horizontal="center" vertical="center"/>
    </xf>
    <xf numFmtId="194" fontId="38" fillId="15" borderId="8" xfId="0" applyNumberFormat="1" applyFont="1" applyFill="1" applyBorder="1" applyAlignment="1" applyProtection="1">
      <alignment horizontal="center" vertical="center"/>
    </xf>
    <xf numFmtId="0" fontId="4" fillId="15" borderId="0" xfId="0" applyFont="1" applyFill="1" applyBorder="1" applyAlignment="1" applyProtection="1">
      <alignment vertical="center"/>
    </xf>
    <xf numFmtId="0" fontId="36" fillId="15" borderId="0" xfId="0" applyFont="1" applyFill="1" applyBorder="1" applyAlignment="1" applyProtection="1">
      <alignment vertical="center"/>
    </xf>
    <xf numFmtId="0" fontId="38" fillId="15" borderId="6" xfId="0" applyFont="1" applyFill="1" applyBorder="1" applyAlignment="1" applyProtection="1">
      <alignment vertical="center"/>
    </xf>
    <xf numFmtId="194" fontId="38" fillId="15" borderId="7" xfId="0" applyNumberFormat="1" applyFont="1" applyFill="1" applyBorder="1" applyAlignment="1" applyProtection="1">
      <alignment horizontal="center" vertical="center"/>
      <protection locked="0"/>
    </xf>
    <xf numFmtId="197" fontId="4" fillId="2" borderId="3" xfId="0" applyNumberFormat="1" applyFont="1" applyFill="1" applyBorder="1" applyAlignment="1" applyProtection="1">
      <alignment vertical="center"/>
      <protection locked="0"/>
    </xf>
    <xf numFmtId="197" fontId="4" fillId="8" borderId="3" xfId="0" applyNumberFormat="1" applyFont="1" applyFill="1" applyBorder="1" applyAlignment="1" applyProtection="1">
      <alignment vertical="center"/>
      <protection locked="0"/>
    </xf>
    <xf numFmtId="37" fontId="36" fillId="3" borderId="12"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97" fontId="4" fillId="3" borderId="0" xfId="0" applyNumberFormat="1" applyFont="1" applyFill="1" applyAlignment="1" applyProtection="1">
      <alignment horizontal="center" vertical="center"/>
    </xf>
    <xf numFmtId="0" fontId="56" fillId="0" borderId="0" xfId="0" applyFont="1" applyAlignment="1" applyProtection="1">
      <alignment vertical="center"/>
      <protection locked="0"/>
    </xf>
    <xf numFmtId="3" fontId="4" fillId="2" borderId="10" xfId="0" applyNumberFormat="1" applyFont="1" applyFill="1" applyBorder="1" applyAlignment="1" applyProtection="1">
      <alignment vertical="center"/>
      <protection locked="0"/>
    </xf>
    <xf numFmtId="182" fontId="38" fillId="12" borderId="8" xfId="11" applyNumberFormat="1" applyFont="1" applyFill="1" applyBorder="1" applyAlignment="1" applyProtection="1">
      <alignment horizontal="center" vertical="center"/>
    </xf>
    <xf numFmtId="0" fontId="4" fillId="12" borderId="0" xfId="11" applyFont="1" applyFill="1" applyBorder="1" applyAlignment="1" applyProtection="1">
      <alignment vertical="center"/>
    </xf>
    <xf numFmtId="194" fontId="36" fillId="14" borderId="3" xfId="11" applyNumberFormat="1" applyFont="1" applyFill="1" applyBorder="1" applyAlignment="1" applyProtection="1">
      <alignment horizontal="center" vertical="center"/>
      <protection locked="0"/>
    </xf>
    <xf numFmtId="0" fontId="36" fillId="12" borderId="0" xfId="11" applyFont="1" applyFill="1" applyBorder="1" applyAlignment="1" applyProtection="1">
      <alignment vertical="center"/>
    </xf>
    <xf numFmtId="0" fontId="36" fillId="12" borderId="6" xfId="11" applyFont="1" applyFill="1" applyBorder="1" applyAlignment="1" applyProtection="1">
      <alignment horizontal="left" vertical="center"/>
    </xf>
    <xf numFmtId="0" fontId="36" fillId="12" borderId="6" xfId="11" applyFont="1" applyFill="1" applyBorder="1" applyAlignment="1" applyProtection="1">
      <alignment vertical="center"/>
    </xf>
    <xf numFmtId="194" fontId="36" fillId="12" borderId="17" xfId="11" applyNumberFormat="1" applyFont="1" applyFill="1" applyBorder="1" applyAlignment="1" applyProtection="1">
      <alignment horizontal="center" vertical="center"/>
    </xf>
    <xf numFmtId="194" fontId="38" fillId="15" borderId="8" xfId="11" applyNumberFormat="1" applyFont="1" applyFill="1" applyBorder="1" applyAlignment="1" applyProtection="1">
      <alignment horizontal="center" vertical="center"/>
    </xf>
    <xf numFmtId="0" fontId="4" fillId="15" borderId="0" xfId="11" applyFont="1" applyFill="1" applyBorder="1" applyAlignment="1" applyProtection="1">
      <alignment vertical="center"/>
    </xf>
    <xf numFmtId="0" fontId="36" fillId="15" borderId="0" xfId="11" applyFont="1" applyFill="1" applyBorder="1" applyAlignment="1" applyProtection="1">
      <alignment vertical="center"/>
    </xf>
    <xf numFmtId="0" fontId="38" fillId="15" borderId="6" xfId="11" applyFont="1" applyFill="1" applyBorder="1" applyAlignment="1" applyProtection="1">
      <alignment vertical="center"/>
    </xf>
    <xf numFmtId="194" fontId="38" fillId="15" borderId="7" xfId="11" applyNumberFormat="1" applyFont="1" applyFill="1" applyBorder="1" applyAlignment="1" applyProtection="1">
      <alignment horizontal="center" vertical="center"/>
      <protection locked="0"/>
    </xf>
    <xf numFmtId="37" fontId="36" fillId="3" borderId="12" xfId="11" applyNumberFormat="1" applyFont="1" applyFill="1" applyBorder="1" applyAlignment="1" applyProtection="1">
      <alignment horizontal="left" vertical="center"/>
    </xf>
    <xf numFmtId="182" fontId="38" fillId="12" borderId="8" xfId="11" applyNumberFormat="1" applyFont="1" applyFill="1" applyBorder="1" applyAlignment="1" applyProtection="1">
      <alignment horizontal="center" vertical="center"/>
    </xf>
    <xf numFmtId="0" fontId="45" fillId="12" borderId="1" xfId="11" applyFont="1" applyFill="1" applyBorder="1" applyAlignment="1">
      <alignment horizontal="left" vertical="center"/>
    </xf>
    <xf numFmtId="0" fontId="4" fillId="12" borderId="0" xfId="11" applyFont="1" applyFill="1" applyBorder="1" applyAlignment="1" applyProtection="1">
      <alignment vertical="center"/>
    </xf>
    <xf numFmtId="0" fontId="4" fillId="12" borderId="6" xfId="11" applyFont="1" applyFill="1" applyBorder="1" applyAlignment="1" applyProtection="1">
      <alignment vertical="center"/>
    </xf>
    <xf numFmtId="0" fontId="4" fillId="12" borderId="17" xfId="11" applyFont="1" applyFill="1" applyBorder="1" applyAlignment="1" applyProtection="1">
      <alignment vertical="center"/>
    </xf>
    <xf numFmtId="194" fontId="36" fillId="12" borderId="6" xfId="11" applyNumberFormat="1" applyFont="1" applyFill="1" applyBorder="1" applyAlignment="1" applyProtection="1">
      <alignment horizontal="center" vertical="center"/>
    </xf>
    <xf numFmtId="0" fontId="36" fillId="12" borderId="0" xfId="11" applyFont="1" applyFill="1" applyBorder="1" applyAlignment="1" applyProtection="1">
      <alignment horizontal="left" vertical="center"/>
    </xf>
    <xf numFmtId="0" fontId="36" fillId="12" borderId="17" xfId="11" applyFont="1" applyFill="1" applyBorder="1" applyAlignment="1" applyProtection="1">
      <alignment vertical="center"/>
    </xf>
    <xf numFmtId="0" fontId="36" fillId="12" borderId="0" xfId="11" applyFont="1" applyFill="1" applyBorder="1" applyAlignment="1" applyProtection="1">
      <alignment vertical="center"/>
    </xf>
    <xf numFmtId="194" fontId="36" fillId="12" borderId="12" xfId="11" applyNumberFormat="1" applyFont="1" applyFill="1" applyBorder="1" applyAlignment="1" applyProtection="1">
      <alignment horizontal="center" vertical="center"/>
    </xf>
    <xf numFmtId="0" fontId="4" fillId="15" borderId="7" xfId="11" applyFont="1" applyFill="1" applyBorder="1" applyAlignment="1" applyProtection="1">
      <alignment vertical="center"/>
    </xf>
    <xf numFmtId="194" fontId="13" fillId="12" borderId="6" xfId="11" applyNumberFormat="1" applyFont="1" applyFill="1" applyBorder="1" applyAlignment="1" applyProtection="1">
      <alignment horizontal="center" vertical="center"/>
    </xf>
    <xf numFmtId="0" fontId="13" fillId="12" borderId="0" xfId="11" applyFont="1" applyFill="1" applyBorder="1" applyAlignment="1" applyProtection="1">
      <alignment vertical="center"/>
    </xf>
    <xf numFmtId="194" fontId="13" fillId="12" borderId="12" xfId="11" applyNumberFormat="1" applyFont="1" applyFill="1" applyBorder="1" applyAlignment="1" applyProtection="1">
      <alignment horizontal="center" vertical="center"/>
    </xf>
    <xf numFmtId="194" fontId="13" fillId="12" borderId="6" xfId="11" applyNumberFormat="1" applyFont="1" applyFill="1" applyBorder="1" applyAlignment="1" applyProtection="1">
      <alignment vertical="center"/>
    </xf>
    <xf numFmtId="194" fontId="13" fillId="15" borderId="12" xfId="11" applyNumberFormat="1" applyFont="1" applyFill="1" applyBorder="1" applyAlignment="1" applyProtection="1">
      <alignment horizontal="center" vertical="center"/>
    </xf>
    <xf numFmtId="0" fontId="13" fillId="15" borderId="1" xfId="11" applyFont="1" applyFill="1" applyBorder="1" applyAlignment="1" applyProtection="1">
      <alignment vertical="center"/>
    </xf>
    <xf numFmtId="194" fontId="42" fillId="12" borderId="0" xfId="0" applyNumberFormat="1" applyFont="1" applyFill="1" applyBorder="1" applyAlignment="1">
      <alignment horizontal="center"/>
    </xf>
    <xf numFmtId="195" fontId="42" fillId="12" borderId="0" xfId="0" applyNumberFormat="1" applyFont="1" applyFill="1" applyBorder="1" applyAlignment="1">
      <alignment horizontal="center"/>
    </xf>
    <xf numFmtId="0" fontId="42" fillId="12" borderId="0" xfId="0" applyFont="1" applyFill="1" applyBorder="1" applyAlignment="1">
      <alignment horizontal="center"/>
    </xf>
    <xf numFmtId="194" fontId="42" fillId="14" borderId="1" xfId="0" applyNumberFormat="1" applyFont="1" applyFill="1" applyBorder="1" applyAlignment="1" applyProtection="1">
      <alignment horizontal="center"/>
      <protection locked="0"/>
    </xf>
    <xf numFmtId="0" fontId="42" fillId="12" borderId="9" xfId="0" applyFont="1" applyFill="1" applyBorder="1" applyAlignment="1">
      <alignment horizontal="center"/>
    </xf>
    <xf numFmtId="0" fontId="51" fillId="12" borderId="0" xfId="0" applyFont="1" applyFill="1" applyAlignment="1">
      <alignment horizontal="center" wrapText="1"/>
    </xf>
    <xf numFmtId="0" fontId="42" fillId="12" borderId="0" xfId="0" applyFont="1" applyFill="1" applyBorder="1" applyAlignment="1"/>
    <xf numFmtId="0" fontId="42" fillId="12" borderId="25" xfId="0" applyFont="1" applyFill="1" applyBorder="1" applyAlignment="1"/>
    <xf numFmtId="0" fontId="51" fillId="12" borderId="0" xfId="0" applyFont="1" applyFill="1" applyAlignment="1">
      <alignment horizontal="center"/>
    </xf>
    <xf numFmtId="194" fontId="42" fillId="12" borderId="0" xfId="0" applyNumberFormat="1" applyFont="1" applyFill="1" applyAlignment="1">
      <alignment horizontal="center"/>
    </xf>
    <xf numFmtId="1" fontId="4" fillId="3" borderId="15"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182" fontId="4" fillId="12" borderId="0" xfId="0" applyNumberFormat="1" applyFont="1" applyFill="1" applyBorder="1" applyAlignment="1" applyProtection="1">
      <alignment horizontal="right" vertical="center"/>
      <protection locked="0"/>
    </xf>
    <xf numFmtId="182" fontId="36" fillId="12" borderId="6" xfId="0" applyNumberFormat="1" applyFont="1" applyFill="1" applyBorder="1" applyAlignment="1" applyProtection="1">
      <alignment horizontal="center" vertical="center"/>
    </xf>
    <xf numFmtId="0" fontId="36" fillId="12" borderId="0" xfId="0" applyFont="1" applyFill="1" applyBorder="1" applyAlignment="1" applyProtection="1">
      <alignment horizontal="left" vertical="center"/>
    </xf>
    <xf numFmtId="0" fontId="37" fillId="12" borderId="0" xfId="0" applyFont="1" applyFill="1" applyBorder="1" applyAlignment="1" applyProtection="1">
      <alignment horizontal="center" vertical="center"/>
    </xf>
    <xf numFmtId="0" fontId="0" fillId="12" borderId="17" xfId="0" applyFill="1" applyBorder="1" applyAlignment="1" applyProtection="1">
      <alignment vertical="center"/>
    </xf>
    <xf numFmtId="182" fontId="36" fillId="15" borderId="12" xfId="0" applyNumberFormat="1" applyFont="1" applyFill="1" applyBorder="1" applyAlignment="1" applyProtection="1">
      <alignment horizontal="center" vertical="center"/>
    </xf>
    <xf numFmtId="182" fontId="36" fillId="12" borderId="10" xfId="0" applyNumberFormat="1" applyFont="1" applyFill="1" applyBorder="1" applyAlignment="1" applyProtection="1">
      <alignment horizontal="center" vertical="center"/>
    </xf>
    <xf numFmtId="182" fontId="36" fillId="15" borderId="10" xfId="0" applyNumberFormat="1" applyFont="1" applyFill="1" applyBorder="1" applyAlignment="1" applyProtection="1">
      <alignment horizontal="center" vertical="center"/>
    </xf>
    <xf numFmtId="0" fontId="36" fillId="12" borderId="1" xfId="0" applyFont="1" applyFill="1" applyBorder="1" applyAlignment="1" applyProtection="1">
      <alignment horizontal="left" vertical="center"/>
    </xf>
    <xf numFmtId="0" fontId="37" fillId="12" borderId="1" xfId="0" applyFont="1" applyFill="1" applyBorder="1" applyAlignment="1" applyProtection="1">
      <alignment horizontal="center" vertical="center"/>
    </xf>
    <xf numFmtId="0" fontId="0" fillId="12" borderId="7" xfId="0" applyFill="1" applyBorder="1" applyAlignment="1" applyProtection="1">
      <alignment vertical="center"/>
    </xf>
    <xf numFmtId="49" fontId="4" fillId="3" borderId="0" xfId="0" applyNumberFormat="1" applyFont="1" applyFill="1" applyAlignment="1" applyProtection="1">
      <alignment horizontal="center" vertical="center"/>
    </xf>
    <xf numFmtId="0" fontId="55" fillId="0" borderId="0" xfId="298" applyFont="1" applyAlignment="1">
      <alignment horizontal="left" vertical="center"/>
    </xf>
    <xf numFmtId="0" fontId="4" fillId="0" borderId="0" xfId="9" applyFont="1"/>
    <xf numFmtId="0" fontId="57" fillId="0" borderId="0" xfId="9" applyFont="1"/>
    <xf numFmtId="0" fontId="2" fillId="0" borderId="0" xfId="9"/>
    <xf numFmtId="0" fontId="4" fillId="0" borderId="0" xfId="0" applyFont="1" applyProtection="1">
      <protection locked="0"/>
    </xf>
    <xf numFmtId="0" fontId="4" fillId="2" borderId="3" xfId="0" applyFont="1" applyFill="1" applyBorder="1" applyAlignment="1" applyProtection="1">
      <alignment vertical="center"/>
      <protection locked="0"/>
    </xf>
    <xf numFmtId="164" fontId="4" fillId="8" borderId="3" xfId="0" applyNumberFormat="1" applyFont="1" applyFill="1" applyBorder="1" applyAlignment="1" applyProtection="1">
      <alignment vertical="center"/>
      <protection locked="0"/>
    </xf>
    <xf numFmtId="0" fontId="4" fillId="3" borderId="17" xfId="0" applyFont="1" applyFill="1" applyBorder="1" applyAlignment="1" applyProtection="1">
      <alignment vertical="center"/>
    </xf>
    <xf numFmtId="0" fontId="30" fillId="0" borderId="0" xfId="298"/>
    <xf numFmtId="187" fontId="13" fillId="0" borderId="0" xfId="298" applyNumberFormat="1" applyFont="1" applyAlignment="1">
      <alignment horizontal="left" vertical="center"/>
    </xf>
    <xf numFmtId="49" fontId="4" fillId="0" borderId="0" xfId="298" applyNumberFormat="1" applyFont="1" applyAlignment="1">
      <alignment horizontal="left" vertical="center"/>
    </xf>
    <xf numFmtId="0" fontId="13" fillId="0" borderId="0" xfId="298" applyFont="1" applyAlignment="1">
      <alignment horizontal="left" vertical="center"/>
    </xf>
    <xf numFmtId="188" fontId="13" fillId="0" borderId="0" xfId="298" applyNumberFormat="1" applyFont="1" applyAlignment="1">
      <alignment horizontal="left" vertical="center"/>
    </xf>
    <xf numFmtId="0" fontId="30" fillId="2" borderId="0" xfId="298" applyFill="1" applyAlignment="1" applyProtection="1">
      <alignment horizontal="left" vertical="center"/>
      <protection locked="0"/>
    </xf>
    <xf numFmtId="0" fontId="4" fillId="12" borderId="0" xfId="0" applyFont="1" applyFill="1" applyBorder="1" applyAlignment="1" applyProtection="1">
      <alignment vertical="center"/>
    </xf>
    <xf numFmtId="194" fontId="36" fillId="14" borderId="3" xfId="0" applyNumberFormat="1" applyFont="1" applyFill="1" applyBorder="1" applyAlignment="1" applyProtection="1">
      <alignment horizontal="center" vertical="center"/>
      <protection locked="0"/>
    </xf>
    <xf numFmtId="0" fontId="4" fillId="12" borderId="6" xfId="0" applyFont="1" applyFill="1" applyBorder="1" applyAlignment="1" applyProtection="1">
      <alignment vertical="center"/>
    </xf>
    <xf numFmtId="0" fontId="4" fillId="12" borderId="17" xfId="0" applyFont="1" applyFill="1" applyBorder="1" applyAlignment="1" applyProtection="1">
      <alignment vertical="center"/>
    </xf>
    <xf numFmtId="194" fontId="36" fillId="12" borderId="6" xfId="0" applyNumberFormat="1" applyFont="1" applyFill="1" applyBorder="1" applyAlignment="1" applyProtection="1">
      <alignment horizontal="center" vertical="center"/>
    </xf>
    <xf numFmtId="0" fontId="36" fillId="12" borderId="0" xfId="0" applyFont="1" applyFill="1" applyBorder="1" applyAlignment="1" applyProtection="1">
      <alignment horizontal="left" vertical="center"/>
    </xf>
    <xf numFmtId="0" fontId="36" fillId="12" borderId="17" xfId="0" applyFont="1" applyFill="1" applyBorder="1" applyAlignment="1" applyProtection="1">
      <alignment vertical="center"/>
    </xf>
    <xf numFmtId="0" fontId="36" fillId="12" borderId="0" xfId="0" applyFont="1" applyFill="1" applyBorder="1" applyAlignment="1" applyProtection="1">
      <alignment vertical="center"/>
    </xf>
    <xf numFmtId="194" fontId="36" fillId="12" borderId="12" xfId="0" applyNumberFormat="1" applyFont="1" applyFill="1" applyBorder="1" applyAlignment="1" applyProtection="1">
      <alignment horizontal="center" vertical="center"/>
    </xf>
    <xf numFmtId="194" fontId="36" fillId="12" borderId="6" xfId="0" applyNumberFormat="1" applyFont="1" applyFill="1" applyBorder="1" applyAlignment="1" applyProtection="1">
      <alignment vertical="center"/>
    </xf>
    <xf numFmtId="0" fontId="36" fillId="15" borderId="7" xfId="0" applyFont="1" applyFill="1" applyBorder="1" applyAlignment="1" applyProtection="1">
      <alignment vertical="center"/>
    </xf>
    <xf numFmtId="0" fontId="4" fillId="15" borderId="7" xfId="0" applyFont="1" applyFill="1" applyBorder="1" applyAlignment="1" applyProtection="1">
      <alignment vertical="center"/>
    </xf>
    <xf numFmtId="0" fontId="36" fillId="12" borderId="6" xfId="0" applyFont="1" applyFill="1" applyBorder="1" applyAlignment="1" applyProtection="1">
      <alignment horizontal="left" vertical="center"/>
    </xf>
    <xf numFmtId="0" fontId="36" fillId="12" borderId="6" xfId="0" applyFont="1" applyFill="1" applyBorder="1" applyAlignment="1" applyProtection="1">
      <alignment vertical="center"/>
    </xf>
    <xf numFmtId="194" fontId="36" fillId="12" borderId="17" xfId="0" applyNumberFormat="1" applyFont="1" applyFill="1" applyBorder="1" applyAlignment="1" applyProtection="1">
      <alignment horizontal="center" vertical="center"/>
    </xf>
    <xf numFmtId="194" fontId="13" fillId="12" borderId="6" xfId="0" applyNumberFormat="1" applyFont="1" applyFill="1" applyBorder="1" applyAlignment="1" applyProtection="1">
      <alignment horizontal="center" vertical="center"/>
    </xf>
    <xf numFmtId="0" fontId="13" fillId="12" borderId="0" xfId="0" applyFont="1" applyFill="1" applyBorder="1" applyAlignment="1" applyProtection="1">
      <alignment vertical="center"/>
    </xf>
    <xf numFmtId="194" fontId="13" fillId="12" borderId="12" xfId="0" applyNumberFormat="1" applyFont="1" applyFill="1" applyBorder="1" applyAlignment="1" applyProtection="1">
      <alignment horizontal="center" vertical="center"/>
    </xf>
    <xf numFmtId="194" fontId="13" fillId="12" borderId="6" xfId="0" applyNumberFormat="1" applyFont="1" applyFill="1" applyBorder="1" applyAlignment="1" applyProtection="1">
      <alignment vertical="center"/>
    </xf>
    <xf numFmtId="194" fontId="13" fillId="15" borderId="12" xfId="0" applyNumberFormat="1" applyFont="1" applyFill="1" applyBorder="1" applyAlignment="1" applyProtection="1">
      <alignment horizontal="center" vertical="center"/>
    </xf>
    <xf numFmtId="0" fontId="13" fillId="15" borderId="1" xfId="0" applyFont="1" applyFill="1" applyBorder="1" applyAlignment="1" applyProtection="1">
      <alignment vertical="center"/>
    </xf>
    <xf numFmtId="0" fontId="4" fillId="0" borderId="0" xfId="298" applyFont="1" applyAlignment="1">
      <alignment horizontal="left" vertical="center"/>
    </xf>
    <xf numFmtId="49" fontId="4" fillId="2" borderId="0" xfId="298" applyNumberFormat="1" applyFont="1" applyFill="1" applyAlignment="1" applyProtection="1">
      <alignment horizontal="left" vertical="center"/>
      <protection locked="0"/>
    </xf>
    <xf numFmtId="0" fontId="4" fillId="2" borderId="0" xfId="298" applyFont="1" applyFill="1" applyAlignment="1" applyProtection="1">
      <alignment horizontal="left" vertical="center"/>
      <protection locked="0"/>
    </xf>
    <xf numFmtId="0" fontId="58" fillId="0" borderId="0" xfId="298" applyFont="1"/>
    <xf numFmtId="187" fontId="59" fillId="0" borderId="0" xfId="298" applyNumberFormat="1" applyFont="1" applyAlignment="1">
      <alignment horizontal="left" vertical="center"/>
    </xf>
    <xf numFmtId="0" fontId="59" fillId="0" borderId="0" xfId="298" applyNumberFormat="1" applyFont="1" applyAlignment="1">
      <alignment horizontal="left" vertical="center"/>
    </xf>
    <xf numFmtId="1" fontId="59" fillId="0" borderId="0" xfId="298" applyNumberFormat="1" applyFont="1" applyAlignment="1">
      <alignment horizontal="left" vertical="center"/>
    </xf>
    <xf numFmtId="0" fontId="60" fillId="0" borderId="0" xfId="298" applyFont="1" applyAlignment="1">
      <alignment horizontal="left" vertical="center"/>
    </xf>
    <xf numFmtId="49" fontId="4" fillId="0" borderId="0" xfId="298" applyNumberFormat="1" applyFont="1" applyFill="1" applyAlignment="1" applyProtection="1">
      <alignment horizontal="left" vertical="center"/>
      <protection locked="0"/>
    </xf>
    <xf numFmtId="0" fontId="36" fillId="12" borderId="1" xfId="0" applyFont="1" applyFill="1" applyBorder="1" applyAlignment="1" applyProtection="1">
      <alignment horizontal="left" vertical="center"/>
    </xf>
    <xf numFmtId="0" fontId="37" fillId="12" borderId="1" xfId="0" applyFont="1" applyFill="1" applyBorder="1" applyAlignment="1" applyProtection="1">
      <alignment horizontal="center" vertical="center"/>
    </xf>
    <xf numFmtId="0" fontId="0" fillId="12" borderId="7" xfId="0" applyFill="1" applyBorder="1" applyAlignment="1" applyProtection="1">
      <alignment vertical="center"/>
    </xf>
    <xf numFmtId="194" fontId="38" fillId="15" borderId="8" xfId="0" applyNumberFormat="1" applyFont="1" applyFill="1" applyBorder="1" applyAlignment="1" applyProtection="1">
      <alignment horizontal="center" vertical="center"/>
    </xf>
    <xf numFmtId="0" fontId="37" fillId="12" borderId="0" xfId="0" applyFont="1" applyFill="1" applyBorder="1" applyAlignment="1" applyProtection="1">
      <alignment horizontal="center" vertical="center"/>
    </xf>
    <xf numFmtId="0" fontId="0" fillId="12" borderId="17" xfId="0" applyFill="1" applyBorder="1" applyAlignment="1" applyProtection="1">
      <alignment vertical="center"/>
    </xf>
    <xf numFmtId="0" fontId="4" fillId="15" borderId="0" xfId="0" applyFont="1" applyFill="1" applyBorder="1" applyAlignment="1" applyProtection="1">
      <alignment vertical="center"/>
    </xf>
    <xf numFmtId="0" fontId="36" fillId="15" borderId="0" xfId="0" applyFont="1" applyFill="1" applyBorder="1" applyAlignment="1" applyProtection="1">
      <alignment vertical="center"/>
    </xf>
    <xf numFmtId="0" fontId="38" fillId="15" borderId="6" xfId="0" applyFont="1" applyFill="1" applyBorder="1" applyAlignment="1" applyProtection="1">
      <alignment vertical="center"/>
    </xf>
    <xf numFmtId="194" fontId="38" fillId="15" borderId="7" xfId="0" applyNumberFormat="1" applyFont="1" applyFill="1" applyBorder="1" applyAlignment="1" applyProtection="1">
      <alignment horizontal="center" vertical="center"/>
      <protection locked="0"/>
    </xf>
    <xf numFmtId="37" fontId="4" fillId="3" borderId="17" xfId="0" applyNumberFormat="1" applyFont="1" applyFill="1" applyBorder="1" applyAlignment="1" applyProtection="1">
      <alignment horizontal="right" vertical="center"/>
    </xf>
    <xf numFmtId="182" fontId="38" fillId="12" borderId="8" xfId="0" applyNumberFormat="1" applyFont="1" applyFill="1" applyBorder="1" applyAlignment="1" applyProtection="1">
      <alignment horizontal="center" vertical="center"/>
    </xf>
    <xf numFmtId="194" fontId="36" fillId="15" borderId="12" xfId="0" applyNumberFormat="1" applyFont="1" applyFill="1" applyBorder="1" applyAlignment="1" applyProtection="1">
      <alignment horizontal="center" vertical="center"/>
    </xf>
    <xf numFmtId="0" fontId="36" fillId="15" borderId="1" xfId="0" applyFont="1" applyFill="1" applyBorder="1" applyAlignment="1" applyProtection="1">
      <alignment vertical="center"/>
    </xf>
    <xf numFmtId="0" fontId="45" fillId="12" borderId="1" xfId="0" applyFont="1" applyFill="1" applyBorder="1" applyAlignment="1">
      <alignment horizontal="left" vertical="center"/>
    </xf>
    <xf numFmtId="0" fontId="56" fillId="0" borderId="0" xfId="0" applyFont="1" applyProtection="1">
      <protection locked="0"/>
    </xf>
    <xf numFmtId="182" fontId="36" fillId="12" borderId="6" xfId="0" applyNumberFormat="1" applyFont="1" applyFill="1" applyBorder="1" applyAlignment="1" applyProtection="1">
      <alignment horizontal="center" vertical="center"/>
    </xf>
    <xf numFmtId="182" fontId="36" fillId="12" borderId="10" xfId="0" applyNumberFormat="1" applyFont="1" applyFill="1" applyBorder="1" applyAlignment="1" applyProtection="1">
      <alignment horizontal="center" vertical="center"/>
    </xf>
    <xf numFmtId="182" fontId="36" fillId="15" borderId="12" xfId="0" applyNumberFormat="1" applyFont="1" applyFill="1" applyBorder="1" applyAlignment="1" applyProtection="1">
      <alignment horizontal="center" vertical="center"/>
    </xf>
    <xf numFmtId="182" fontId="36" fillId="15" borderId="10" xfId="0" applyNumberFormat="1" applyFont="1" applyFill="1" applyBorder="1" applyAlignment="1" applyProtection="1">
      <alignment horizontal="center" vertical="center"/>
    </xf>
    <xf numFmtId="0" fontId="4" fillId="12" borderId="17" xfId="0" applyFont="1" applyFill="1" applyBorder="1" applyProtection="1">
      <protection locked="0"/>
    </xf>
    <xf numFmtId="0" fontId="4" fillId="15" borderId="7" xfId="0" applyFont="1" applyFill="1" applyBorder="1" applyProtection="1">
      <protection locked="0"/>
    </xf>
    <xf numFmtId="0" fontId="4" fillId="12" borderId="17" xfId="0" applyFont="1" applyFill="1" applyBorder="1" applyAlignment="1" applyProtection="1">
      <alignment vertical="center"/>
      <protection locked="0"/>
    </xf>
    <xf numFmtId="0" fontId="36" fillId="3" borderId="17" xfId="7" applyNumberFormat="1" applyFont="1" applyFill="1" applyBorder="1" applyAlignment="1" applyProtection="1">
      <alignment horizontal="center" vertical="center"/>
    </xf>
    <xf numFmtId="0" fontId="4" fillId="0" borderId="0" xfId="56" applyFont="1" applyAlignment="1">
      <alignment vertical="center"/>
    </xf>
    <xf numFmtId="0" fontId="4" fillId="0" borderId="0" xfId="302" applyFont="1" applyAlignment="1">
      <alignment vertical="center" wrapText="1"/>
    </xf>
    <xf numFmtId="0" fontId="4" fillId="0" borderId="0" xfId="10" applyFont="1" applyAlignment="1">
      <alignment vertical="center" wrapText="1"/>
    </xf>
    <xf numFmtId="0" fontId="4" fillId="0" borderId="0" xfId="11" applyFont="1" applyAlignment="1">
      <alignment vertical="center" wrapText="1"/>
    </xf>
    <xf numFmtId="0" fontId="4" fillId="0" borderId="0" xfId="24" applyFont="1" applyAlignment="1">
      <alignment vertical="center" wrapText="1"/>
    </xf>
    <xf numFmtId="0" fontId="4" fillId="0" borderId="0" xfId="16" applyFont="1" applyAlignment="1">
      <alignment vertical="center" wrapText="1"/>
    </xf>
    <xf numFmtId="0" fontId="4" fillId="0" borderId="0" xfId="46" applyFont="1" applyAlignment="1">
      <alignment vertical="center" wrapText="1"/>
    </xf>
    <xf numFmtId="0" fontId="4" fillId="0" borderId="0" xfId="52" applyFont="1" applyAlignment="1">
      <alignment vertical="center" wrapText="1"/>
    </xf>
    <xf numFmtId="0" fontId="4" fillId="0" borderId="0" xfId="73" applyFont="1" applyAlignment="1">
      <alignment vertical="center" wrapText="1"/>
    </xf>
    <xf numFmtId="197" fontId="4" fillId="8" borderId="3" xfId="14" applyNumberFormat="1" applyFont="1" applyFill="1" applyBorder="1" applyAlignment="1" applyProtection="1">
      <alignment vertical="center"/>
      <protection locked="0"/>
    </xf>
    <xf numFmtId="0" fontId="47" fillId="0" borderId="0" xfId="0" applyFont="1" applyAlignment="1" applyProtection="1">
      <alignment vertical="center"/>
    </xf>
    <xf numFmtId="194" fontId="38" fillId="15" borderId="7" xfId="0" applyNumberFormat="1" applyFont="1" applyFill="1" applyBorder="1" applyAlignment="1" applyProtection="1">
      <alignment horizontal="center" vertical="center"/>
    </xf>
    <xf numFmtId="37" fontId="14" fillId="3" borderId="0" xfId="0" applyNumberFormat="1" applyFont="1" applyFill="1" applyAlignment="1" applyProtection="1">
      <alignment horizontal="center" vertical="center"/>
    </xf>
    <xf numFmtId="0" fontId="15"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9"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4" fillId="5" borderId="9" xfId="0" applyFont="1" applyFill="1" applyBorder="1" applyAlignment="1">
      <alignment vertical="center" wrapText="1"/>
    </xf>
    <xf numFmtId="0" fontId="0" fillId="0" borderId="9" xfId="0" applyBorder="1" applyAlignment="1">
      <alignment vertical="center" wrapText="1"/>
    </xf>
    <xf numFmtId="0" fontId="3"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4" fillId="0" borderId="0" xfId="298" applyFont="1" applyAlignment="1">
      <alignment horizontal="left" vertical="center" wrapText="1"/>
    </xf>
    <xf numFmtId="0" fontId="30" fillId="0" borderId="0" xfId="298" applyAlignment="1">
      <alignment horizontal="left" vertical="center" wrapText="1"/>
    </xf>
    <xf numFmtId="0" fontId="12" fillId="0" borderId="0" xfId="298" applyFont="1" applyAlignment="1">
      <alignment horizontal="left" vertical="center"/>
    </xf>
    <xf numFmtId="37" fontId="12" fillId="3" borderId="0" xfId="0" applyNumberFormat="1" applyFont="1" applyFill="1" applyAlignment="1" applyProtection="1">
      <alignment horizontal="center" vertical="center"/>
    </xf>
    <xf numFmtId="0" fontId="31"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8" fillId="4" borderId="4" xfId="0" applyFont="1" applyFill="1" applyBorder="1" applyAlignment="1" applyProtection="1">
      <alignment horizontal="center" vertical="center" wrapText="1" shrinkToFit="1"/>
    </xf>
    <xf numFmtId="0" fontId="0" fillId="0" borderId="5" xfId="0" applyBorder="1" applyAlignment="1">
      <alignment horizontal="center" vertical="center" wrapText="1"/>
    </xf>
    <xf numFmtId="0" fontId="4" fillId="0" borderId="0" xfId="0" applyFont="1" applyAlignment="1" applyProtection="1">
      <alignment horizontal="center"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center" vertical="center" wrapText="1"/>
    </xf>
    <xf numFmtId="37" fontId="3" fillId="3" borderId="0" xfId="0" applyNumberFormat="1" applyFont="1" applyFill="1" applyAlignment="1" applyProtection="1">
      <alignment horizontal="center" vertical="center"/>
    </xf>
    <xf numFmtId="0" fontId="3" fillId="3" borderId="0" xfId="0" applyFont="1" applyFill="1" applyAlignment="1" applyProtection="1">
      <alignment horizontal="center" vertical="center"/>
    </xf>
    <xf numFmtId="37" fontId="4" fillId="3" borderId="10" xfId="0" applyNumberFormat="1" applyFont="1" applyFill="1" applyBorder="1" applyAlignment="1" applyProtection="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4" fillId="3" borderId="12" xfId="0" applyFont="1" applyFill="1" applyBorder="1" applyAlignment="1" applyProtection="1">
      <alignment horizontal="center" vertical="center"/>
    </xf>
    <xf numFmtId="0" fontId="0" fillId="0" borderId="7" xfId="0" applyBorder="1" applyAlignment="1" applyProtection="1">
      <alignment vertical="center"/>
    </xf>
    <xf numFmtId="1" fontId="4" fillId="3" borderId="12" xfId="0"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0" fontId="37" fillId="12" borderId="15" xfId="19" applyFont="1" applyFill="1" applyBorder="1" applyAlignment="1" applyProtection="1">
      <alignment horizontal="center" vertical="center"/>
    </xf>
    <xf numFmtId="0" fontId="37" fillId="12" borderId="9" xfId="19" applyFont="1" applyFill="1" applyBorder="1" applyAlignment="1" applyProtection="1">
      <alignment horizontal="center" vertical="center"/>
    </xf>
    <xf numFmtId="0" fontId="2" fillId="0" borderId="14" xfId="19" applyBorder="1" applyAlignment="1" applyProtection="1">
      <alignment vertical="center"/>
    </xf>
    <xf numFmtId="3" fontId="4" fillId="3" borderId="9" xfId="23" applyNumberFormat="1" applyFont="1" applyFill="1" applyBorder="1" applyAlignment="1" applyProtection="1">
      <alignment horizontal="right" vertical="center"/>
    </xf>
    <xf numFmtId="0" fontId="2" fillId="0" borderId="14" xfId="23" applyBorder="1" applyAlignment="1">
      <alignment horizontal="right" vertical="center"/>
    </xf>
    <xf numFmtId="0" fontId="4" fillId="3" borderId="0" xfId="23" applyFont="1" applyFill="1" applyAlignment="1" applyProtection="1">
      <alignment horizontal="right" vertical="center"/>
    </xf>
    <xf numFmtId="0" fontId="4" fillId="0" borderId="17" xfId="23" applyFont="1" applyBorder="1" applyAlignment="1">
      <alignment horizontal="right" vertical="center"/>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9" xfId="0" applyBorder="1" applyAlignment="1">
      <alignment vertical="center"/>
    </xf>
    <xf numFmtId="0" fontId="0" fillId="0" borderId="14" xfId="0" applyBorder="1" applyAlignment="1">
      <alignment vertical="center"/>
    </xf>
    <xf numFmtId="182" fontId="37" fillId="12" borderId="15" xfId="0" applyNumberFormat="1" applyFont="1" applyFill="1" applyBorder="1" applyAlignment="1" applyProtection="1">
      <alignment horizontal="center"/>
    </xf>
    <xf numFmtId="0" fontId="15" fillId="0" borderId="9" xfId="0" applyFont="1" applyBorder="1" applyAlignment="1"/>
    <xf numFmtId="0" fontId="15" fillId="0" borderId="14" xfId="0" applyFont="1" applyBorder="1" applyAlignment="1"/>
    <xf numFmtId="0" fontId="4" fillId="3" borderId="0" xfId="7" applyNumberFormat="1" applyFont="1" applyFill="1" applyBorder="1" applyAlignment="1" applyProtection="1">
      <alignment horizontal="right" vertical="center"/>
    </xf>
    <xf numFmtId="0" fontId="4" fillId="0" borderId="0" xfId="7" applyFont="1" applyAlignment="1" applyProtection="1">
      <alignment horizontal="right" vertical="center"/>
    </xf>
    <xf numFmtId="0" fontId="40" fillId="12" borderId="15" xfId="19" applyFont="1" applyFill="1" applyBorder="1" applyAlignment="1" applyProtection="1">
      <alignment horizontal="center" vertical="center"/>
    </xf>
    <xf numFmtId="0" fontId="0" fillId="0" borderId="9" xfId="0" applyBorder="1" applyAlignment="1">
      <alignment horizontal="center" vertical="center"/>
    </xf>
    <xf numFmtId="0" fontId="37" fillId="12" borderId="15" xfId="11" applyFont="1" applyFill="1" applyBorder="1" applyAlignment="1" applyProtection="1">
      <alignment horizontal="center" vertical="center"/>
    </xf>
    <xf numFmtId="0" fontId="45" fillId="0" borderId="9" xfId="11" applyFont="1" applyBorder="1" applyAlignment="1">
      <alignment horizontal="center" vertical="center"/>
    </xf>
    <xf numFmtId="0" fontId="37" fillId="12" borderId="15" xfId="0" applyFont="1" applyFill="1" applyBorder="1" applyAlignment="1" applyProtection="1">
      <alignment horizontal="center" vertical="center"/>
    </xf>
    <xf numFmtId="0" fontId="2" fillId="0" borderId="9" xfId="11" applyBorder="1" applyAlignment="1">
      <alignment vertical="center"/>
    </xf>
    <xf numFmtId="0" fontId="2" fillId="0" borderId="14" xfId="11" applyBorder="1" applyAlignment="1">
      <alignment vertical="center"/>
    </xf>
    <xf numFmtId="0" fontId="0" fillId="0" borderId="14" xfId="0" applyBorder="1" applyAlignment="1"/>
    <xf numFmtId="0" fontId="45" fillId="0" borderId="9" xfId="0" applyFont="1" applyBorder="1" applyAlignment="1">
      <alignment horizontal="center" vertical="center"/>
    </xf>
    <xf numFmtId="0" fontId="3" fillId="3" borderId="10" xfId="0" applyFont="1" applyFill="1" applyBorder="1" applyAlignment="1">
      <alignment vertical="center"/>
    </xf>
    <xf numFmtId="0" fontId="3" fillId="3" borderId="8" xfId="0" applyFont="1" applyFill="1" applyBorder="1" applyAlignment="1">
      <alignment vertical="center"/>
    </xf>
    <xf numFmtId="37" fontId="4" fillId="12" borderId="0" xfId="45" applyNumberFormat="1" applyFont="1" applyFill="1" applyAlignment="1" applyProtection="1">
      <alignment horizontal="center"/>
    </xf>
    <xf numFmtId="0" fontId="12" fillId="12" borderId="15" xfId="20" applyFont="1" applyFill="1" applyBorder="1" applyAlignment="1" applyProtection="1">
      <alignment horizontal="center"/>
    </xf>
    <xf numFmtId="0" fontId="0" fillId="0" borderId="9" xfId="0" applyBorder="1" applyAlignment="1">
      <alignment horizontal="center"/>
    </xf>
    <xf numFmtId="0" fontId="0" fillId="0" borderId="14" xfId="0" applyBorder="1" applyAlignment="1">
      <alignment horizontal="center"/>
    </xf>
    <xf numFmtId="0" fontId="2" fillId="0" borderId="9" xfId="20" applyBorder="1" applyAlignment="1" applyProtection="1">
      <alignment horizontal="center"/>
    </xf>
    <xf numFmtId="0" fontId="2" fillId="0" borderId="14" xfId="20" applyBorder="1" applyAlignment="1" applyProtection="1">
      <alignment horizontal="center"/>
    </xf>
    <xf numFmtId="0" fontId="12" fillId="12" borderId="9" xfId="20" applyFont="1" applyFill="1" applyBorder="1" applyAlignment="1" applyProtection="1">
      <alignment horizontal="center"/>
    </xf>
    <xf numFmtId="0" fontId="12" fillId="12" borderId="14" xfId="20" applyFont="1" applyFill="1" applyBorder="1" applyAlignment="1" applyProtection="1">
      <alignment horizontal="center"/>
    </xf>
    <xf numFmtId="49" fontId="3" fillId="3" borderId="1"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37" fontId="4" fillId="12" borderId="0" xfId="0" applyNumberFormat="1" applyFont="1" applyFill="1" applyAlignment="1" applyProtection="1">
      <alignment horizontal="center" vertical="center"/>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pplyProtection="1">
      <alignment horizontal="left" vertical="justify"/>
      <protection locked="0"/>
    </xf>
    <xf numFmtId="0" fontId="42" fillId="12" borderId="26" xfId="0" applyFont="1" applyFill="1" applyBorder="1" applyAlignment="1">
      <alignment vertical="top" wrapText="1"/>
    </xf>
    <xf numFmtId="0" fontId="42" fillId="0" borderId="0" xfId="0" applyFont="1" applyAlignment="1">
      <alignment vertical="top" wrapText="1"/>
    </xf>
    <xf numFmtId="0" fontId="42" fillId="0" borderId="22" xfId="0" applyFont="1" applyBorder="1" applyAlignment="1">
      <alignment vertical="top" wrapText="1"/>
    </xf>
    <xf numFmtId="194" fontId="42" fillId="12" borderId="0" xfId="0" applyNumberFormat="1" applyFont="1" applyFill="1" applyBorder="1" applyAlignment="1">
      <alignment horizontal="center"/>
    </xf>
    <xf numFmtId="195" fontId="42" fillId="12" borderId="0" xfId="0" applyNumberFormat="1" applyFont="1" applyFill="1" applyBorder="1" applyAlignment="1">
      <alignment horizontal="center"/>
    </xf>
    <xf numFmtId="0" fontId="42" fillId="0" borderId="22" xfId="0" applyFont="1" applyBorder="1" applyAlignment="1">
      <alignment horizontal="center"/>
    </xf>
    <xf numFmtId="178" fontId="42" fillId="14" borderId="1" xfId="0" applyNumberFormat="1" applyFont="1" applyFill="1" applyBorder="1" applyAlignment="1" applyProtection="1">
      <alignment horizontal="center"/>
      <protection locked="0"/>
    </xf>
    <xf numFmtId="195" fontId="42" fillId="0" borderId="22" xfId="0" applyNumberFormat="1" applyFont="1" applyBorder="1" applyAlignment="1">
      <alignment horizontal="center"/>
    </xf>
    <xf numFmtId="5" fontId="42" fillId="12" borderId="1" xfId="0" applyNumberFormat="1" applyFont="1" applyFill="1" applyBorder="1" applyAlignment="1">
      <alignment horizontal="center"/>
    </xf>
    <xf numFmtId="0" fontId="42" fillId="12" borderId="0" xfId="0" applyFont="1" applyFill="1" applyBorder="1" applyAlignment="1">
      <alignment horizontal="center"/>
    </xf>
    <xf numFmtId="194" fontId="42" fillId="14" borderId="1" xfId="0" applyNumberFormat="1" applyFont="1" applyFill="1" applyBorder="1" applyAlignment="1" applyProtection="1">
      <alignment horizontal="center"/>
      <protection locked="0"/>
    </xf>
    <xf numFmtId="0" fontId="42" fillId="12" borderId="9" xfId="0" applyFont="1" applyFill="1" applyBorder="1" applyAlignment="1">
      <alignment horizontal="center"/>
    </xf>
    <xf numFmtId="0" fontId="51" fillId="12" borderId="19" xfId="0" applyFont="1" applyFill="1" applyBorder="1" applyAlignment="1">
      <alignment horizontal="center" vertical="center"/>
    </xf>
    <xf numFmtId="0" fontId="51" fillId="12" borderId="0" xfId="0" applyFont="1" applyFill="1" applyAlignment="1">
      <alignment horizontal="center" wrapText="1"/>
    </xf>
    <xf numFmtId="0" fontId="42" fillId="12" borderId="0" xfId="0" applyFont="1" applyFill="1" applyAlignment="1">
      <alignment wrapText="1"/>
    </xf>
    <xf numFmtId="0" fontId="42" fillId="0" borderId="19" xfId="0" applyFont="1" applyBorder="1" applyAlignment="1">
      <alignment horizontal="center" vertical="center"/>
    </xf>
    <xf numFmtId="194" fontId="42" fillId="14" borderId="21" xfId="0" applyNumberFormat="1" applyFont="1" applyFill="1" applyBorder="1" applyAlignment="1" applyProtection="1">
      <alignment horizontal="center"/>
      <protection locked="0"/>
    </xf>
    <xf numFmtId="0" fontId="42" fillId="12" borderId="0" xfId="0" applyFont="1" applyFill="1" applyBorder="1" applyAlignment="1"/>
    <xf numFmtId="0" fontId="42" fillId="0" borderId="0" xfId="0" applyFont="1" applyBorder="1" applyAlignment="1"/>
    <xf numFmtId="0" fontId="42" fillId="12" borderId="24" xfId="0" applyFont="1" applyFill="1" applyBorder="1" applyAlignment="1"/>
    <xf numFmtId="0" fontId="42" fillId="12" borderId="25" xfId="0" applyFont="1" applyFill="1" applyBorder="1" applyAlignment="1"/>
    <xf numFmtId="0" fontId="51" fillId="12" borderId="0" xfId="0" applyFont="1" applyFill="1" applyAlignment="1">
      <alignment horizontal="center"/>
    </xf>
    <xf numFmtId="0" fontId="42" fillId="0" borderId="0" xfId="0" applyFont="1" applyAlignment="1">
      <alignment wrapText="1"/>
    </xf>
    <xf numFmtId="194" fontId="42" fillId="12" borderId="0" xfId="0" applyNumberFormat="1" applyFont="1" applyFill="1" applyAlignment="1">
      <alignment horizontal="center"/>
    </xf>
    <xf numFmtId="0" fontId="42" fillId="12" borderId="0" xfId="0" applyFont="1" applyFill="1" applyBorder="1" applyAlignment="1">
      <alignment wrapText="1"/>
    </xf>
    <xf numFmtId="0" fontId="51" fillId="12" borderId="0" xfId="0" applyFont="1" applyFill="1" applyBorder="1" applyAlignment="1">
      <alignment horizontal="center" wrapText="1"/>
    </xf>
    <xf numFmtId="0" fontId="42" fillId="0" borderId="0" xfId="0" applyFont="1" applyAlignment="1">
      <alignment horizontal="center" wrapText="1"/>
    </xf>
    <xf numFmtId="0" fontId="51" fillId="0" borderId="0" xfId="0" applyFont="1" applyAlignment="1">
      <alignment horizontal="center" wrapText="1"/>
    </xf>
    <xf numFmtId="0" fontId="51" fillId="12" borderId="0" xfId="0" applyFont="1" applyFill="1" applyAlignment="1">
      <alignment horizontal="center" vertical="center"/>
    </xf>
    <xf numFmtId="0" fontId="51" fillId="0" borderId="0" xfId="0" applyFont="1" applyAlignment="1">
      <alignment horizontal="center" vertical="center"/>
    </xf>
    <xf numFmtId="194" fontId="42" fillId="12" borderId="0" xfId="0" applyNumberFormat="1" applyFont="1" applyFill="1" applyAlignment="1"/>
  </cellXfs>
  <cellStyles count="307">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2" xfId="16"/>
    <cellStyle name="Normal 11 3" xfId="17"/>
    <cellStyle name="Normal 11 4" xfId="18"/>
    <cellStyle name="Normal 12" xfId="19"/>
    <cellStyle name="Normal 12 10" xfId="20"/>
    <cellStyle name="Normal 12 11" xfId="21"/>
    <cellStyle name="Normal 12 12" xfId="22"/>
    <cellStyle name="Normal 12 2" xfId="23"/>
    <cellStyle name="Normal 12 2 2" xfId="24"/>
    <cellStyle name="Normal 12 3" xfId="25"/>
    <cellStyle name="Normal 12 4" xfId="26"/>
    <cellStyle name="Normal 12 5" xfId="27"/>
    <cellStyle name="Normal 12 6" xfId="28"/>
    <cellStyle name="Normal 12 7" xfId="29"/>
    <cellStyle name="Normal 12 8" xfId="30"/>
    <cellStyle name="Normal 12 9" xfId="31"/>
    <cellStyle name="Normal 13" xfId="32"/>
    <cellStyle name="Normal 13 10" xfId="33"/>
    <cellStyle name="Normal 13 11" xfId="34"/>
    <cellStyle name="Normal 13 12" xfId="35"/>
    <cellStyle name="Normal 13 2" xfId="36"/>
    <cellStyle name="Normal 13 2 2" xfId="37"/>
    <cellStyle name="Normal 13 3" xfId="38"/>
    <cellStyle name="Normal 13 4" xfId="39"/>
    <cellStyle name="Normal 13 5" xfId="40"/>
    <cellStyle name="Normal 13 6" xfId="41"/>
    <cellStyle name="Normal 13 7" xfId="42"/>
    <cellStyle name="Normal 13 8" xfId="43"/>
    <cellStyle name="Normal 13 9" xfId="44"/>
    <cellStyle name="Normal 14" xfId="45"/>
    <cellStyle name="Normal 14 2" xfId="46"/>
    <cellStyle name="Normal 14 3" xfId="47"/>
    <cellStyle name="Normal 14 4" xfId="48"/>
    <cellStyle name="Normal 14 5" xfId="49"/>
    <cellStyle name="Normal 14 6" xfId="50"/>
    <cellStyle name="Normal 15" xfId="51"/>
    <cellStyle name="Normal 15 2" xfId="52"/>
    <cellStyle name="Normal 15 3" xfId="53"/>
    <cellStyle name="Normal 15 4" xfId="54"/>
    <cellStyle name="Normal 16" xfId="55"/>
    <cellStyle name="Normal 16 2" xfId="56"/>
    <cellStyle name="Normal 16 3" xfId="57"/>
    <cellStyle name="Normal 16 4" xfId="58"/>
    <cellStyle name="Normal 17 2" xfId="59"/>
    <cellStyle name="Normal 17 3" xfId="60"/>
    <cellStyle name="Normal 17 4" xfId="61"/>
    <cellStyle name="Normal 18" xfId="62"/>
    <cellStyle name="Normal 18 2" xfId="63"/>
    <cellStyle name="Normal 18 2 2" xfId="64"/>
    <cellStyle name="Normal 18 2 3" xfId="65"/>
    <cellStyle name="Normal 18 3" xfId="66"/>
    <cellStyle name="Normal 18 4" xfId="67"/>
    <cellStyle name="Normal 18 5" xfId="68"/>
    <cellStyle name="Normal 18 6" xfId="69"/>
    <cellStyle name="Normal 18 7" xfId="70"/>
    <cellStyle name="Normal 19 2" xfId="71"/>
    <cellStyle name="Normal 19 2 2" xfId="72"/>
    <cellStyle name="Normal 19 2 3" xfId="73"/>
    <cellStyle name="Normal 19 3" xfId="74"/>
    <cellStyle name="Normal 19 4" xfId="75"/>
    <cellStyle name="Normal 19 5" xfId="76"/>
    <cellStyle name="Normal 19 6" xfId="77"/>
    <cellStyle name="Normal 2 10" xfId="78"/>
    <cellStyle name="Normal 2 10 10" xfId="79"/>
    <cellStyle name="Normal 2 10 2" xfId="80"/>
    <cellStyle name="Normal 2 10 2 2" xfId="81"/>
    <cellStyle name="Normal 2 10 3" xfId="82"/>
    <cellStyle name="Normal 2 10 3 2" xfId="83"/>
    <cellStyle name="Normal 2 10 4" xfId="84"/>
    <cellStyle name="Normal 2 10 4 2" xfId="85"/>
    <cellStyle name="Normal 2 10 5" xfId="86"/>
    <cellStyle name="Normal 2 10 5 2" xfId="87"/>
    <cellStyle name="Normal 2 10 6" xfId="88"/>
    <cellStyle name="Normal 2 10 6 2" xfId="89"/>
    <cellStyle name="Normal 2 10 7" xfId="90"/>
    <cellStyle name="Normal 2 10 7 2" xfId="91"/>
    <cellStyle name="Normal 2 10 8" xfId="92"/>
    <cellStyle name="Normal 2 10 8 2" xfId="93"/>
    <cellStyle name="Normal 2 10 9" xfId="94"/>
    <cellStyle name="Normal 2 11" xfId="95"/>
    <cellStyle name="Normal 2 11 10" xfId="96"/>
    <cellStyle name="Normal 2 11 2" xfId="97"/>
    <cellStyle name="Normal 2 11 2 2" xfId="98"/>
    <cellStyle name="Normal 2 11 3" xfId="99"/>
    <cellStyle name="Normal 2 11 3 2" xfId="100"/>
    <cellStyle name="Normal 2 11 4" xfId="101"/>
    <cellStyle name="Normal 2 11 4 2" xfId="102"/>
    <cellStyle name="Normal 2 11 5" xfId="103"/>
    <cellStyle name="Normal 2 11 5 2" xfId="104"/>
    <cellStyle name="Normal 2 11 6" xfId="105"/>
    <cellStyle name="Normal 2 11 6 2" xfId="106"/>
    <cellStyle name="Normal 2 11 7" xfId="107"/>
    <cellStyle name="Normal 2 11 7 2" xfId="108"/>
    <cellStyle name="Normal 2 11 8" xfId="109"/>
    <cellStyle name="Normal 2 11 8 2" xfId="110"/>
    <cellStyle name="Normal 2 11 9" xfId="111"/>
    <cellStyle name="Normal 2 12" xfId="112"/>
    <cellStyle name="Normal 2 13" xfId="113"/>
    <cellStyle name="Normal 2 14" xfId="114"/>
    <cellStyle name="Normal 2 15" xfId="115"/>
    <cellStyle name="Normal 2 2" xfId="116"/>
    <cellStyle name="Normal 2 2 10" xfId="117"/>
    <cellStyle name="Normal 2 2 10 2" xfId="118"/>
    <cellStyle name="Normal 2 2 11" xfId="119"/>
    <cellStyle name="Normal 2 2 11 2" xfId="120"/>
    <cellStyle name="Normal 2 2 12" xfId="121"/>
    <cellStyle name="Normal 2 2 12 2" xfId="122"/>
    <cellStyle name="Normal 2 2 13" xfId="123"/>
    <cellStyle name="Normal 2 2 13 2" xfId="124"/>
    <cellStyle name="Normal 2 2 14" xfId="125"/>
    <cellStyle name="Normal 2 2 14 2" xfId="126"/>
    <cellStyle name="Normal 2 2 15" xfId="127"/>
    <cellStyle name="Normal 2 2 15 2" xfId="128"/>
    <cellStyle name="Normal 2 2 16" xfId="129"/>
    <cellStyle name="Normal 2 2 17" xfId="130"/>
    <cellStyle name="Normal 2 2 18" xfId="131"/>
    <cellStyle name="Normal 2 2 19" xfId="132"/>
    <cellStyle name="Normal 2 2 2" xfId="133"/>
    <cellStyle name="Normal 2 2 2 2" xfId="134"/>
    <cellStyle name="Normal 2 2 2 2 2" xfId="135"/>
    <cellStyle name="Normal 2 2 2 3" xfId="136"/>
    <cellStyle name="Normal 2 2 2 3 2" xfId="137"/>
    <cellStyle name="Normal 2 2 2 4" xfId="138"/>
    <cellStyle name="Normal 2 2 2 4 2" xfId="139"/>
    <cellStyle name="Normal 2 2 2 5" xfId="140"/>
    <cellStyle name="Normal 2 2 2 5 2" xfId="141"/>
    <cellStyle name="Normal 2 2 2 6" xfId="142"/>
    <cellStyle name="Normal 2 2 2 6 2" xfId="143"/>
    <cellStyle name="Normal 2 2 2 7" xfId="144"/>
    <cellStyle name="Normal 2 2 2 8" xfId="145"/>
    <cellStyle name="Normal 2 2 20" xfId="146"/>
    <cellStyle name="Normal 2 2 21" xfId="147"/>
    <cellStyle name="Normal 2 2 3" xfId="148"/>
    <cellStyle name="Normal 2 2 3 2" xfId="149"/>
    <cellStyle name="Normal 2 2 4" xfId="150"/>
    <cellStyle name="Normal 2 2 4 2" xfId="151"/>
    <cellStyle name="Normal 2 2 5" xfId="152"/>
    <cellStyle name="Normal 2 2 5 2" xfId="153"/>
    <cellStyle name="Normal 2 2 6" xfId="154"/>
    <cellStyle name="Normal 2 2 6 2" xfId="155"/>
    <cellStyle name="Normal 2 2 7" xfId="156"/>
    <cellStyle name="Normal 2 2 7 2" xfId="157"/>
    <cellStyle name="Normal 2 2 8" xfId="158"/>
    <cellStyle name="Normal 2 2 8 2" xfId="159"/>
    <cellStyle name="Normal 2 2 9" xfId="160"/>
    <cellStyle name="Normal 2 2 9 2" xfId="161"/>
    <cellStyle name="Normal 2 3" xfId="162"/>
    <cellStyle name="Normal 2 3 10" xfId="163"/>
    <cellStyle name="Normal 2 3 11" xfId="164"/>
    <cellStyle name="Normal 2 3 12" xfId="165"/>
    <cellStyle name="Normal 2 3 13" xfId="166"/>
    <cellStyle name="Normal 2 3 14" xfId="167"/>
    <cellStyle name="Normal 2 3 2" xfId="168"/>
    <cellStyle name="Normal 2 3 2 2" xfId="169"/>
    <cellStyle name="Normal 2 3 3" xfId="170"/>
    <cellStyle name="Normal 2 3 3 2" xfId="171"/>
    <cellStyle name="Normal 2 3 4" xfId="172"/>
    <cellStyle name="Normal 2 3 5" xfId="173"/>
    <cellStyle name="Normal 2 3 6" xfId="174"/>
    <cellStyle name="Normal 2 3 7" xfId="175"/>
    <cellStyle name="Normal 2 3 8" xfId="176"/>
    <cellStyle name="Normal 2 3 9" xfId="177"/>
    <cellStyle name="Normal 2 4" xfId="178"/>
    <cellStyle name="Normal 2 4 10" xfId="179"/>
    <cellStyle name="Normal 2 4 11" xfId="180"/>
    <cellStyle name="Normal 2 4 2" xfId="181"/>
    <cellStyle name="Normal 2 4 2 2" xfId="182"/>
    <cellStyle name="Normal 2 4 3" xfId="183"/>
    <cellStyle name="Normal 2 4 3 2" xfId="184"/>
    <cellStyle name="Normal 2 4 4" xfId="185"/>
    <cellStyle name="Normal 2 4 5" xfId="186"/>
    <cellStyle name="Normal 2 4 6" xfId="187"/>
    <cellStyle name="Normal 2 4 7" xfId="188"/>
    <cellStyle name="Normal 2 4 8" xfId="189"/>
    <cellStyle name="Normal 2 4 9" xfId="190"/>
    <cellStyle name="Normal 2 5" xfId="191"/>
    <cellStyle name="Normal 2 5 10" xfId="192"/>
    <cellStyle name="Normal 2 5 11" xfId="193"/>
    <cellStyle name="Normal 2 5 2" xfId="194"/>
    <cellStyle name="Normal 2 5 2 2" xfId="195"/>
    <cellStyle name="Normal 2 5 3" xfId="196"/>
    <cellStyle name="Normal 2 5 3 2" xfId="197"/>
    <cellStyle name="Normal 2 5 4" xfId="198"/>
    <cellStyle name="Normal 2 5 5" xfId="199"/>
    <cellStyle name="Normal 2 5 6" xfId="200"/>
    <cellStyle name="Normal 2 5 7" xfId="201"/>
    <cellStyle name="Normal 2 5 8" xfId="202"/>
    <cellStyle name="Normal 2 5 9" xfId="203"/>
    <cellStyle name="Normal 2 6" xfId="204"/>
    <cellStyle name="Normal 2 6 10" xfId="205"/>
    <cellStyle name="Normal 2 6 11" xfId="206"/>
    <cellStyle name="Normal 2 6 2" xfId="207"/>
    <cellStyle name="Normal 2 6 2 2" xfId="208"/>
    <cellStyle name="Normal 2 6 3" xfId="209"/>
    <cellStyle name="Normal 2 6 3 2" xfId="210"/>
    <cellStyle name="Normal 2 6 4" xfId="211"/>
    <cellStyle name="Normal 2 6 5" xfId="212"/>
    <cellStyle name="Normal 2 6 6" xfId="213"/>
    <cellStyle name="Normal 2 6 7" xfId="214"/>
    <cellStyle name="Normal 2 6 8" xfId="215"/>
    <cellStyle name="Normal 2 6 9" xfId="216"/>
    <cellStyle name="Normal 2 7" xfId="217"/>
    <cellStyle name="Normal 2 7 10" xfId="218"/>
    <cellStyle name="Normal 2 7 2" xfId="219"/>
    <cellStyle name="Normal 2 7 2 2" xfId="220"/>
    <cellStyle name="Normal 2 7 3" xfId="221"/>
    <cellStyle name="Normal 2 7 3 2" xfId="222"/>
    <cellStyle name="Normal 2 7 4" xfId="223"/>
    <cellStyle name="Normal 2 7 4 2" xfId="224"/>
    <cellStyle name="Normal 2 7 5" xfId="225"/>
    <cellStyle name="Normal 2 7 5 2" xfId="226"/>
    <cellStyle name="Normal 2 7 6" xfId="227"/>
    <cellStyle name="Normal 2 7 6 2" xfId="228"/>
    <cellStyle name="Normal 2 7 7" xfId="229"/>
    <cellStyle name="Normal 2 7 7 2" xfId="230"/>
    <cellStyle name="Normal 2 7 8" xfId="231"/>
    <cellStyle name="Normal 2 7 8 2" xfId="232"/>
    <cellStyle name="Normal 2 7 9" xfId="233"/>
    <cellStyle name="Normal 2 8" xfId="234"/>
    <cellStyle name="Normal 2 8 10" xfId="235"/>
    <cellStyle name="Normal 2 8 2" xfId="236"/>
    <cellStyle name="Normal 2 8 2 2" xfId="237"/>
    <cellStyle name="Normal 2 8 3" xfId="238"/>
    <cellStyle name="Normal 2 8 3 2" xfId="239"/>
    <cellStyle name="Normal 2 8 4" xfId="240"/>
    <cellStyle name="Normal 2 8 4 2" xfId="241"/>
    <cellStyle name="Normal 2 8 5" xfId="242"/>
    <cellStyle name="Normal 2 8 5 2" xfId="243"/>
    <cellStyle name="Normal 2 8 6" xfId="244"/>
    <cellStyle name="Normal 2 8 6 2" xfId="245"/>
    <cellStyle name="Normal 2 8 7" xfId="246"/>
    <cellStyle name="Normal 2 8 7 2" xfId="247"/>
    <cellStyle name="Normal 2 8 8" xfId="248"/>
    <cellStyle name="Normal 2 8 8 2" xfId="249"/>
    <cellStyle name="Normal 2 8 9" xfId="250"/>
    <cellStyle name="Normal 2 9" xfId="251"/>
    <cellStyle name="Normal 2 9 10" xfId="252"/>
    <cellStyle name="Normal 2 9 2" xfId="253"/>
    <cellStyle name="Normal 2 9 2 2" xfId="254"/>
    <cellStyle name="Normal 2 9 3" xfId="255"/>
    <cellStyle name="Normal 2 9 3 2" xfId="256"/>
    <cellStyle name="Normal 2 9 4" xfId="257"/>
    <cellStyle name="Normal 2 9 4 2" xfId="258"/>
    <cellStyle name="Normal 2 9 5" xfId="259"/>
    <cellStyle name="Normal 2 9 5 2" xfId="260"/>
    <cellStyle name="Normal 2 9 6" xfId="261"/>
    <cellStyle name="Normal 2 9 6 2" xfId="262"/>
    <cellStyle name="Normal 2 9 7" xfId="263"/>
    <cellStyle name="Normal 2 9 7 2" xfId="264"/>
    <cellStyle name="Normal 2 9 8" xfId="265"/>
    <cellStyle name="Normal 2 9 8 2" xfId="266"/>
    <cellStyle name="Normal 2 9 9" xfId="267"/>
    <cellStyle name="Normal 20" xfId="268"/>
    <cellStyle name="Normal 20 2" xfId="269"/>
    <cellStyle name="Normal 20 3" xfId="270"/>
    <cellStyle name="Normal 21" xfId="271"/>
    <cellStyle name="Normal 22" xfId="272"/>
    <cellStyle name="Normal 22 2" xfId="273"/>
    <cellStyle name="Normal 22 3" xfId="274"/>
    <cellStyle name="Normal 23" xfId="275"/>
    <cellStyle name="Normal 23 2" xfId="276"/>
    <cellStyle name="Normal 23 3" xfId="277"/>
    <cellStyle name="Normal 24" xfId="278"/>
    <cellStyle name="Normal 24 2" xfId="279"/>
    <cellStyle name="Normal 24 3" xfId="280"/>
    <cellStyle name="Normal 25" xfId="281"/>
    <cellStyle name="Normal 25 2" xfId="282"/>
    <cellStyle name="Normal 25 3" xfId="283"/>
    <cellStyle name="Normal 26" xfId="284"/>
    <cellStyle name="Normal 3" xfId="285"/>
    <cellStyle name="Normal 3 2" xfId="286"/>
    <cellStyle name="Normal 3 3" xfId="287"/>
    <cellStyle name="Normal 3 4" xfId="288"/>
    <cellStyle name="Normal 3 5" xfId="289"/>
    <cellStyle name="Normal 3 6" xfId="290"/>
    <cellStyle name="Normal 3 7" xfId="291"/>
    <cellStyle name="Normal 4" xfId="292"/>
    <cellStyle name="Normal 4 2" xfId="293"/>
    <cellStyle name="Normal 5 2" xfId="294"/>
    <cellStyle name="Normal 5 3" xfId="295"/>
    <cellStyle name="Normal 6" xfId="296"/>
    <cellStyle name="Normal 6 2" xfId="297"/>
    <cellStyle name="Normal 7 2" xfId="298"/>
    <cellStyle name="Normal 7 3" xfId="299"/>
    <cellStyle name="Normal 7 4" xfId="300"/>
    <cellStyle name="Normal 8 2" xfId="301"/>
    <cellStyle name="Normal 9 2" xfId="302"/>
    <cellStyle name="Normal 9 3" xfId="303"/>
    <cellStyle name="Normal 9 4" xfId="304"/>
    <cellStyle name="Normal_debt" xfId="305"/>
    <cellStyle name="Normal_lpform" xfId="306"/>
  </cellStyles>
  <dxfs count="12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2"/>
  <sheetViews>
    <sheetView tabSelected="1" zoomScale="80" workbookViewId="0">
      <selection activeCell="J13" sqref="J13"/>
    </sheetView>
  </sheetViews>
  <sheetFormatPr defaultRowHeight="15.75"/>
  <cols>
    <col min="1" max="1" width="75.77734375" style="8" customWidth="1"/>
    <col min="2" max="16384" width="8.88671875" style="8"/>
  </cols>
  <sheetData>
    <row r="1" spans="1:1">
      <c r="A1" s="7" t="s">
        <v>247</v>
      </c>
    </row>
    <row r="3" spans="1:1" ht="34.5" customHeight="1">
      <c r="A3" s="9" t="s">
        <v>234</v>
      </c>
    </row>
    <row r="4" spans="1:1">
      <c r="A4" s="10"/>
    </row>
    <row r="5" spans="1:1" ht="85.5" customHeight="1">
      <c r="A5" s="11" t="s">
        <v>270</v>
      </c>
    </row>
    <row r="6" spans="1:1">
      <c r="A6" s="11"/>
    </row>
    <row r="7" spans="1:1" ht="55.5" customHeight="1">
      <c r="A7" s="11" t="s">
        <v>876</v>
      </c>
    </row>
    <row r="8" spans="1:1">
      <c r="A8" s="11"/>
    </row>
    <row r="9" spans="1:1">
      <c r="A9" s="7" t="s">
        <v>273</v>
      </c>
    </row>
    <row r="10" spans="1:1">
      <c r="A10" s="7"/>
    </row>
    <row r="11" spans="1:1">
      <c r="A11" s="10" t="s">
        <v>275</v>
      </c>
    </row>
    <row r="13" spans="1:1" ht="38.25" customHeight="1">
      <c r="A13" s="12" t="s">
        <v>641</v>
      </c>
    </row>
    <row r="14" spans="1:1" ht="14.25" customHeight="1">
      <c r="A14" s="12"/>
    </row>
    <row r="16" spans="1:1">
      <c r="A16" s="7" t="s">
        <v>328</v>
      </c>
    </row>
    <row r="18" spans="1:1" ht="34.5" customHeight="1">
      <c r="A18" s="11" t="s">
        <v>274</v>
      </c>
    </row>
    <row r="19" spans="1:1" ht="12" customHeight="1">
      <c r="A19" s="11"/>
    </row>
    <row r="20" spans="1:1" ht="16.5" customHeight="1">
      <c r="A20" s="13" t="s">
        <v>232</v>
      </c>
    </row>
    <row r="21" spans="1:1" ht="9.75" customHeight="1">
      <c r="A21" s="14"/>
    </row>
    <row r="22" spans="1:1">
      <c r="A22" s="15" t="s">
        <v>246</v>
      </c>
    </row>
    <row r="23" spans="1:1">
      <c r="A23" s="16"/>
    </row>
    <row r="24" spans="1:1" ht="85.5" customHeight="1">
      <c r="A24" s="17" t="s">
        <v>257</v>
      </c>
    </row>
    <row r="25" spans="1:1" ht="19.5" customHeight="1">
      <c r="A25" s="11"/>
    </row>
    <row r="26" spans="1:1" ht="19.5" customHeight="1">
      <c r="A26" s="18" t="s">
        <v>233</v>
      </c>
    </row>
    <row r="28" spans="1:1">
      <c r="A28" s="19" t="s">
        <v>271</v>
      </c>
    </row>
    <row r="30" spans="1:1" ht="20.25" customHeight="1">
      <c r="A30" s="11" t="s">
        <v>272</v>
      </c>
    </row>
    <row r="32" spans="1:1">
      <c r="A32" s="7" t="s">
        <v>83</v>
      </c>
    </row>
    <row r="34" spans="1:1" ht="69" customHeight="1">
      <c r="A34" s="11" t="s">
        <v>745</v>
      </c>
    </row>
    <row r="35" spans="1:1" ht="38.25" customHeight="1">
      <c r="A35" s="11" t="s">
        <v>258</v>
      </c>
    </row>
    <row r="36" spans="1:1" ht="51" customHeight="1">
      <c r="A36" s="20" t="s">
        <v>235</v>
      </c>
    </row>
    <row r="37" spans="1:1" ht="11.25" customHeight="1"/>
    <row r="38" spans="1:1" ht="80.25" customHeight="1">
      <c r="A38" s="11" t="s">
        <v>746</v>
      </c>
    </row>
    <row r="39" spans="1:1" ht="67.5" customHeight="1">
      <c r="A39" s="11" t="s">
        <v>304</v>
      </c>
    </row>
    <row r="40" spans="1:1" ht="103.5" customHeight="1">
      <c r="A40" s="11" t="s">
        <v>305</v>
      </c>
    </row>
    <row r="41" spans="1:1" ht="12.75" customHeight="1"/>
    <row r="42" spans="1:1" ht="74.099999999999994" customHeight="1">
      <c r="A42" s="715" t="s">
        <v>877</v>
      </c>
    </row>
    <row r="43" spans="1:1" ht="69.95" customHeight="1">
      <c r="A43" s="340" t="s">
        <v>599</v>
      </c>
    </row>
    <row r="44" spans="1:1" ht="69.95" customHeight="1">
      <c r="A44" s="716" t="s">
        <v>878</v>
      </c>
    </row>
    <row r="45" spans="1:1" ht="12.75" customHeight="1"/>
    <row r="46" spans="1:1" ht="67.5" customHeight="1">
      <c r="A46" s="11" t="s">
        <v>600</v>
      </c>
    </row>
    <row r="47" spans="1:1" ht="37.5" customHeight="1">
      <c r="A47" s="11" t="s">
        <v>601</v>
      </c>
    </row>
    <row r="48" spans="1:1" ht="72.75" customHeight="1">
      <c r="A48" s="11" t="s">
        <v>602</v>
      </c>
    </row>
    <row r="49" spans="1:1" ht="108" customHeight="1">
      <c r="A49" s="717" t="s">
        <v>914</v>
      </c>
    </row>
    <row r="50" spans="1:1" ht="13.5" customHeight="1">
      <c r="A50" s="11"/>
    </row>
    <row r="51" spans="1:1" ht="70.5" customHeight="1">
      <c r="A51" s="11" t="s">
        <v>603</v>
      </c>
    </row>
    <row r="52" spans="1:1" ht="126" customHeight="1">
      <c r="A52" s="11" t="s">
        <v>604</v>
      </c>
    </row>
    <row r="53" spans="1:1" ht="35.25" customHeight="1">
      <c r="A53" s="11" t="s">
        <v>605</v>
      </c>
    </row>
    <row r="54" spans="1:1" ht="15.75" customHeight="1">
      <c r="A54" s="11"/>
    </row>
    <row r="55" spans="1:1" ht="83.25" customHeight="1">
      <c r="A55" s="717" t="s">
        <v>879</v>
      </c>
    </row>
    <row r="56" spans="1:1" ht="12.75" customHeight="1"/>
    <row r="57" spans="1:1" ht="71.25" customHeight="1">
      <c r="A57" s="11" t="s">
        <v>606</v>
      </c>
    </row>
    <row r="58" spans="1:1" ht="45" customHeight="1">
      <c r="A58" s="11" t="s">
        <v>612</v>
      </c>
    </row>
    <row r="59" spans="1:1" ht="97.5" customHeight="1">
      <c r="A59" s="11" t="s">
        <v>642</v>
      </c>
    </row>
    <row r="60" spans="1:1" ht="42.75" customHeight="1">
      <c r="A60" s="323" t="s">
        <v>613</v>
      </c>
    </row>
    <row r="61" spans="1:1" ht="14.25" customHeight="1"/>
    <row r="62" spans="1:1" s="11" customFormat="1" ht="58.5" customHeight="1">
      <c r="A62" s="11" t="s">
        <v>607</v>
      </c>
    </row>
    <row r="64" spans="1:1" ht="69" customHeight="1">
      <c r="A64" s="11" t="s">
        <v>608</v>
      </c>
    </row>
    <row r="65" spans="1:1" ht="15.75" customHeight="1">
      <c r="A65" s="11"/>
    </row>
    <row r="66" spans="1:1" ht="167.25" customHeight="1">
      <c r="A66" s="717" t="s">
        <v>880</v>
      </c>
    </row>
    <row r="67" spans="1:1" ht="11.25" customHeight="1"/>
    <row r="68" spans="1:1" ht="104.25" customHeight="1">
      <c r="A68" s="11" t="s">
        <v>881</v>
      </c>
    </row>
    <row r="69" spans="1:1" ht="72.75" customHeight="1">
      <c r="A69" s="717" t="s">
        <v>905</v>
      </c>
    </row>
    <row r="70" spans="1:1" ht="117" customHeight="1">
      <c r="A70" s="718" t="s">
        <v>882</v>
      </c>
    </row>
    <row r="71" spans="1:1" ht="93" customHeight="1">
      <c r="A71" s="718" t="s">
        <v>883</v>
      </c>
    </row>
    <row r="72" spans="1:1" ht="104.25" customHeight="1">
      <c r="A72" s="718" t="s">
        <v>884</v>
      </c>
    </row>
    <row r="73" spans="1:1" ht="77.25" customHeight="1">
      <c r="A73" s="11" t="s">
        <v>885</v>
      </c>
    </row>
    <row r="74" spans="1:1" ht="112.5" customHeight="1">
      <c r="A74" s="717" t="s">
        <v>886</v>
      </c>
    </row>
    <row r="75" spans="1:1" ht="138" customHeight="1">
      <c r="A75" s="11" t="s">
        <v>887</v>
      </c>
    </row>
    <row r="76" spans="1:1" ht="81" customHeight="1">
      <c r="A76" s="11" t="s">
        <v>888</v>
      </c>
    </row>
    <row r="77" spans="1:1" ht="78.75" customHeight="1">
      <c r="A77" s="11" t="s">
        <v>889</v>
      </c>
    </row>
    <row r="78" spans="1:1" ht="99.75" customHeight="1">
      <c r="A78" s="11" t="s">
        <v>890</v>
      </c>
    </row>
    <row r="79" spans="1:1" ht="57" customHeight="1">
      <c r="A79" s="11" t="s">
        <v>891</v>
      </c>
    </row>
    <row r="80" spans="1:1" ht="111" customHeight="1">
      <c r="A80" s="11" t="s">
        <v>892</v>
      </c>
    </row>
    <row r="81" spans="1:1" ht="111.75" customHeight="1">
      <c r="A81" s="487" t="s">
        <v>893</v>
      </c>
    </row>
    <row r="82" spans="1:1" ht="110.25" customHeight="1">
      <c r="A82" s="488" t="s">
        <v>894</v>
      </c>
    </row>
    <row r="83" spans="1:1" ht="51.75" customHeight="1">
      <c r="A83" s="489" t="s">
        <v>895</v>
      </c>
    </row>
    <row r="84" spans="1:1" ht="78.75" customHeight="1">
      <c r="A84" s="717" t="s">
        <v>896</v>
      </c>
    </row>
    <row r="85" spans="1:1" ht="78.75" customHeight="1">
      <c r="A85" s="717" t="s">
        <v>907</v>
      </c>
    </row>
    <row r="86" spans="1:1" ht="46.5" customHeight="1">
      <c r="A86" s="719" t="s">
        <v>908</v>
      </c>
    </row>
    <row r="87" spans="1:1" ht="53.25" customHeight="1">
      <c r="A87" s="718" t="s">
        <v>909</v>
      </c>
    </row>
    <row r="88" spans="1:1" ht="125.25" customHeight="1">
      <c r="A88" s="718" t="s">
        <v>910</v>
      </c>
    </row>
    <row r="89" spans="1:1" ht="149.25" customHeight="1">
      <c r="A89" s="718" t="s">
        <v>911</v>
      </c>
    </row>
    <row r="90" spans="1:1" ht="87" customHeight="1">
      <c r="A90" s="720" t="s">
        <v>912</v>
      </c>
    </row>
    <row r="91" spans="1:1" ht="84" customHeight="1">
      <c r="A91" s="721" t="s">
        <v>913</v>
      </c>
    </row>
    <row r="92" spans="1:1" ht="30.75" customHeight="1"/>
    <row r="93" spans="1:1" ht="162" customHeight="1">
      <c r="A93" s="11" t="s">
        <v>897</v>
      </c>
    </row>
    <row r="94" spans="1:1" ht="159.75" customHeight="1">
      <c r="A94" s="11" t="s">
        <v>898</v>
      </c>
    </row>
    <row r="95" spans="1:1" ht="45" customHeight="1">
      <c r="A95" s="11" t="s">
        <v>899</v>
      </c>
    </row>
    <row r="96" spans="1:1" ht="45" customHeight="1">
      <c r="A96" s="11" t="s">
        <v>900</v>
      </c>
    </row>
    <row r="97" spans="1:1" ht="15" customHeight="1"/>
    <row r="98" spans="1:1" ht="72" customHeight="1">
      <c r="A98" s="717" t="s">
        <v>901</v>
      </c>
    </row>
    <row r="99" spans="1:1">
      <c r="A99" s="722"/>
    </row>
    <row r="100" spans="1:1" ht="54" customHeight="1">
      <c r="A100" s="718" t="s">
        <v>902</v>
      </c>
    </row>
    <row r="101" spans="1:1" ht="101.25" customHeight="1">
      <c r="A101" s="718" t="s">
        <v>903</v>
      </c>
    </row>
    <row r="102" spans="1:1" ht="131.25" customHeight="1">
      <c r="A102" s="718" t="s">
        <v>904</v>
      </c>
    </row>
  </sheetData>
  <sheetProtection sheet="1"/>
  <phoneticPr fontId="0" type="noConversion"/>
  <pageMargins left="0.5" right="0.5" top="0.5" bottom="0.5" header="0.5" footer="0.25"/>
  <pageSetup scale="90"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8"/>
  <sheetViews>
    <sheetView zoomScale="75" workbookViewId="0">
      <selection activeCell="M36" sqref="M36"/>
    </sheetView>
  </sheetViews>
  <sheetFormatPr defaultRowHeight="15.75"/>
  <cols>
    <col min="1" max="1" width="4.5546875" style="23" customWidth="1"/>
    <col min="2" max="2" width="20.77734375" style="23" customWidth="1"/>
    <col min="3" max="3" width="9.33203125" style="23" customWidth="1"/>
    <col min="4" max="4" width="9.109375" style="23" customWidth="1"/>
    <col min="5" max="5" width="8.77734375" style="23" customWidth="1"/>
    <col min="6" max="6" width="12.6640625" style="23" customWidth="1"/>
    <col min="7" max="7" width="13.6640625" style="23" customWidth="1"/>
    <col min="8" max="9" width="9.33203125" style="23" customWidth="1"/>
    <col min="10" max="13" width="9.77734375" style="23" customWidth="1"/>
    <col min="14" max="16384" width="8.88671875" style="23"/>
  </cols>
  <sheetData>
    <row r="1" spans="2:13" ht="18.75" customHeight="1">
      <c r="B1" s="151" t="str">
        <f>inputPrYr!$D$2</f>
        <v>City of Grandview Plaza, Kansas</v>
      </c>
      <c r="C1" s="22"/>
      <c r="D1" s="22"/>
      <c r="E1" s="22"/>
      <c r="F1" s="22"/>
      <c r="G1" s="22"/>
      <c r="H1" s="22"/>
      <c r="I1" s="22"/>
      <c r="J1" s="22"/>
      <c r="K1" s="22"/>
      <c r="L1" s="22"/>
      <c r="M1" s="185">
        <f>inputPrYr!$C$5</f>
        <v>2014</v>
      </c>
    </row>
    <row r="2" spans="2:13">
      <c r="B2" s="151"/>
      <c r="C2" s="22"/>
      <c r="D2" s="22"/>
      <c r="E2" s="22"/>
      <c r="F2" s="22"/>
      <c r="G2" s="22"/>
      <c r="H2" s="22"/>
      <c r="I2" s="22"/>
      <c r="J2" s="22"/>
      <c r="K2" s="22"/>
      <c r="L2" s="22"/>
      <c r="M2" s="147"/>
    </row>
    <row r="3" spans="2:13">
      <c r="B3" s="186" t="s">
        <v>91</v>
      </c>
      <c r="C3" s="33"/>
      <c r="D3" s="33"/>
      <c r="E3" s="33"/>
      <c r="F3" s="33"/>
      <c r="G3" s="33"/>
      <c r="H3" s="33"/>
      <c r="I3" s="33"/>
      <c r="J3" s="33"/>
      <c r="K3" s="33"/>
      <c r="L3" s="33"/>
      <c r="M3" s="33"/>
    </row>
    <row r="4" spans="2:13">
      <c r="B4" s="22"/>
      <c r="C4" s="187"/>
      <c r="D4" s="187"/>
      <c r="E4" s="187"/>
      <c r="F4" s="187"/>
      <c r="G4" s="187"/>
      <c r="H4" s="187"/>
      <c r="I4" s="187"/>
      <c r="J4" s="187"/>
      <c r="K4" s="187"/>
      <c r="L4" s="187"/>
      <c r="M4" s="187"/>
    </row>
    <row r="5" spans="2:13">
      <c r="B5" s="133"/>
      <c r="C5" s="166" t="s">
        <v>59</v>
      </c>
      <c r="D5" s="166" t="s">
        <v>59</v>
      </c>
      <c r="E5" s="166" t="s">
        <v>73</v>
      </c>
      <c r="F5" s="166"/>
      <c r="G5" s="166" t="s">
        <v>195</v>
      </c>
      <c r="H5" s="22"/>
      <c r="I5" s="22"/>
      <c r="J5" s="188" t="s">
        <v>60</v>
      </c>
      <c r="K5" s="189"/>
      <c r="L5" s="188" t="s">
        <v>60</v>
      </c>
      <c r="M5" s="189"/>
    </row>
    <row r="6" spans="2:13">
      <c r="B6" s="127" t="s">
        <v>815</v>
      </c>
      <c r="C6" s="127" t="s">
        <v>61</v>
      </c>
      <c r="D6" s="127" t="s">
        <v>196</v>
      </c>
      <c r="E6" s="127" t="s">
        <v>62</v>
      </c>
      <c r="F6" s="127" t="s">
        <v>17</v>
      </c>
      <c r="G6" s="127" t="s">
        <v>197</v>
      </c>
      <c r="H6" s="757" t="s">
        <v>63</v>
      </c>
      <c r="I6" s="758"/>
      <c r="J6" s="759">
        <f>M1-1</f>
        <v>2013</v>
      </c>
      <c r="K6" s="760"/>
      <c r="L6" s="759">
        <f>M1</f>
        <v>2014</v>
      </c>
      <c r="M6" s="760"/>
    </row>
    <row r="7" spans="2:13">
      <c r="B7" s="130" t="s">
        <v>816</v>
      </c>
      <c r="C7" s="130" t="s">
        <v>64</v>
      </c>
      <c r="D7" s="130" t="s">
        <v>198</v>
      </c>
      <c r="E7" s="130" t="s">
        <v>39</v>
      </c>
      <c r="F7" s="130" t="s">
        <v>65</v>
      </c>
      <c r="G7" s="190" t="str">
        <f>CONCATENATE("Jan 1,",M1-1,"")</f>
        <v>Jan 1,2013</v>
      </c>
      <c r="H7" s="137" t="s">
        <v>73</v>
      </c>
      <c r="I7" s="137" t="s">
        <v>75</v>
      </c>
      <c r="J7" s="137" t="s">
        <v>73</v>
      </c>
      <c r="K7" s="137" t="s">
        <v>75</v>
      </c>
      <c r="L7" s="137" t="s">
        <v>73</v>
      </c>
      <c r="M7" s="137" t="s">
        <v>75</v>
      </c>
    </row>
    <row r="8" spans="2:13">
      <c r="B8" s="191" t="s">
        <v>66</v>
      </c>
      <c r="C8" s="48"/>
      <c r="D8" s="48"/>
      <c r="E8" s="192"/>
      <c r="F8" s="193"/>
      <c r="G8" s="193"/>
      <c r="H8" s="48"/>
      <c r="I8" s="48"/>
      <c r="J8" s="193"/>
      <c r="K8" s="193"/>
      <c r="L8" s="193"/>
      <c r="M8" s="193"/>
    </row>
    <row r="9" spans="2:13">
      <c r="B9" s="53" t="s">
        <v>1000</v>
      </c>
      <c r="C9" s="346">
        <v>39569</v>
      </c>
      <c r="D9" s="346">
        <v>45139</v>
      </c>
      <c r="E9" s="194" t="s">
        <v>1001</v>
      </c>
      <c r="F9" s="195">
        <v>460000</v>
      </c>
      <c r="G9" s="196">
        <v>395000</v>
      </c>
      <c r="H9" s="197" t="s">
        <v>1002</v>
      </c>
      <c r="I9" s="197">
        <v>41122</v>
      </c>
      <c r="J9" s="196">
        <v>15543</v>
      </c>
      <c r="K9" s="196">
        <v>25000</v>
      </c>
      <c r="L9" s="196">
        <v>14418</v>
      </c>
      <c r="M9" s="196">
        <v>25000</v>
      </c>
    </row>
    <row r="10" spans="2:13">
      <c r="B10" s="53"/>
      <c r="C10" s="346"/>
      <c r="D10" s="346"/>
      <c r="E10" s="194"/>
      <c r="F10" s="195"/>
      <c r="G10" s="196"/>
      <c r="H10" s="197"/>
      <c r="I10" s="197"/>
      <c r="J10" s="196"/>
      <c r="K10" s="196"/>
      <c r="L10" s="196"/>
      <c r="M10" s="196"/>
    </row>
    <row r="11" spans="2:13">
      <c r="B11" s="53"/>
      <c r="C11" s="346"/>
      <c r="D11" s="346"/>
      <c r="E11" s="194"/>
      <c r="F11" s="195"/>
      <c r="G11" s="196"/>
      <c r="H11" s="197"/>
      <c r="I11" s="197"/>
      <c r="J11" s="196"/>
      <c r="K11" s="196"/>
      <c r="L11" s="196"/>
      <c r="M11" s="196"/>
    </row>
    <row r="12" spans="2:13">
      <c r="B12" s="53"/>
      <c r="C12" s="346"/>
      <c r="D12" s="346"/>
      <c r="E12" s="194"/>
      <c r="F12" s="195"/>
      <c r="G12" s="196"/>
      <c r="H12" s="197"/>
      <c r="I12" s="197"/>
      <c r="J12" s="196"/>
      <c r="K12" s="196"/>
      <c r="L12" s="196"/>
      <c r="M12" s="196"/>
    </row>
    <row r="13" spans="2:13">
      <c r="B13" s="53"/>
      <c r="C13" s="346"/>
      <c r="D13" s="346"/>
      <c r="E13" s="194"/>
      <c r="F13" s="195"/>
      <c r="G13" s="196"/>
      <c r="H13" s="197"/>
      <c r="I13" s="197"/>
      <c r="J13" s="196"/>
      <c r="K13" s="196"/>
      <c r="L13" s="196"/>
      <c r="M13" s="196"/>
    </row>
    <row r="14" spans="2:13">
      <c r="B14" s="53"/>
      <c r="C14" s="346"/>
      <c r="D14" s="346"/>
      <c r="E14" s="194"/>
      <c r="F14" s="195"/>
      <c r="G14" s="196"/>
      <c r="H14" s="197"/>
      <c r="I14" s="197"/>
      <c r="J14" s="196"/>
      <c r="K14" s="196"/>
      <c r="L14" s="196"/>
      <c r="M14" s="196"/>
    </row>
    <row r="15" spans="2:13">
      <c r="B15" s="53"/>
      <c r="C15" s="346"/>
      <c r="D15" s="346"/>
      <c r="E15" s="194"/>
      <c r="F15" s="195"/>
      <c r="G15" s="196"/>
      <c r="H15" s="197"/>
      <c r="I15" s="197"/>
      <c r="J15" s="196"/>
      <c r="K15" s="196"/>
      <c r="L15" s="196"/>
      <c r="M15" s="196"/>
    </row>
    <row r="16" spans="2:13">
      <c r="B16" s="53"/>
      <c r="C16" s="346"/>
      <c r="D16" s="346"/>
      <c r="E16" s="194"/>
      <c r="F16" s="195"/>
      <c r="G16" s="196"/>
      <c r="H16" s="197"/>
      <c r="I16" s="197"/>
      <c r="J16" s="196"/>
      <c r="K16" s="196"/>
      <c r="L16" s="196"/>
      <c r="M16" s="196"/>
    </row>
    <row r="17" spans="2:13">
      <c r="B17" s="53"/>
      <c r="C17" s="346"/>
      <c r="D17" s="346"/>
      <c r="E17" s="194"/>
      <c r="F17" s="195"/>
      <c r="G17" s="196"/>
      <c r="H17" s="197"/>
      <c r="I17" s="197"/>
      <c r="J17" s="196"/>
      <c r="K17" s="196"/>
      <c r="L17" s="196"/>
      <c r="M17" s="196"/>
    </row>
    <row r="18" spans="2:13">
      <c r="B18" s="53"/>
      <c r="C18" s="346"/>
      <c r="D18" s="346"/>
      <c r="E18" s="194"/>
      <c r="F18" s="195"/>
      <c r="G18" s="196"/>
      <c r="H18" s="197"/>
      <c r="I18" s="197"/>
      <c r="J18" s="196"/>
      <c r="K18" s="196"/>
      <c r="L18" s="196"/>
      <c r="M18" s="196"/>
    </row>
    <row r="19" spans="2:13">
      <c r="B19" s="53"/>
      <c r="C19" s="346"/>
      <c r="D19" s="346"/>
      <c r="E19" s="194"/>
      <c r="F19" s="195"/>
      <c r="G19" s="196"/>
      <c r="H19" s="197"/>
      <c r="I19" s="197"/>
      <c r="J19" s="196"/>
      <c r="K19" s="196"/>
      <c r="L19" s="196"/>
      <c r="M19" s="196"/>
    </row>
    <row r="20" spans="2:13">
      <c r="B20" s="198" t="s">
        <v>67</v>
      </c>
      <c r="C20" s="199"/>
      <c r="D20" s="199"/>
      <c r="E20" s="200"/>
      <c r="F20" s="201"/>
      <c r="G20" s="202">
        <f>SUM(G9:G19)</f>
        <v>395000</v>
      </c>
      <c r="H20" s="203"/>
      <c r="I20" s="203"/>
      <c r="J20" s="202">
        <f>SUM(J9:J19)</f>
        <v>15543</v>
      </c>
      <c r="K20" s="202">
        <f>SUM(K9:K19)</f>
        <v>25000</v>
      </c>
      <c r="L20" s="202">
        <f>SUM(L9:L19)</f>
        <v>14418</v>
      </c>
      <c r="M20" s="202">
        <f>SUM(M9:M19)</f>
        <v>25000</v>
      </c>
    </row>
    <row r="21" spans="2:13">
      <c r="B21" s="191" t="s">
        <v>68</v>
      </c>
      <c r="C21" s="204"/>
      <c r="D21" s="204"/>
      <c r="E21" s="205"/>
      <c r="F21" s="183"/>
      <c r="G21" s="183"/>
      <c r="H21" s="206"/>
      <c r="I21" s="206"/>
      <c r="J21" s="183"/>
      <c r="K21" s="183"/>
      <c r="L21" s="183"/>
      <c r="M21" s="183"/>
    </row>
    <row r="22" spans="2:13">
      <c r="B22" s="53"/>
      <c r="C22" s="346"/>
      <c r="D22" s="346"/>
      <c r="E22" s="194"/>
      <c r="F22" s="195"/>
      <c r="G22" s="196"/>
      <c r="H22" s="197"/>
      <c r="I22" s="197"/>
      <c r="J22" s="196"/>
      <c r="K22" s="196"/>
      <c r="L22" s="196"/>
      <c r="M22" s="196"/>
    </row>
    <row r="23" spans="2:13">
      <c r="B23" s="53"/>
      <c r="C23" s="346"/>
      <c r="D23" s="346"/>
      <c r="E23" s="194"/>
      <c r="F23" s="195"/>
      <c r="G23" s="196"/>
      <c r="H23" s="197"/>
      <c r="I23" s="197"/>
      <c r="J23" s="196"/>
      <c r="K23" s="196"/>
      <c r="L23" s="196"/>
      <c r="M23" s="196"/>
    </row>
    <row r="24" spans="2:13">
      <c r="B24" s="53"/>
      <c r="C24" s="346"/>
      <c r="D24" s="346"/>
      <c r="E24" s="194"/>
      <c r="F24" s="195"/>
      <c r="G24" s="196"/>
      <c r="H24" s="197"/>
      <c r="I24" s="197"/>
      <c r="J24" s="196"/>
      <c r="K24" s="196"/>
      <c r="L24" s="196"/>
      <c r="M24" s="196"/>
    </row>
    <row r="25" spans="2:13">
      <c r="B25" s="53"/>
      <c r="C25" s="346"/>
      <c r="D25" s="346"/>
      <c r="E25" s="194"/>
      <c r="F25" s="195"/>
      <c r="G25" s="196"/>
      <c r="H25" s="197"/>
      <c r="I25" s="197"/>
      <c r="J25" s="196"/>
      <c r="K25" s="196"/>
      <c r="L25" s="196"/>
      <c r="M25" s="196"/>
    </row>
    <row r="26" spans="2:13">
      <c r="B26" s="53"/>
      <c r="C26" s="346"/>
      <c r="D26" s="346"/>
      <c r="E26" s="194"/>
      <c r="F26" s="195"/>
      <c r="G26" s="196"/>
      <c r="H26" s="197"/>
      <c r="I26" s="197"/>
      <c r="J26" s="196"/>
      <c r="K26" s="196"/>
      <c r="L26" s="196"/>
      <c r="M26" s="196"/>
    </row>
    <row r="27" spans="2:13">
      <c r="B27" s="53"/>
      <c r="C27" s="346"/>
      <c r="D27" s="346"/>
      <c r="E27" s="194"/>
      <c r="F27" s="195"/>
      <c r="G27" s="196"/>
      <c r="H27" s="197"/>
      <c r="I27" s="197"/>
      <c r="J27" s="196"/>
      <c r="K27" s="196"/>
      <c r="L27" s="196"/>
      <c r="M27" s="196"/>
    </row>
    <row r="28" spans="2:13">
      <c r="B28" s="53"/>
      <c r="C28" s="346"/>
      <c r="D28" s="346"/>
      <c r="E28" s="194"/>
      <c r="F28" s="195"/>
      <c r="G28" s="196"/>
      <c r="H28" s="197"/>
      <c r="I28" s="197"/>
      <c r="J28" s="196"/>
      <c r="K28" s="196"/>
      <c r="L28" s="196"/>
      <c r="M28" s="196"/>
    </row>
    <row r="29" spans="2:13">
      <c r="B29" s="53"/>
      <c r="C29" s="346"/>
      <c r="D29" s="346"/>
      <c r="E29" s="194"/>
      <c r="F29" s="195"/>
      <c r="G29" s="196"/>
      <c r="H29" s="197"/>
      <c r="I29" s="197"/>
      <c r="J29" s="196"/>
      <c r="K29" s="196"/>
      <c r="L29" s="196"/>
      <c r="M29" s="196"/>
    </row>
    <row r="30" spans="2:13">
      <c r="B30" s="53"/>
      <c r="C30" s="346"/>
      <c r="D30" s="346"/>
      <c r="E30" s="194"/>
      <c r="F30" s="195"/>
      <c r="G30" s="196"/>
      <c r="H30" s="197"/>
      <c r="I30" s="197"/>
      <c r="J30" s="196"/>
      <c r="K30" s="196"/>
      <c r="L30" s="196"/>
      <c r="M30" s="196"/>
    </row>
    <row r="31" spans="2:13">
      <c r="B31" s="53"/>
      <c r="C31" s="346"/>
      <c r="D31" s="346"/>
      <c r="E31" s="194"/>
      <c r="F31" s="195"/>
      <c r="G31" s="196"/>
      <c r="H31" s="197"/>
      <c r="I31" s="197"/>
      <c r="J31" s="196"/>
      <c r="K31" s="196"/>
      <c r="L31" s="196"/>
      <c r="M31" s="196"/>
    </row>
    <row r="32" spans="2:13">
      <c r="B32" s="198" t="s">
        <v>69</v>
      </c>
      <c r="C32" s="199"/>
      <c r="D32" s="199"/>
      <c r="E32" s="207"/>
      <c r="F32" s="201"/>
      <c r="G32" s="208">
        <f>SUM(G22:G31)</f>
        <v>0</v>
      </c>
      <c r="H32" s="203"/>
      <c r="I32" s="203"/>
      <c r="J32" s="208">
        <f>SUM(J22:J31)</f>
        <v>0</v>
      </c>
      <c r="K32" s="208">
        <f>SUM(K22:K31)</f>
        <v>0</v>
      </c>
      <c r="L32" s="202">
        <f>SUM(L22:L31)</f>
        <v>0</v>
      </c>
      <c r="M32" s="208">
        <f>SUM(M22:M31)</f>
        <v>0</v>
      </c>
    </row>
    <row r="33" spans="2:29">
      <c r="B33" s="191" t="s">
        <v>70</v>
      </c>
      <c r="C33" s="204"/>
      <c r="D33" s="204"/>
      <c r="E33" s="205"/>
      <c r="F33" s="183"/>
      <c r="G33" s="209"/>
      <c r="H33" s="206"/>
      <c r="I33" s="206"/>
      <c r="J33" s="183"/>
      <c r="K33" s="183"/>
      <c r="L33" s="183"/>
      <c r="M33" s="183"/>
    </row>
    <row r="34" spans="2:29">
      <c r="B34" s="53" t="s">
        <v>1003</v>
      </c>
      <c r="C34" s="346">
        <v>38267</v>
      </c>
      <c r="D34" s="346">
        <v>45717</v>
      </c>
      <c r="E34" s="194">
        <v>2.83</v>
      </c>
      <c r="F34" s="195">
        <v>157150</v>
      </c>
      <c r="G34" s="196">
        <v>54154</v>
      </c>
      <c r="H34" s="197" t="s">
        <v>1005</v>
      </c>
      <c r="I34" s="197" t="s">
        <v>1005</v>
      </c>
      <c r="J34" s="196">
        <v>1509</v>
      </c>
      <c r="K34" s="196">
        <v>3345</v>
      </c>
      <c r="L34" s="196">
        <v>1414</v>
      </c>
      <c r="M34" s="196">
        <v>3341</v>
      </c>
    </row>
    <row r="35" spans="2:29">
      <c r="B35" s="53" t="s">
        <v>1004</v>
      </c>
      <c r="C35" s="346">
        <v>38979</v>
      </c>
      <c r="D35" s="346">
        <v>42583</v>
      </c>
      <c r="E35" s="194">
        <v>3.87</v>
      </c>
      <c r="F35" s="195">
        <v>42000</v>
      </c>
      <c r="G35" s="196">
        <v>21746</v>
      </c>
      <c r="H35" s="197" t="s">
        <v>1002</v>
      </c>
      <c r="I35" s="197">
        <v>41122</v>
      </c>
      <c r="J35" s="196">
        <v>824</v>
      </c>
      <c r="K35" s="196">
        <v>4300</v>
      </c>
      <c r="L35" s="196">
        <v>661</v>
      </c>
      <c r="M35" s="196">
        <v>4463</v>
      </c>
    </row>
    <row r="36" spans="2:29">
      <c r="B36" s="53"/>
      <c r="C36" s="346"/>
      <c r="D36" s="346"/>
      <c r="E36" s="194"/>
      <c r="F36" s="195"/>
      <c r="G36" s="196"/>
      <c r="H36" s="197"/>
      <c r="I36" s="197"/>
      <c r="J36" s="196"/>
      <c r="K36" s="196"/>
      <c r="L36" s="196"/>
      <c r="M36" s="196"/>
    </row>
    <row r="37" spans="2:29">
      <c r="B37" s="53"/>
      <c r="C37" s="346"/>
      <c r="D37" s="346"/>
      <c r="E37" s="194"/>
      <c r="F37" s="195"/>
      <c r="G37" s="196"/>
      <c r="H37" s="197"/>
      <c r="I37" s="197"/>
      <c r="J37" s="196"/>
      <c r="K37" s="196"/>
      <c r="L37" s="196"/>
      <c r="M37" s="196"/>
    </row>
    <row r="38" spans="2:29">
      <c r="B38" s="53"/>
      <c r="C38" s="346"/>
      <c r="D38" s="346"/>
      <c r="E38" s="194"/>
      <c r="F38" s="195"/>
      <c r="G38" s="196"/>
      <c r="H38" s="197"/>
      <c r="I38" s="197"/>
      <c r="J38" s="196"/>
      <c r="K38" s="196"/>
      <c r="L38" s="196"/>
      <c r="M38" s="196"/>
    </row>
    <row r="39" spans="2:29">
      <c r="B39" s="53"/>
      <c r="C39" s="346"/>
      <c r="D39" s="346"/>
      <c r="E39" s="194"/>
      <c r="F39" s="195"/>
      <c r="G39" s="196"/>
      <c r="H39" s="197"/>
      <c r="I39" s="197"/>
      <c r="J39" s="196"/>
      <c r="K39" s="196"/>
      <c r="L39" s="196"/>
      <c r="M39" s="196"/>
    </row>
    <row r="40" spans="2:29">
      <c r="B40" s="53"/>
      <c r="C40" s="346"/>
      <c r="D40" s="346"/>
      <c r="E40" s="194"/>
      <c r="F40" s="195"/>
      <c r="G40" s="196"/>
      <c r="H40" s="197"/>
      <c r="I40" s="197"/>
      <c r="J40" s="196"/>
      <c r="K40" s="196"/>
      <c r="L40" s="196"/>
      <c r="M40" s="196"/>
    </row>
    <row r="41" spans="2:29">
      <c r="B41" s="53"/>
      <c r="C41" s="346"/>
      <c r="D41" s="346"/>
      <c r="E41" s="194"/>
      <c r="F41" s="195"/>
      <c r="G41" s="196"/>
      <c r="H41" s="197"/>
      <c r="I41" s="197"/>
      <c r="J41" s="196"/>
      <c r="K41" s="196"/>
      <c r="L41" s="196"/>
      <c r="M41" s="196"/>
      <c r="N41" s="8"/>
      <c r="O41" s="8"/>
      <c r="P41" s="8"/>
      <c r="Q41" s="8"/>
      <c r="R41" s="8"/>
      <c r="S41" s="8"/>
      <c r="T41" s="8"/>
      <c r="U41" s="8"/>
      <c r="V41" s="8"/>
      <c r="W41" s="8"/>
      <c r="X41" s="8"/>
      <c r="Y41" s="8"/>
      <c r="Z41" s="8"/>
      <c r="AA41" s="8"/>
      <c r="AB41" s="8"/>
      <c r="AC41" s="8"/>
    </row>
    <row r="42" spans="2:29">
      <c r="B42" s="198" t="s">
        <v>199</v>
      </c>
      <c r="C42" s="182"/>
      <c r="D42" s="182"/>
      <c r="E42" s="207"/>
      <c r="F42" s="201"/>
      <c r="G42" s="208">
        <f>SUM(G34:G41)</f>
        <v>75900</v>
      </c>
      <c r="H42" s="201"/>
      <c r="I42" s="201"/>
      <c r="J42" s="208">
        <f>SUM(J34:J41)</f>
        <v>2333</v>
      </c>
      <c r="K42" s="208">
        <f>SUM(K34:K41)</f>
        <v>7645</v>
      </c>
      <c r="L42" s="208">
        <f>SUM(L34:L41)</f>
        <v>2075</v>
      </c>
      <c r="M42" s="208">
        <f>SUM(M34:M41)</f>
        <v>7804</v>
      </c>
    </row>
    <row r="43" spans="2:29">
      <c r="B43" s="198" t="s">
        <v>71</v>
      </c>
      <c r="C43" s="182"/>
      <c r="D43" s="182"/>
      <c r="E43" s="182"/>
      <c r="F43" s="201"/>
      <c r="G43" s="208">
        <f>SUM(G20+G32+G42)</f>
        <v>470900</v>
      </c>
      <c r="H43" s="201"/>
      <c r="I43" s="201"/>
      <c r="J43" s="208">
        <f>SUM(J20+J32+J42)</f>
        <v>17876</v>
      </c>
      <c r="K43" s="208">
        <f>SUM(K20+K32+K42)</f>
        <v>32645</v>
      </c>
      <c r="L43" s="208">
        <f>SUM(L20+L32+L42)</f>
        <v>16493</v>
      </c>
      <c r="M43" s="208">
        <f>SUM(M20+M32+M42)</f>
        <v>32804</v>
      </c>
    </row>
    <row r="44" spans="2:29">
      <c r="B44" s="8"/>
      <c r="C44" s="8"/>
      <c r="D44" s="8"/>
      <c r="E44" s="8"/>
      <c r="F44" s="8"/>
      <c r="G44" s="8"/>
      <c r="H44" s="8"/>
      <c r="I44" s="8"/>
      <c r="J44" s="8"/>
      <c r="K44" s="8"/>
      <c r="L44" s="8"/>
      <c r="M44" s="8"/>
    </row>
    <row r="45" spans="2:29">
      <c r="F45" s="210"/>
      <c r="G45" s="210"/>
      <c r="J45" s="210"/>
      <c r="K45" s="210"/>
      <c r="L45" s="210"/>
      <c r="M45" s="210"/>
    </row>
    <row r="46" spans="2:29">
      <c r="F46" s="8"/>
      <c r="H46" s="211"/>
      <c r="N46" s="8"/>
    </row>
    <row r="47" spans="2:29">
      <c r="B47" s="8"/>
      <c r="C47" s="8"/>
      <c r="D47" s="8"/>
      <c r="E47" s="8"/>
      <c r="F47" s="8"/>
      <c r="G47" s="8"/>
      <c r="H47" s="8"/>
      <c r="I47" s="8"/>
      <c r="J47" s="8"/>
      <c r="K47" s="8"/>
      <c r="L47" s="8"/>
      <c r="M47" s="8"/>
    </row>
    <row r="48" spans="2:29">
      <c r="B48" s="8"/>
      <c r="C48" s="8"/>
      <c r="D48" s="8"/>
      <c r="E48" s="8"/>
      <c r="F48" s="8"/>
      <c r="G48" s="8"/>
      <c r="H48" s="8"/>
      <c r="I48" s="8"/>
      <c r="J48" s="8"/>
      <c r="K48" s="8"/>
      <c r="L48" s="8"/>
      <c r="M48" s="8"/>
    </row>
  </sheetData>
  <sheetProtection sheet="1"/>
  <mergeCells count="3">
    <mergeCell ref="H6:I6"/>
    <mergeCell ref="J6:K6"/>
    <mergeCell ref="L6:M6"/>
  </mergeCells>
  <phoneticPr fontId="0" type="noConversion"/>
  <pageMargins left="0.25" right="0.25" top="1" bottom="0.5" header="0.5" footer="0.25"/>
  <pageSetup scale="75" orientation="landscape" blackAndWhite="1" horizontalDpi="120" verticalDpi="144"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0"/>
  <sheetViews>
    <sheetView zoomScale="75" workbookViewId="0">
      <selection activeCell="I19" sqref="I19"/>
    </sheetView>
  </sheetViews>
  <sheetFormatPr defaultRowHeight="15.75"/>
  <cols>
    <col min="1" max="1" width="10.77734375" style="23" customWidth="1"/>
    <col min="2" max="2" width="23.5546875" style="23" customWidth="1"/>
    <col min="3" max="5" width="9.77734375" style="23" customWidth="1"/>
    <col min="6" max="6" width="18.33203125" style="23" customWidth="1"/>
    <col min="7" max="9" width="15.77734375" style="23" customWidth="1"/>
    <col min="10" max="16384" width="8.88671875" style="23"/>
  </cols>
  <sheetData>
    <row r="1" spans="2:9">
      <c r="B1" s="151" t="str">
        <f>inputPrYr!$D$2</f>
        <v>City of Grandview Plaza, Kansas</v>
      </c>
      <c r="C1" s="22"/>
      <c r="D1" s="22"/>
      <c r="E1" s="22"/>
      <c r="F1" s="22"/>
      <c r="G1" s="22"/>
      <c r="H1" s="22"/>
      <c r="I1" s="212">
        <f>inputPrYr!$C$5</f>
        <v>2014</v>
      </c>
    </row>
    <row r="2" spans="2:9">
      <c r="B2" s="151"/>
      <c r="C2" s="22"/>
      <c r="D2" s="22"/>
      <c r="E2" s="22"/>
      <c r="F2" s="22"/>
      <c r="G2" s="22"/>
      <c r="H2" s="22"/>
      <c r="I2" s="147"/>
    </row>
    <row r="3" spans="2:9">
      <c r="B3" s="22"/>
      <c r="C3" s="22"/>
      <c r="D3" s="22"/>
      <c r="E3" s="22"/>
      <c r="F3" s="22"/>
      <c r="G3" s="22"/>
      <c r="H3" s="22"/>
      <c r="I3" s="119"/>
    </row>
    <row r="4" spans="2:9">
      <c r="B4" s="186" t="s">
        <v>85</v>
      </c>
      <c r="C4" s="33"/>
      <c r="D4" s="33"/>
      <c r="E4" s="33"/>
      <c r="F4" s="33"/>
      <c r="G4" s="33"/>
      <c r="H4" s="33"/>
      <c r="I4" s="33"/>
    </row>
    <row r="5" spans="2:9">
      <c r="B5" s="55"/>
      <c r="C5" s="187"/>
      <c r="D5" s="187"/>
      <c r="E5" s="187"/>
      <c r="F5" s="187"/>
      <c r="G5" s="187"/>
      <c r="H5" s="187"/>
      <c r="I5" s="187"/>
    </row>
    <row r="6" spans="2:9">
      <c r="B6" s="133"/>
      <c r="C6" s="133"/>
      <c r="D6" s="133"/>
      <c r="E6" s="133"/>
      <c r="F6" s="166" t="s">
        <v>332</v>
      </c>
      <c r="G6" s="133"/>
      <c r="H6" s="133"/>
      <c r="I6" s="133"/>
    </row>
    <row r="7" spans="2:9">
      <c r="B7" s="134"/>
      <c r="C7" s="127"/>
      <c r="D7" s="127" t="s">
        <v>72</v>
      </c>
      <c r="E7" s="127" t="s">
        <v>73</v>
      </c>
      <c r="F7" s="127" t="s">
        <v>17</v>
      </c>
      <c r="G7" s="127" t="s">
        <v>75</v>
      </c>
      <c r="H7" s="127" t="s">
        <v>76</v>
      </c>
      <c r="I7" s="127" t="s">
        <v>76</v>
      </c>
    </row>
    <row r="8" spans="2:9">
      <c r="B8" s="134"/>
      <c r="C8" s="127" t="s">
        <v>77</v>
      </c>
      <c r="D8" s="127" t="s">
        <v>78</v>
      </c>
      <c r="E8" s="127" t="s">
        <v>62</v>
      </c>
      <c r="F8" s="127" t="s">
        <v>79</v>
      </c>
      <c r="G8" s="127" t="s">
        <v>125</v>
      </c>
      <c r="H8" s="127" t="s">
        <v>80</v>
      </c>
      <c r="I8" s="127" t="s">
        <v>80</v>
      </c>
    </row>
    <row r="9" spans="2:9">
      <c r="B9" s="130" t="s">
        <v>81</v>
      </c>
      <c r="C9" s="130" t="s">
        <v>59</v>
      </c>
      <c r="D9" s="213" t="s">
        <v>82</v>
      </c>
      <c r="E9" s="130" t="s">
        <v>39</v>
      </c>
      <c r="F9" s="213" t="s">
        <v>149</v>
      </c>
      <c r="G9" s="214" t="str">
        <f>CONCATENATE("Jan 1 ",I1-1,"")</f>
        <v>Jan 1 2013</v>
      </c>
      <c r="H9" s="130">
        <f>I1-1</f>
        <v>2013</v>
      </c>
      <c r="I9" s="130">
        <f>I1</f>
        <v>2014</v>
      </c>
    </row>
    <row r="10" spans="2:9">
      <c r="B10" s="53" t="s">
        <v>1006</v>
      </c>
      <c r="C10" s="346">
        <v>39569</v>
      </c>
      <c r="D10" s="216">
        <v>50</v>
      </c>
      <c r="E10" s="194">
        <v>3.94</v>
      </c>
      <c r="F10" s="195">
        <v>269955</v>
      </c>
      <c r="G10" s="195">
        <v>20408</v>
      </c>
      <c r="H10" s="195">
        <v>20408</v>
      </c>
      <c r="I10" s="195">
        <v>0</v>
      </c>
    </row>
    <row r="11" spans="2:9">
      <c r="B11" s="53" t="s">
        <v>1007</v>
      </c>
      <c r="C11" s="346">
        <v>38917</v>
      </c>
      <c r="D11" s="216">
        <v>144</v>
      </c>
      <c r="E11" s="194">
        <v>5.48</v>
      </c>
      <c r="F11" s="195">
        <v>173060</v>
      </c>
      <c r="G11" s="195">
        <v>161266</v>
      </c>
      <c r="H11" s="195">
        <v>20981</v>
      </c>
      <c r="I11" s="195">
        <v>20981</v>
      </c>
    </row>
    <row r="12" spans="2:9">
      <c r="B12" s="53" t="s">
        <v>1008</v>
      </c>
      <c r="C12" s="346">
        <v>39464</v>
      </c>
      <c r="D12" s="216">
        <v>48</v>
      </c>
      <c r="E12" s="194">
        <v>5.5</v>
      </c>
      <c r="F12" s="195">
        <v>8307</v>
      </c>
      <c r="G12" s="195">
        <v>173</v>
      </c>
      <c r="H12" s="195">
        <v>173</v>
      </c>
      <c r="I12" s="195"/>
    </row>
    <row r="13" spans="2:9">
      <c r="B13" s="53" t="s">
        <v>1009</v>
      </c>
      <c r="C13" s="346">
        <v>40037</v>
      </c>
      <c r="D13" s="216">
        <v>48</v>
      </c>
      <c r="E13" s="194">
        <v>4.25</v>
      </c>
      <c r="F13" s="195">
        <v>8451</v>
      </c>
      <c r="G13" s="195">
        <v>5394</v>
      </c>
      <c r="H13" s="195">
        <v>3357</v>
      </c>
      <c r="I13" s="195">
        <v>2238</v>
      </c>
    </row>
    <row r="14" spans="2:9">
      <c r="B14" s="53" t="s">
        <v>1010</v>
      </c>
      <c r="C14" s="346">
        <v>40151</v>
      </c>
      <c r="D14" s="216">
        <v>144</v>
      </c>
      <c r="E14" s="194">
        <v>5.5</v>
      </c>
      <c r="F14" s="195">
        <v>159814</v>
      </c>
      <c r="G14" s="195">
        <v>148977</v>
      </c>
      <c r="H14" s="195">
        <v>19474</v>
      </c>
      <c r="I14" s="195">
        <v>19474</v>
      </c>
    </row>
    <row r="15" spans="2:9">
      <c r="B15" s="53" t="s">
        <v>1011</v>
      </c>
      <c r="C15" s="346">
        <v>40429</v>
      </c>
      <c r="D15" s="216">
        <v>36</v>
      </c>
      <c r="E15" s="194">
        <v>4.3499999999999996</v>
      </c>
      <c r="F15" s="195">
        <v>18950</v>
      </c>
      <c r="G15" s="195">
        <v>13044</v>
      </c>
      <c r="H15" s="195">
        <v>6822</v>
      </c>
      <c r="I15" s="195">
        <v>6822</v>
      </c>
    </row>
    <row r="16" spans="2:9">
      <c r="B16" s="53" t="s">
        <v>1012</v>
      </c>
      <c r="C16" s="346">
        <v>40786</v>
      </c>
      <c r="D16" s="216">
        <v>48</v>
      </c>
      <c r="E16" s="194">
        <v>11.41</v>
      </c>
      <c r="F16" s="195">
        <v>28325</v>
      </c>
      <c r="G16" s="195">
        <v>26184</v>
      </c>
      <c r="H16" s="195">
        <v>8772</v>
      </c>
      <c r="I16" s="195">
        <v>8772</v>
      </c>
    </row>
    <row r="17" spans="2:9">
      <c r="B17" s="53" t="s">
        <v>1013</v>
      </c>
      <c r="C17" s="346">
        <v>40836</v>
      </c>
      <c r="D17" s="216">
        <v>48</v>
      </c>
      <c r="E17" s="194">
        <v>3.99</v>
      </c>
      <c r="F17" s="195">
        <v>30000</v>
      </c>
      <c r="G17" s="195">
        <v>30000</v>
      </c>
      <c r="H17" s="195">
        <v>8156</v>
      </c>
      <c r="I17" s="195">
        <v>8156</v>
      </c>
    </row>
    <row r="18" spans="2:9">
      <c r="B18" s="53" t="s">
        <v>1014</v>
      </c>
      <c r="C18" s="346">
        <v>40837</v>
      </c>
      <c r="D18" s="216">
        <v>48</v>
      </c>
      <c r="E18" s="194">
        <v>3.87</v>
      </c>
      <c r="F18" s="195">
        <v>20000</v>
      </c>
      <c r="G18" s="195">
        <v>20000</v>
      </c>
      <c r="H18" s="195">
        <v>7107</v>
      </c>
      <c r="I18" s="195">
        <v>7107</v>
      </c>
    </row>
    <row r="19" spans="2:9">
      <c r="B19" s="53"/>
      <c r="C19" s="215"/>
      <c r="D19" s="216"/>
      <c r="E19" s="194"/>
      <c r="F19" s="195"/>
      <c r="G19" s="195"/>
      <c r="H19" s="195"/>
      <c r="I19" s="195"/>
    </row>
    <row r="20" spans="2:9">
      <c r="B20" s="53"/>
      <c r="C20" s="215"/>
      <c r="D20" s="216"/>
      <c r="E20" s="194"/>
      <c r="F20" s="195"/>
      <c r="G20" s="195"/>
      <c r="H20" s="195"/>
      <c r="I20" s="195"/>
    </row>
    <row r="21" spans="2:9">
      <c r="B21" s="53"/>
      <c r="C21" s="215"/>
      <c r="D21" s="216"/>
      <c r="E21" s="194"/>
      <c r="F21" s="195"/>
      <c r="G21" s="195"/>
      <c r="H21" s="195"/>
      <c r="I21" s="195"/>
    </row>
    <row r="22" spans="2:9">
      <c r="B22" s="53"/>
      <c r="C22" s="215"/>
      <c r="D22" s="216"/>
      <c r="E22" s="194"/>
      <c r="F22" s="195"/>
      <c r="G22" s="195"/>
      <c r="H22" s="195"/>
      <c r="I22" s="195"/>
    </row>
    <row r="23" spans="2:9">
      <c r="B23" s="53"/>
      <c r="C23" s="215"/>
      <c r="D23" s="216"/>
      <c r="E23" s="194"/>
      <c r="F23" s="195"/>
      <c r="G23" s="195"/>
      <c r="H23" s="195"/>
      <c r="I23" s="195"/>
    </row>
    <row r="24" spans="2:9">
      <c r="B24" s="53"/>
      <c r="C24" s="215"/>
      <c r="D24" s="216"/>
      <c r="E24" s="194"/>
      <c r="F24" s="195"/>
      <c r="G24" s="195"/>
      <c r="H24" s="195"/>
      <c r="I24" s="195"/>
    </row>
    <row r="25" spans="2:9">
      <c r="B25" s="53"/>
      <c r="C25" s="215"/>
      <c r="D25" s="216"/>
      <c r="E25" s="194"/>
      <c r="F25" s="195"/>
      <c r="G25" s="195"/>
      <c r="H25" s="195"/>
      <c r="I25" s="195"/>
    </row>
    <row r="26" spans="2:9">
      <c r="B26" s="53"/>
      <c r="C26" s="215"/>
      <c r="D26" s="216"/>
      <c r="E26" s="194"/>
      <c r="F26" s="195"/>
      <c r="G26" s="195"/>
      <c r="H26" s="195"/>
      <c r="I26" s="195"/>
    </row>
    <row r="27" spans="2:9">
      <c r="B27" s="53"/>
      <c r="C27" s="215"/>
      <c r="D27" s="216"/>
      <c r="E27" s="194"/>
      <c r="F27" s="195"/>
      <c r="G27" s="195"/>
      <c r="H27" s="195"/>
      <c r="I27" s="195"/>
    </row>
    <row r="28" spans="2:9" ht="16.5" thickBot="1">
      <c r="B28" s="217" t="s">
        <v>12</v>
      </c>
      <c r="C28" s="150"/>
      <c r="D28" s="150"/>
      <c r="E28" s="150"/>
      <c r="F28" s="150"/>
      <c r="G28" s="218">
        <f>SUM(G10:G27)</f>
        <v>425446</v>
      </c>
      <c r="H28" s="218">
        <f>SUM(H10:H27)</f>
        <v>95250</v>
      </c>
      <c r="I28" s="218">
        <f>SUM(I10:I27)</f>
        <v>73550</v>
      </c>
    </row>
    <row r="29" spans="2:9" ht="16.5" thickTop="1">
      <c r="B29" s="22"/>
      <c r="C29" s="22"/>
      <c r="D29" s="22"/>
      <c r="E29" s="22"/>
      <c r="F29" s="22"/>
      <c r="G29" s="22"/>
      <c r="H29" s="151"/>
      <c r="I29" s="151"/>
    </row>
    <row r="30" spans="2:9">
      <c r="B30" s="219" t="s">
        <v>277</v>
      </c>
      <c r="C30" s="220"/>
      <c r="D30" s="220"/>
      <c r="E30" s="220"/>
      <c r="F30" s="220"/>
      <c r="G30" s="220"/>
      <c r="H30" s="151"/>
      <c r="I30" s="151"/>
    </row>
  </sheetData>
  <sheetProtection sheet="1"/>
  <phoneticPr fontId="0" type="noConversion"/>
  <pageMargins left="0.25" right="0.25" top="1" bottom="0.5" header="0.5" footer="0.5"/>
  <pageSetup scale="85" orientation="landscape" blackAndWhite="1" horizontalDpi="120" verticalDpi="144"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1"/>
  <sheetViews>
    <sheetView topLeftCell="A49" zoomScaleNormal="100" workbookViewId="0">
      <selection activeCell="D24" sqref="D24"/>
    </sheetView>
  </sheetViews>
  <sheetFormatPr defaultRowHeight="15.75"/>
  <cols>
    <col min="1" max="1" width="2.44140625" style="23" customWidth="1"/>
    <col min="2" max="2" width="31.6640625" style="23" customWidth="1"/>
    <col min="3" max="4" width="15.77734375" style="23" customWidth="1"/>
    <col min="5" max="5" width="16.21875" style="23" customWidth="1"/>
    <col min="6" max="6" width="6.886718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Grandview Plaza, Kansas</v>
      </c>
      <c r="C1" s="22"/>
      <c r="D1" s="22"/>
      <c r="E1" s="212">
        <f>inputPrYr!C5</f>
        <v>2014</v>
      </c>
    </row>
    <row r="2" spans="2:5">
      <c r="B2" s="22"/>
      <c r="C2" s="22"/>
      <c r="D2" s="22"/>
      <c r="E2" s="147"/>
    </row>
    <row r="3" spans="2:5">
      <c r="B3" s="41"/>
      <c r="C3" s="22"/>
      <c r="D3" s="22"/>
      <c r="E3" s="119"/>
    </row>
    <row r="4" spans="2:5">
      <c r="B4" s="41" t="s">
        <v>89</v>
      </c>
      <c r="C4" s="221"/>
      <c r="D4" s="221"/>
      <c r="E4" s="221"/>
    </row>
    <row r="5" spans="2:5">
      <c r="B5" s="149" t="s">
        <v>24</v>
      </c>
      <c r="C5" s="632" t="s">
        <v>807</v>
      </c>
      <c r="D5" s="633" t="s">
        <v>810</v>
      </c>
      <c r="E5" s="125" t="s">
        <v>811</v>
      </c>
    </row>
    <row r="6" spans="2:5">
      <c r="B6" s="365" t="str">
        <f>inputPrYr!B17</f>
        <v>General</v>
      </c>
      <c r="C6" s="348" t="str">
        <f>CONCATENATE("Actual for ",E1-2,"")</f>
        <v>Actual for 2012</v>
      </c>
      <c r="D6" s="348" t="str">
        <f>CONCATENATE("Estimate for ",E1-1,"")</f>
        <v>Estimate for 2013</v>
      </c>
      <c r="E6" s="222" t="str">
        <f>CONCATENATE("Year for ",E1,"")</f>
        <v>Year for 2014</v>
      </c>
    </row>
    <row r="7" spans="2:5">
      <c r="B7" s="223" t="s">
        <v>144</v>
      </c>
      <c r="C7" s="224">
        <v>182186</v>
      </c>
      <c r="D7" s="347">
        <f>C109</f>
        <v>274186</v>
      </c>
      <c r="E7" s="193">
        <f>D109</f>
        <v>188938</v>
      </c>
    </row>
    <row r="8" spans="2:5">
      <c r="B8" s="226" t="s">
        <v>146</v>
      </c>
      <c r="C8" s="139"/>
      <c r="D8" s="139"/>
      <c r="E8" s="68"/>
    </row>
    <row r="9" spans="2:5">
      <c r="B9" s="223" t="s">
        <v>25</v>
      </c>
      <c r="C9" s="224">
        <v>138376</v>
      </c>
      <c r="D9" s="347">
        <f>IF(inputPrYr!H16&gt;0,inputPrYr!G17,inputPrYr!E17)</f>
        <v>152444</v>
      </c>
      <c r="E9" s="228" t="s">
        <v>13</v>
      </c>
    </row>
    <row r="10" spans="2:5">
      <c r="B10" s="223" t="s">
        <v>26</v>
      </c>
      <c r="C10" s="224">
        <v>1030</v>
      </c>
      <c r="D10" s="224"/>
      <c r="E10" s="229">
        <v>1030</v>
      </c>
    </row>
    <row r="11" spans="2:5">
      <c r="B11" s="223" t="s">
        <v>27</v>
      </c>
      <c r="C11" s="224">
        <v>9625</v>
      </c>
      <c r="D11" s="224">
        <v>9371</v>
      </c>
      <c r="E11" s="193">
        <f>mvalloc!D7</f>
        <v>12410</v>
      </c>
    </row>
    <row r="12" spans="2:5">
      <c r="B12" s="223" t="s">
        <v>28</v>
      </c>
      <c r="C12" s="224">
        <v>65</v>
      </c>
      <c r="D12" s="224">
        <v>86</v>
      </c>
      <c r="E12" s="193">
        <f>mvalloc!E7</f>
        <v>95</v>
      </c>
    </row>
    <row r="13" spans="2:5">
      <c r="B13" s="223" t="s">
        <v>121</v>
      </c>
      <c r="C13" s="224">
        <v>47</v>
      </c>
      <c r="D13" s="224">
        <v>54</v>
      </c>
      <c r="E13" s="193">
        <f>mvalloc!F7</f>
        <v>48</v>
      </c>
    </row>
    <row r="14" spans="2:5">
      <c r="B14" s="223" t="s">
        <v>122</v>
      </c>
      <c r="C14" s="224"/>
      <c r="D14" s="224"/>
      <c r="E14" s="193">
        <f>inputOth!E16</f>
        <v>0</v>
      </c>
    </row>
    <row r="15" spans="2:5">
      <c r="B15" s="223" t="s">
        <v>168</v>
      </c>
      <c r="C15" s="224">
        <v>3400</v>
      </c>
      <c r="D15" s="224"/>
      <c r="E15" s="193">
        <f>inputOth!E42</f>
        <v>0</v>
      </c>
    </row>
    <row r="16" spans="2:5">
      <c r="B16" s="223" t="s">
        <v>169</v>
      </c>
      <c r="C16" s="224">
        <v>8193</v>
      </c>
      <c r="D16" s="224"/>
      <c r="E16" s="193">
        <f>inputOth!E43</f>
        <v>0</v>
      </c>
    </row>
    <row r="17" spans="2:5">
      <c r="B17" s="227" t="s">
        <v>31</v>
      </c>
      <c r="C17" s="224"/>
      <c r="D17" s="224"/>
      <c r="E17" s="50"/>
    </row>
    <row r="18" spans="2:5">
      <c r="B18" s="227" t="s">
        <v>29</v>
      </c>
      <c r="C18" s="224">
        <v>3100</v>
      </c>
      <c r="D18" s="224">
        <v>4067</v>
      </c>
      <c r="E18" s="50">
        <v>3339</v>
      </c>
    </row>
    <row r="19" spans="2:5">
      <c r="B19" s="509" t="s">
        <v>751</v>
      </c>
      <c r="C19" s="224"/>
      <c r="D19" s="224"/>
      <c r="E19" s="50"/>
    </row>
    <row r="20" spans="2:5">
      <c r="B20" s="510" t="s">
        <v>752</v>
      </c>
      <c r="C20" s="224">
        <v>255608</v>
      </c>
      <c r="D20" s="224">
        <v>233000</v>
      </c>
      <c r="E20" s="50">
        <v>255000</v>
      </c>
    </row>
    <row r="21" spans="2:5">
      <c r="B21" s="510" t="s">
        <v>753</v>
      </c>
      <c r="C21" s="224">
        <v>109846</v>
      </c>
      <c r="D21" s="224">
        <v>110000</v>
      </c>
      <c r="E21" s="50">
        <v>110000</v>
      </c>
    </row>
    <row r="22" spans="2:5">
      <c r="B22" s="510" t="s">
        <v>754</v>
      </c>
      <c r="C22" s="224">
        <v>3820</v>
      </c>
      <c r="D22" s="224">
        <v>3500</v>
      </c>
      <c r="E22" s="50">
        <v>3500</v>
      </c>
    </row>
    <row r="23" spans="2:5">
      <c r="B23" s="510" t="s">
        <v>938</v>
      </c>
      <c r="C23" s="224">
        <v>433335</v>
      </c>
      <c r="D23" s="224">
        <v>275000</v>
      </c>
      <c r="E23" s="50">
        <v>340000</v>
      </c>
    </row>
    <row r="24" spans="2:5">
      <c r="B24" s="227" t="s">
        <v>940</v>
      </c>
      <c r="C24" s="224">
        <v>24435</v>
      </c>
      <c r="D24" s="224"/>
      <c r="E24" s="50">
        <v>20000</v>
      </c>
    </row>
    <row r="25" spans="2:5">
      <c r="B25" s="227" t="s">
        <v>939</v>
      </c>
      <c r="C25" s="224">
        <v>0</v>
      </c>
      <c r="D25" s="224">
        <v>350</v>
      </c>
      <c r="E25" s="50">
        <v>0</v>
      </c>
    </row>
    <row r="26" spans="2:5">
      <c r="B26" s="227" t="s">
        <v>941</v>
      </c>
      <c r="C26" s="224">
        <v>0</v>
      </c>
      <c r="D26" s="224">
        <v>7500</v>
      </c>
      <c r="E26" s="50">
        <v>0</v>
      </c>
    </row>
    <row r="27" spans="2:5">
      <c r="B27" s="227" t="s">
        <v>1052</v>
      </c>
      <c r="C27" s="224">
        <v>10935</v>
      </c>
      <c r="D27" s="224"/>
      <c r="E27" s="50">
        <v>0</v>
      </c>
    </row>
    <row r="28" spans="2:5">
      <c r="B28" s="227"/>
      <c r="C28" s="224"/>
      <c r="D28" s="224"/>
      <c r="E28" s="50"/>
    </row>
    <row r="29" spans="2:5">
      <c r="B29" s="227"/>
      <c r="C29" s="224"/>
      <c r="D29" s="224"/>
      <c r="E29" s="50"/>
    </row>
    <row r="30" spans="2:5">
      <c r="B30" s="227"/>
      <c r="C30" s="224"/>
      <c r="D30" s="224"/>
      <c r="E30" s="50"/>
    </row>
    <row r="31" spans="2:5">
      <c r="B31" s="227"/>
      <c r="C31" s="224"/>
      <c r="D31" s="224"/>
      <c r="E31" s="50"/>
    </row>
    <row r="32" spans="2:5">
      <c r="B32" s="227"/>
      <c r="C32" s="224"/>
      <c r="D32" s="224"/>
      <c r="E32" s="50"/>
    </row>
    <row r="33" spans="2:5">
      <c r="B33" s="227"/>
      <c r="C33" s="224"/>
      <c r="D33" s="224"/>
      <c r="E33" s="50"/>
    </row>
    <row r="34" spans="2:5">
      <c r="B34" s="227"/>
      <c r="C34" s="224"/>
      <c r="D34" s="224"/>
      <c r="E34" s="50"/>
    </row>
    <row r="35" spans="2:5">
      <c r="B35" s="227"/>
      <c r="C35" s="224"/>
      <c r="D35" s="224"/>
      <c r="E35" s="50"/>
    </row>
    <row r="36" spans="2:5">
      <c r="B36" s="227"/>
      <c r="C36" s="224"/>
      <c r="D36" s="224"/>
      <c r="E36" s="50"/>
    </row>
    <row r="37" spans="2:5">
      <c r="B37" s="227"/>
      <c r="C37" s="224"/>
      <c r="D37" s="224"/>
      <c r="E37" s="50"/>
    </row>
    <row r="38" spans="2:5">
      <c r="B38" s="227"/>
      <c r="C38" s="224"/>
      <c r="D38" s="224"/>
      <c r="E38" s="50"/>
    </row>
    <row r="39" spans="2:5">
      <c r="B39" s="227"/>
      <c r="C39" s="224"/>
      <c r="D39" s="224"/>
      <c r="E39" s="50"/>
    </row>
    <row r="40" spans="2:5">
      <c r="B40" s="227"/>
      <c r="C40" s="224"/>
      <c r="D40" s="224"/>
      <c r="E40" s="50"/>
    </row>
    <row r="41" spans="2:5">
      <c r="B41" s="227"/>
      <c r="C41" s="224"/>
      <c r="D41" s="224"/>
      <c r="E41" s="50"/>
    </row>
    <row r="42" spans="2:5">
      <c r="B42" s="227"/>
      <c r="C42" s="224"/>
      <c r="D42" s="224"/>
      <c r="E42" s="50"/>
    </row>
    <row r="43" spans="2:5">
      <c r="B43" s="227"/>
      <c r="C43" s="224"/>
      <c r="D43" s="224"/>
      <c r="E43" s="50"/>
    </row>
    <row r="44" spans="2:5">
      <c r="B44" s="227"/>
      <c r="C44" s="224"/>
      <c r="D44" s="224"/>
      <c r="E44" s="50"/>
    </row>
    <row r="45" spans="2:5">
      <c r="B45" s="227"/>
      <c r="C45" s="224"/>
      <c r="D45" s="224"/>
      <c r="E45" s="50"/>
    </row>
    <row r="46" spans="2:5">
      <c r="B46" s="227"/>
      <c r="C46" s="224"/>
      <c r="D46" s="224"/>
      <c r="E46" s="50"/>
    </row>
    <row r="47" spans="2:5">
      <c r="B47" s="227"/>
      <c r="C47" s="224"/>
      <c r="D47" s="224"/>
      <c r="E47" s="50"/>
    </row>
    <row r="48" spans="2:5">
      <c r="B48" s="227"/>
      <c r="C48" s="224"/>
      <c r="D48" s="224"/>
      <c r="E48" s="50"/>
    </row>
    <row r="49" spans="2:5">
      <c r="B49" s="227"/>
      <c r="C49" s="224"/>
      <c r="D49" s="224"/>
      <c r="E49" s="50"/>
    </row>
    <row r="50" spans="2:5">
      <c r="B50" s="227"/>
      <c r="C50" s="224"/>
      <c r="D50" s="224"/>
      <c r="E50" s="50"/>
    </row>
    <row r="51" spans="2:5">
      <c r="B51" s="227"/>
      <c r="C51" s="224"/>
      <c r="D51" s="224"/>
      <c r="E51" s="50"/>
    </row>
    <row r="52" spans="2:5">
      <c r="B52" s="511" t="s">
        <v>30</v>
      </c>
      <c r="C52" s="224"/>
      <c r="D52" s="224"/>
      <c r="E52" s="50"/>
    </row>
    <row r="53" spans="2:5">
      <c r="B53" s="230" t="s">
        <v>32</v>
      </c>
      <c r="C53" s="224">
        <v>10</v>
      </c>
      <c r="D53" s="224"/>
      <c r="E53" s="50"/>
    </row>
    <row r="54" spans="2:5">
      <c r="B54" s="139" t="s">
        <v>268</v>
      </c>
      <c r="C54" s="224"/>
      <c r="D54" s="50"/>
      <c r="E54" s="225"/>
    </row>
    <row r="55" spans="2:5">
      <c r="B55" s="223" t="s">
        <v>790</v>
      </c>
      <c r="C55" s="345" t="str">
        <f>IF(C56*0.1&lt;C54,"Exceed 10% Rule","")</f>
        <v/>
      </c>
      <c r="D55" s="352" t="str">
        <f>IF(D56*0.1&lt;D54,"Exceed 10% Rule","")</f>
        <v/>
      </c>
      <c r="E55" s="231" t="str">
        <f>IF(E56*0.1+E115&lt;E54,"Exceed 10% Rule","")</f>
        <v/>
      </c>
    </row>
    <row r="56" spans="2:5">
      <c r="B56" s="232" t="s">
        <v>33</v>
      </c>
      <c r="C56" s="362">
        <f>SUM(C9:C54)</f>
        <v>1001825</v>
      </c>
      <c r="D56" s="362">
        <f>SUM(D9:D54)</f>
        <v>795372</v>
      </c>
      <c r="E56" s="233">
        <f>SUM(E10:E54)</f>
        <v>745422</v>
      </c>
    </row>
    <row r="57" spans="2:5">
      <c r="B57" s="232" t="s">
        <v>34</v>
      </c>
      <c r="C57" s="362">
        <f>C7+C56</f>
        <v>1184011</v>
      </c>
      <c r="D57" s="362">
        <f>D7+D56</f>
        <v>1069558</v>
      </c>
      <c r="E57" s="233">
        <f>E7+E56</f>
        <v>934360</v>
      </c>
    </row>
    <row r="58" spans="2:5">
      <c r="B58" s="22"/>
      <c r="C58" s="22"/>
      <c r="D58" s="22"/>
      <c r="E58" s="22"/>
    </row>
    <row r="59" spans="2:5">
      <c r="B59" s="150"/>
      <c r="C59" s="119" t="s">
        <v>40</v>
      </c>
      <c r="D59" s="149">
        <f>IF(inputPrYr!D19&gt;0,8,7)</f>
        <v>7</v>
      </c>
      <c r="E59" s="150"/>
    </row>
    <row r="60" spans="2:5">
      <c r="B60" s="150"/>
      <c r="C60" s="150"/>
      <c r="D60" s="150"/>
      <c r="E60" s="150"/>
    </row>
    <row r="61" spans="2:5">
      <c r="B61" s="151" t="str">
        <f>inputPrYr!D2</f>
        <v>City of Grandview Plaza, Kansas</v>
      </c>
      <c r="C61" s="22"/>
      <c r="D61" s="22"/>
      <c r="E61" s="147"/>
    </row>
    <row r="62" spans="2:5">
      <c r="B62" s="22"/>
      <c r="C62" s="22"/>
      <c r="D62" s="22"/>
      <c r="E62" s="119"/>
    </row>
    <row r="63" spans="2:5">
      <c r="B63" s="217" t="s">
        <v>88</v>
      </c>
      <c r="C63" s="187"/>
      <c r="D63" s="187"/>
      <c r="E63" s="187"/>
    </row>
    <row r="64" spans="2:5">
      <c r="B64" s="22" t="s">
        <v>24</v>
      </c>
      <c r="C64" s="632" t="str">
        <f t="shared" ref="C64:E65" si="0">C5</f>
        <v xml:space="preserve">Prior Year </v>
      </c>
      <c r="D64" s="633" t="str">
        <f t="shared" si="0"/>
        <v xml:space="preserve">Current Year </v>
      </c>
      <c r="E64" s="125" t="str">
        <f t="shared" si="0"/>
        <v xml:space="preserve">Proposed Budget </v>
      </c>
    </row>
    <row r="65" spans="2:6">
      <c r="B65" s="170" t="str">
        <f>inputPrYr!B17</f>
        <v>General</v>
      </c>
      <c r="C65" s="348" t="str">
        <f t="shared" si="0"/>
        <v>Actual for 2012</v>
      </c>
      <c r="D65" s="348" t="str">
        <f t="shared" si="0"/>
        <v>Estimate for 2013</v>
      </c>
      <c r="E65" s="222" t="str">
        <f t="shared" si="0"/>
        <v>Year for 2014</v>
      </c>
    </row>
    <row r="66" spans="2:6">
      <c r="B66" s="234" t="s">
        <v>34</v>
      </c>
      <c r="C66" s="347">
        <f>C57</f>
        <v>1184011</v>
      </c>
      <c r="D66" s="347">
        <f>D57</f>
        <v>1069558</v>
      </c>
      <c r="E66" s="193">
        <f>E57</f>
        <v>934360</v>
      </c>
    </row>
    <row r="67" spans="2:6">
      <c r="B67" s="223" t="s">
        <v>36</v>
      </c>
      <c r="C67" s="139"/>
      <c r="D67" s="139"/>
      <c r="E67" s="68"/>
    </row>
    <row r="68" spans="2:6">
      <c r="B68" s="235" t="str">
        <f>GenDetail!A7</f>
        <v>General and Administrative</v>
      </c>
      <c r="C68" s="363">
        <f>GenDetail!B19</f>
        <v>105560</v>
      </c>
      <c r="D68" s="363">
        <f>GenDetail!C19</f>
        <v>113400</v>
      </c>
      <c r="E68" s="57">
        <f>GenDetail!D19</f>
        <v>118100</v>
      </c>
    </row>
    <row r="69" spans="2:6">
      <c r="B69" s="235" t="str">
        <f>GenDetail!A20</f>
        <v>Fire Department</v>
      </c>
      <c r="C69" s="363">
        <f>GenDetail!B28</f>
        <v>67888</v>
      </c>
      <c r="D69" s="363">
        <f>GenDetail!C28</f>
        <v>68200</v>
      </c>
      <c r="E69" s="57">
        <f>GenDetail!D28</f>
        <v>69500</v>
      </c>
    </row>
    <row r="70" spans="2:6">
      <c r="B70" s="235" t="str">
        <f>GenDetail!A29</f>
        <v>Police Department</v>
      </c>
      <c r="C70" s="363">
        <f>GenDetail!B46</f>
        <v>536604</v>
      </c>
      <c r="D70" s="363">
        <f>GenDetail!C46</f>
        <v>554800</v>
      </c>
      <c r="E70" s="57">
        <f>GenDetail!D46</f>
        <v>614950</v>
      </c>
    </row>
    <row r="71" spans="2:6">
      <c r="B71" s="235" t="str">
        <f>GenDetail!A47</f>
        <v>Other</v>
      </c>
      <c r="C71" s="363">
        <f>GenDetail!B53</f>
        <v>64773</v>
      </c>
      <c r="D71" s="363">
        <f>GenDetail!C53</f>
        <v>110000</v>
      </c>
      <c r="E71" s="57">
        <f>GenDetail!D53</f>
        <v>110000</v>
      </c>
    </row>
    <row r="72" spans="2:6">
      <c r="B72" s="235" t="str">
        <f>GenDetail!A54</f>
        <v>Other</v>
      </c>
      <c r="C72" s="363">
        <f>GenDetail!B56</f>
        <v>135000</v>
      </c>
      <c r="D72" s="363">
        <f>GenDetail!C56</f>
        <v>34220</v>
      </c>
      <c r="E72" s="57">
        <f>GenDetail!D56</f>
        <v>100000</v>
      </c>
    </row>
    <row r="73" spans="2:6">
      <c r="B73" s="236" t="s">
        <v>631</v>
      </c>
      <c r="C73" s="409">
        <f>SUM(C68:C72)</f>
        <v>909825</v>
      </c>
      <c r="D73" s="409">
        <f>SUM(D68:D72)</f>
        <v>880620</v>
      </c>
      <c r="E73" s="255">
        <f>SUM(E68:E72)</f>
        <v>1012550</v>
      </c>
      <c r="F73" s="237"/>
    </row>
    <row r="74" spans="2:6">
      <c r="B74" s="230"/>
      <c r="C74" s="224"/>
      <c r="D74" s="224"/>
      <c r="E74" s="50"/>
    </row>
    <row r="75" spans="2:6">
      <c r="B75" s="230"/>
      <c r="C75" s="224"/>
      <c r="D75" s="224"/>
      <c r="E75" s="50"/>
    </row>
    <row r="76" spans="2:6">
      <c r="B76" s="230"/>
      <c r="C76" s="224"/>
      <c r="D76" s="224"/>
      <c r="E76" s="50"/>
    </row>
    <row r="77" spans="2:6">
      <c r="B77" s="230"/>
      <c r="C77" s="224"/>
      <c r="D77" s="224"/>
      <c r="E77" s="50"/>
    </row>
    <row r="78" spans="2:6">
      <c r="B78" s="230"/>
      <c r="C78" s="224"/>
      <c r="D78" s="224"/>
      <c r="E78" s="50"/>
    </row>
    <row r="79" spans="2:6">
      <c r="B79" s="230"/>
      <c r="C79" s="224"/>
      <c r="D79" s="224"/>
      <c r="E79" s="50"/>
    </row>
    <row r="80" spans="2:6">
      <c r="B80" s="238"/>
      <c r="C80" s="224"/>
      <c r="D80" s="224"/>
      <c r="E80" s="50"/>
    </row>
    <row r="81" spans="2:5">
      <c r="B81" s="238"/>
      <c r="C81" s="224"/>
      <c r="D81" s="224"/>
      <c r="E81" s="50"/>
    </row>
    <row r="82" spans="2:5">
      <c r="B82" s="238"/>
      <c r="C82" s="224"/>
      <c r="D82" s="224"/>
      <c r="E82" s="50"/>
    </row>
    <row r="83" spans="2:5">
      <c r="B83" s="238"/>
      <c r="C83" s="224"/>
      <c r="D83" s="224"/>
      <c r="E83" s="50"/>
    </row>
    <row r="84" spans="2:5">
      <c r="B84" s="238"/>
      <c r="C84" s="224"/>
      <c r="D84" s="224"/>
      <c r="E84" s="50"/>
    </row>
    <row r="85" spans="2:5">
      <c r="B85" s="238"/>
      <c r="C85" s="224"/>
      <c r="D85" s="224"/>
      <c r="E85" s="50"/>
    </row>
    <row r="86" spans="2:5">
      <c r="B86" s="238"/>
      <c r="C86" s="224"/>
      <c r="D86" s="224"/>
      <c r="E86" s="50"/>
    </row>
    <row r="87" spans="2:5">
      <c r="B87" s="238"/>
      <c r="C87" s="224"/>
      <c r="D87" s="224"/>
      <c r="E87" s="50"/>
    </row>
    <row r="88" spans="2:5">
      <c r="B88" s="238"/>
      <c r="C88" s="224"/>
      <c r="D88" s="224"/>
      <c r="E88" s="50"/>
    </row>
    <row r="89" spans="2:5">
      <c r="B89" s="238"/>
      <c r="C89" s="224"/>
      <c r="D89" s="224"/>
      <c r="E89" s="50"/>
    </row>
    <row r="90" spans="2:5">
      <c r="B90" s="238"/>
      <c r="C90" s="224"/>
      <c r="D90" s="224"/>
      <c r="E90" s="50"/>
    </row>
    <row r="91" spans="2:5">
      <c r="B91" s="238"/>
      <c r="C91" s="224"/>
      <c r="D91" s="224"/>
      <c r="E91" s="50"/>
    </row>
    <row r="92" spans="2:5">
      <c r="B92" s="238"/>
      <c r="C92" s="224"/>
      <c r="D92" s="224"/>
      <c r="E92" s="50"/>
    </row>
    <row r="93" spans="2:5">
      <c r="B93" s="238"/>
      <c r="C93" s="224"/>
      <c r="D93" s="224"/>
      <c r="E93" s="50"/>
    </row>
    <row r="94" spans="2:5">
      <c r="B94" s="238"/>
      <c r="C94" s="224"/>
      <c r="D94" s="224"/>
      <c r="E94" s="50"/>
    </row>
    <row r="95" spans="2:5">
      <c r="B95" s="238"/>
      <c r="C95" s="224"/>
      <c r="D95" s="224"/>
      <c r="E95" s="50"/>
    </row>
    <row r="96" spans="2:5">
      <c r="B96" s="238"/>
      <c r="C96" s="224"/>
      <c r="D96" s="224"/>
      <c r="E96" s="50"/>
    </row>
    <row r="97" spans="2:11">
      <c r="B97" s="238"/>
      <c r="C97" s="224"/>
      <c r="D97" s="224"/>
      <c r="E97" s="50"/>
    </row>
    <row r="98" spans="2:11">
      <c r="B98" s="238"/>
      <c r="C98" s="224"/>
      <c r="D98" s="224"/>
      <c r="E98" s="50"/>
      <c r="G98" s="761" t="str">
        <f>CONCATENATE("Desired Carryover Into ",E1+1,"")</f>
        <v>Desired Carryover Into 2015</v>
      </c>
      <c r="H98" s="762"/>
      <c r="I98" s="762"/>
      <c r="J98" s="763"/>
    </row>
    <row r="99" spans="2:11">
      <c r="B99" s="238"/>
      <c r="C99" s="224"/>
      <c r="D99" s="224"/>
      <c r="E99" s="50"/>
      <c r="G99" s="474"/>
      <c r="H99" s="473"/>
      <c r="I99" s="473"/>
      <c r="J99" s="475"/>
    </row>
    <row r="100" spans="2:11">
      <c r="B100" s="238"/>
      <c r="C100" s="224"/>
      <c r="D100" s="224"/>
      <c r="E100" s="50"/>
      <c r="G100" s="402" t="s">
        <v>634</v>
      </c>
      <c r="H100" s="396"/>
      <c r="I100" s="396"/>
      <c r="J100" s="391">
        <v>0</v>
      </c>
    </row>
    <row r="101" spans="2:11">
      <c r="B101" s="238"/>
      <c r="C101" s="224"/>
      <c r="D101" s="224"/>
      <c r="E101" s="50"/>
      <c r="G101" s="477" t="s">
        <v>635</v>
      </c>
      <c r="H101" s="389"/>
      <c r="I101" s="390"/>
      <c r="J101" s="472" t="str">
        <f>IF(J100=0,"",ROUND((J100+E115-G113)/inputOth!E7*1000,3)-G118)</f>
        <v/>
      </c>
    </row>
    <row r="102" spans="2:11">
      <c r="B102" s="238"/>
      <c r="C102" s="224"/>
      <c r="D102" s="224"/>
      <c r="E102" s="50"/>
      <c r="G102" s="565" t="str">
        <f>CONCATENATE("",E1," Tot Exp/Non-Appr Must Be:")</f>
        <v>2014 Tot Exp/Non-Appr Must Be:</v>
      </c>
      <c r="H102" s="566"/>
      <c r="I102" s="567"/>
      <c r="J102" s="568">
        <f>IF(J100&gt;0,IF(E112&lt;E57,IF(J100=G113,E112,((J100-G113)*(1-D114))+E57),E112+(J100-G113)),0)</f>
        <v>0</v>
      </c>
    </row>
    <row r="103" spans="2:11">
      <c r="B103" s="238"/>
      <c r="C103" s="224"/>
      <c r="D103" s="224"/>
      <c r="E103" s="50"/>
      <c r="G103" s="587" t="s">
        <v>812</v>
      </c>
      <c r="H103" s="564"/>
      <c r="I103" s="564"/>
      <c r="J103" s="699">
        <f>IF(J100&gt;0,J102-E112,0)</f>
        <v>0</v>
      </c>
    </row>
    <row r="104" spans="2:11">
      <c r="B104" s="238"/>
      <c r="C104" s="224"/>
      <c r="D104" s="224"/>
      <c r="E104" s="50"/>
    </row>
    <row r="105" spans="2:11" ht="15.75" customHeight="1">
      <c r="B105" s="239" t="s">
        <v>269</v>
      </c>
      <c r="C105" s="224"/>
      <c r="D105" s="224"/>
      <c r="E105" s="57" t="str">
        <f>nhood!E6</f>
        <v/>
      </c>
      <c r="G105" s="761" t="str">
        <f>CONCATENATE("Projected Carryover Into ",E1+1,"")</f>
        <v>Projected Carryover Into 2015</v>
      </c>
      <c r="H105" s="771"/>
      <c r="I105" s="771"/>
      <c r="J105" s="772"/>
    </row>
    <row r="106" spans="2:11">
      <c r="B106" s="239" t="s">
        <v>268</v>
      </c>
      <c r="C106" s="224"/>
      <c r="D106" s="224"/>
      <c r="E106" s="50"/>
      <c r="G106" s="474"/>
      <c r="H106" s="473"/>
      <c r="I106" s="473"/>
      <c r="J106" s="475"/>
    </row>
    <row r="107" spans="2:11">
      <c r="B107" s="239" t="s">
        <v>791</v>
      </c>
      <c r="C107" s="345" t="str">
        <f>IF(C108*0.1&lt;C106,"Exceed 10% Rule","")</f>
        <v/>
      </c>
      <c r="D107" s="352" t="str">
        <f>IF(D108*0.1&lt;D106,"Exceed 10% Rule","")</f>
        <v/>
      </c>
      <c r="E107" s="254" t="str">
        <f>IF(E108*0.1&lt;E106,"Exceed 10% Rule","")</f>
        <v/>
      </c>
      <c r="G107" s="393">
        <f>D109</f>
        <v>188938</v>
      </c>
      <c r="H107" s="394" t="str">
        <f>CONCATENATE("",E1-1," Ending Cash Balance (est.)")</f>
        <v>2013 Ending Cash Balance (est.)</v>
      </c>
      <c r="I107" s="395"/>
      <c r="J107" s="475"/>
    </row>
    <row r="108" spans="2:11">
      <c r="B108" s="232" t="s">
        <v>37</v>
      </c>
      <c r="C108" s="362">
        <f>SUM(C73:C106)</f>
        <v>909825</v>
      </c>
      <c r="D108" s="362">
        <f>SUM(D73:D106)</f>
        <v>880620</v>
      </c>
      <c r="E108" s="233">
        <f>SUM(E73:E106)</f>
        <v>1012550</v>
      </c>
      <c r="G108" s="393">
        <f>E56</f>
        <v>745422</v>
      </c>
      <c r="H108" s="396" t="str">
        <f>CONCATENATE("",E1," Non-AV Receipts (est.)")</f>
        <v>2014 Non-AV Receipts (est.)</v>
      </c>
      <c r="I108" s="395"/>
      <c r="J108" s="475"/>
    </row>
    <row r="109" spans="2:11">
      <c r="B109" s="131" t="s">
        <v>145</v>
      </c>
      <c r="C109" s="363">
        <f>C57-C108</f>
        <v>274186</v>
      </c>
      <c r="D109" s="363">
        <f>D57-D108</f>
        <v>188938</v>
      </c>
      <c r="E109" s="253" t="s">
        <v>13</v>
      </c>
      <c r="G109" s="397">
        <f>IF(E114&gt;0,E113,E115)</f>
        <v>78190</v>
      </c>
      <c r="H109" s="396" t="str">
        <f>CONCATENATE("",E1," Ad Valorem Tax (est.)")</f>
        <v>2014 Ad Valorem Tax (est.)</v>
      </c>
      <c r="I109" s="395"/>
      <c r="J109" s="475"/>
      <c r="K109" s="705" t="str">
        <f>IF(G109=E115,"","Note: Does not include Delinquent Taxes")</f>
        <v>Note: Does not include Delinquent Taxes</v>
      </c>
    </row>
    <row r="110" spans="2:11">
      <c r="B110" s="119" t="str">
        <f>CONCATENATE("",$E$1-2,"/",$E$1-1," Budget Authority Amount:")</f>
        <v>2012/2013 Budget Authority Amount:</v>
      </c>
      <c r="C110" s="183">
        <f>inputOth!B61</f>
        <v>749080</v>
      </c>
      <c r="D110" s="241">
        <f>inputPrYr!D17</f>
        <v>749080</v>
      </c>
      <c r="E110" s="253" t="s">
        <v>13</v>
      </c>
      <c r="F110" s="242"/>
      <c r="G110" s="393">
        <f>SUM(G107:G109)</f>
        <v>1012550</v>
      </c>
      <c r="H110" s="396" t="str">
        <f>CONCATENATE("Total ",E1," Resources Available")</f>
        <v>Total 2014 Resources Available</v>
      </c>
      <c r="I110" s="395"/>
      <c r="J110" s="475"/>
    </row>
    <row r="111" spans="2:11">
      <c r="B111" s="119"/>
      <c r="C111" s="764" t="s">
        <v>626</v>
      </c>
      <c r="D111" s="765"/>
      <c r="E111" s="50"/>
      <c r="F111" s="384" t="str">
        <f>IF((E108/0.95)-E108&lt;E111,"Exceeds 5% ","")</f>
        <v/>
      </c>
      <c r="G111" s="398"/>
      <c r="H111" s="396"/>
      <c r="I111" s="396"/>
      <c r="J111" s="475"/>
    </row>
    <row r="112" spans="2:11">
      <c r="B112" s="368" t="str">
        <f>CONCATENATE(C140,"     ",D140)</f>
        <v>See Tab A     See Tab C</v>
      </c>
      <c r="C112" s="766" t="s">
        <v>627</v>
      </c>
      <c r="D112" s="767"/>
      <c r="E112" s="193">
        <f>E108+E111</f>
        <v>1012550</v>
      </c>
      <c r="G112" s="397">
        <f>ROUND(C108*0.05+C108,0)</f>
        <v>955316</v>
      </c>
      <c r="H112" s="396" t="str">
        <f>CONCATENATE("Less ",E1-2," Expenditures + 5%")</f>
        <v>Less 2012 Expenditures + 5%</v>
      </c>
      <c r="I112" s="395"/>
      <c r="J112" s="392"/>
    </row>
    <row r="113" spans="2:11">
      <c r="B113" s="368" t="str">
        <f>CONCATENATE(C141,"     ",D141)</f>
        <v xml:space="preserve">     </v>
      </c>
      <c r="C113" s="243"/>
      <c r="D113" s="147" t="s">
        <v>38</v>
      </c>
      <c r="E113" s="57">
        <f>IF(E112-E57&gt;0,E112-E57,0)</f>
        <v>78190</v>
      </c>
      <c r="G113" s="403">
        <f>G110-G112</f>
        <v>57234</v>
      </c>
      <c r="H113" s="399" t="str">
        <f>CONCATENATE("Projected ",E1+1," Carryover (est.)")</f>
        <v>Projected 2015 Carryover (est.)</v>
      </c>
      <c r="I113" s="400"/>
      <c r="J113" s="401"/>
    </row>
    <row r="114" spans="2:11">
      <c r="B114" s="119"/>
      <c r="C114" s="354" t="s">
        <v>628</v>
      </c>
      <c r="D114" s="589">
        <f>inputOth!E47</f>
        <v>1.6E-2</v>
      </c>
      <c r="E114" s="57">
        <f>ROUND(IF(D114&gt;0,(E113*D114),0),0)</f>
        <v>1251</v>
      </c>
    </row>
    <row r="115" spans="2:11" ht="16.5" thickBot="1">
      <c r="B115" s="22"/>
      <c r="C115" s="768" t="str">
        <f>CONCATENATE("Amount of  ",$E$1-1," Ad Valorem Tax")</f>
        <v>Amount of  2013 Ad Valorem Tax</v>
      </c>
      <c r="D115" s="769"/>
      <c r="E115" s="351">
        <f>E113+E114</f>
        <v>79441</v>
      </c>
      <c r="G115" s="773" t="s">
        <v>817</v>
      </c>
      <c r="H115" s="774"/>
      <c r="I115" s="774"/>
      <c r="J115" s="775"/>
    </row>
    <row r="116" spans="2:11" ht="16.5" thickTop="1">
      <c r="B116" s="22"/>
      <c r="C116" s="768"/>
      <c r="D116" s="770"/>
      <c r="E116" s="634"/>
      <c r="G116" s="635"/>
      <c r="H116" s="636"/>
      <c r="I116" s="637"/>
      <c r="J116" s="638"/>
    </row>
    <row r="117" spans="2:11">
      <c r="B117" s="22"/>
      <c r="C117" s="22"/>
      <c r="D117" s="22"/>
      <c r="E117" s="22"/>
      <c r="G117" s="639">
        <f>summ!H16</f>
        <v>10.722</v>
      </c>
      <c r="H117" s="636" t="str">
        <f>CONCATENATE("",E1," Fund Mill Rate")</f>
        <v>2014 Fund Mill Rate</v>
      </c>
      <c r="I117" s="637"/>
      <c r="J117" s="638"/>
    </row>
    <row r="118" spans="2:11">
      <c r="B118" s="150"/>
      <c r="C118" s="119" t="s">
        <v>40</v>
      </c>
      <c r="D118" s="149" t="str">
        <f>CONCATENATE("",D59,"a")</f>
        <v>7a</v>
      </c>
      <c r="E118" s="150"/>
      <c r="G118" s="640">
        <f>summ!E16</f>
        <v>14.801</v>
      </c>
      <c r="H118" s="636" t="str">
        <f>CONCATENATE("",E1-1," Fund Mill Rate")</f>
        <v>2013 Fund Mill Rate</v>
      </c>
      <c r="I118" s="637"/>
      <c r="J118" s="638"/>
    </row>
    <row r="119" spans="2:11">
      <c r="G119" s="641">
        <f>summ!H43</f>
        <v>48.314999999999998</v>
      </c>
      <c r="H119" s="636" t="str">
        <f>CONCATENATE("Total ",E1," Mill Rate")</f>
        <v>Total 2014 Mill Rate</v>
      </c>
      <c r="I119" s="637"/>
      <c r="J119" s="638"/>
    </row>
    <row r="120" spans="2:11">
      <c r="B120" s="83"/>
      <c r="G120" s="640">
        <f>summ!E43</f>
        <v>48.754000000000005</v>
      </c>
      <c r="H120" s="642" t="str">
        <f>CONCATENATE("Total ",E1-1," Mill Rate")</f>
        <v>Total 2013 Mill Rate</v>
      </c>
      <c r="I120" s="643"/>
      <c r="J120" s="644"/>
    </row>
    <row r="121" spans="2:11">
      <c r="K121" s="563"/>
    </row>
    <row r="123" spans="2:11">
      <c r="B123" s="8"/>
      <c r="C123" s="8"/>
    </row>
    <row r="140" spans="3:4" hidden="1">
      <c r="C140" s="23" t="str">
        <f>IF(C108&gt;C110,"See Tab A","")</f>
        <v>See Tab A</v>
      </c>
      <c r="D140" s="23" t="str">
        <f>IF(D108&gt;D110,"See Tab C","")</f>
        <v>See Tab C</v>
      </c>
    </row>
    <row r="141" spans="3:4" hidden="1">
      <c r="C141" s="23" t="str">
        <f>IF(C109&lt;0,"See Tab B","")</f>
        <v/>
      </c>
      <c r="D141" s="23" t="str">
        <f>IF(D109&lt;0,"See Tab D","")</f>
        <v/>
      </c>
    </row>
  </sheetData>
  <mergeCells count="7">
    <mergeCell ref="G98:J98"/>
    <mergeCell ref="C111:D111"/>
    <mergeCell ref="C112:D112"/>
    <mergeCell ref="C115:D115"/>
    <mergeCell ref="C116:D116"/>
    <mergeCell ref="G105:J105"/>
    <mergeCell ref="G115:J115"/>
  </mergeCells>
  <phoneticPr fontId="0" type="noConversion"/>
  <conditionalFormatting sqref="E111">
    <cfRule type="cellIs" dxfId="127" priority="2" stopIfTrue="1" operator="greaterThan">
      <formula>$E$108/0.95-$E$108</formula>
    </cfRule>
  </conditionalFormatting>
  <conditionalFormatting sqref="E106">
    <cfRule type="cellIs" dxfId="126" priority="3" stopIfTrue="1" operator="greaterThan">
      <formula>$E$108*0.1</formula>
    </cfRule>
  </conditionalFormatting>
  <conditionalFormatting sqref="D108">
    <cfRule type="cellIs" dxfId="125" priority="4" stopIfTrue="1" operator="greaterThan">
      <formula>$D$110</formula>
    </cfRule>
  </conditionalFormatting>
  <conditionalFormatting sqref="C108">
    <cfRule type="cellIs" dxfId="124" priority="5" stopIfTrue="1" operator="greaterThan">
      <formula>$C$110</formula>
    </cfRule>
  </conditionalFormatting>
  <conditionalFormatting sqref="C109">
    <cfRule type="cellIs" dxfId="123" priority="6" stopIfTrue="1" operator="lessThan">
      <formula>0</formula>
    </cfRule>
  </conditionalFormatting>
  <conditionalFormatting sqref="C106">
    <cfRule type="cellIs" dxfId="122" priority="7" stopIfTrue="1" operator="greaterThan">
      <formula>$C$108*0.1</formula>
    </cfRule>
  </conditionalFormatting>
  <conditionalFormatting sqref="D106">
    <cfRule type="cellIs" dxfId="121" priority="8" stopIfTrue="1" operator="greaterThan">
      <formula>$D$108*0.1</formula>
    </cfRule>
  </conditionalFormatting>
  <conditionalFormatting sqref="D54">
    <cfRule type="cellIs" dxfId="120" priority="9" stopIfTrue="1" operator="greaterThan">
      <formula>$D$56*0.1</formula>
    </cfRule>
  </conditionalFormatting>
  <conditionalFormatting sqref="C54">
    <cfRule type="cellIs" dxfId="119" priority="10" stopIfTrue="1" operator="greaterThan">
      <formula>$C$56*0.1</formula>
    </cfRule>
  </conditionalFormatting>
  <conditionalFormatting sqref="E54">
    <cfRule type="cellIs" dxfId="118" priority="11" stopIfTrue="1" operator="greaterThan">
      <formula>$E$56*0.1+E115</formula>
    </cfRule>
  </conditionalFormatting>
  <conditionalFormatting sqref="D109">
    <cfRule type="cellIs" dxfId="117" priority="1" stopIfTrue="1" operator="lessThan">
      <formula>0</formula>
    </cfRule>
  </conditionalFormatting>
  <pageMargins left="0.5" right="0.5" top="1" bottom="0.5" header="0.5" footer="0.25"/>
  <pageSetup scale="68" fitToHeight="2" orientation="portrait" blackAndWhite="1" horizontalDpi="120" verticalDpi="144" r:id="rId1"/>
  <headerFooter alignWithMargins="0">
    <oddHeader xml:space="preserve">&amp;RState of Kansas
City
</oddHeader>
  </headerFooter>
  <rowBreaks count="1" manualBreakCount="1">
    <brk id="6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topLeftCell="A28" workbookViewId="0">
      <selection activeCell="D56" sqref="D56"/>
    </sheetView>
  </sheetViews>
  <sheetFormatPr defaultRowHeight="15.75"/>
  <cols>
    <col min="1" max="1" width="28.33203125" style="8" customWidth="1"/>
    <col min="2" max="3" width="15.77734375" style="8" customWidth="1"/>
    <col min="4" max="4" width="16.109375" style="8" customWidth="1"/>
    <col min="5" max="16384" width="8.88671875" style="8"/>
  </cols>
  <sheetData>
    <row r="1" spans="1:4">
      <c r="A1" s="151" t="str">
        <f>inputPrYr!D2</f>
        <v>City of Grandview Plaza, Kansas</v>
      </c>
      <c r="B1" s="22"/>
      <c r="C1" s="149"/>
      <c r="D1" s="22">
        <f>inputPrYr!C5</f>
        <v>2014</v>
      </c>
    </row>
    <row r="2" spans="1:4">
      <c r="A2" s="22"/>
      <c r="B2" s="22"/>
      <c r="C2" s="22"/>
      <c r="D2" s="149"/>
    </row>
    <row r="3" spans="1:4">
      <c r="A3" s="41"/>
      <c r="B3" s="245"/>
      <c r="C3" s="245"/>
      <c r="D3" s="245"/>
    </row>
    <row r="4" spans="1:4">
      <c r="A4" s="149" t="s">
        <v>24</v>
      </c>
      <c r="B4" s="246" t="s">
        <v>807</v>
      </c>
      <c r="C4" s="125" t="s">
        <v>810</v>
      </c>
      <c r="D4" s="125" t="s">
        <v>811</v>
      </c>
    </row>
    <row r="5" spans="1:4">
      <c r="A5" s="520" t="s">
        <v>303</v>
      </c>
      <c r="B5" s="348" t="str">
        <f>CONCATENATE("Actual for ",D1-2,"")</f>
        <v>Actual for 2012</v>
      </c>
      <c r="C5" s="348" t="str">
        <f>CONCATENATE("Estimate for ",D1-1,"")</f>
        <v>Estimate for 2013</v>
      </c>
      <c r="D5" s="222" t="str">
        <f>CONCATENATE("Year for ",D1,"")</f>
        <v>Year for 2014</v>
      </c>
    </row>
    <row r="6" spans="1:4">
      <c r="A6" s="191" t="s">
        <v>36</v>
      </c>
      <c r="B6" s="68"/>
      <c r="C6" s="68"/>
      <c r="D6" s="68"/>
    </row>
    <row r="7" spans="1:4">
      <c r="A7" s="247" t="s">
        <v>942</v>
      </c>
      <c r="B7" s="68"/>
      <c r="C7" s="68"/>
      <c r="D7" s="68"/>
    </row>
    <row r="8" spans="1:4">
      <c r="A8" s="248" t="s">
        <v>41</v>
      </c>
      <c r="B8" s="229">
        <v>58553</v>
      </c>
      <c r="C8" s="229">
        <v>70100</v>
      </c>
      <c r="D8" s="229">
        <v>61000</v>
      </c>
    </row>
    <row r="9" spans="1:4">
      <c r="A9" s="248" t="s">
        <v>945</v>
      </c>
      <c r="B9" s="229">
        <v>1352</v>
      </c>
      <c r="C9" s="229">
        <v>2000</v>
      </c>
      <c r="D9" s="229">
        <v>1500</v>
      </c>
    </row>
    <row r="10" spans="1:4">
      <c r="A10" s="248" t="s">
        <v>946</v>
      </c>
      <c r="B10" s="229">
        <v>15321</v>
      </c>
      <c r="C10" s="229">
        <v>3500</v>
      </c>
      <c r="D10" s="229">
        <v>15500</v>
      </c>
    </row>
    <row r="11" spans="1:4">
      <c r="A11" s="248" t="s">
        <v>947</v>
      </c>
      <c r="B11" s="229">
        <v>14202</v>
      </c>
      <c r="C11" s="229">
        <v>13000</v>
      </c>
      <c r="D11" s="229">
        <v>14500</v>
      </c>
    </row>
    <row r="12" spans="1:4">
      <c r="A12" s="248" t="s">
        <v>948</v>
      </c>
      <c r="B12" s="229">
        <v>6444</v>
      </c>
      <c r="C12" s="229">
        <v>5000</v>
      </c>
      <c r="D12" s="229">
        <v>6500</v>
      </c>
    </row>
    <row r="13" spans="1:4">
      <c r="A13" s="248" t="s">
        <v>949</v>
      </c>
      <c r="B13" s="229">
        <v>2489</v>
      </c>
      <c r="C13" s="229">
        <v>2500</v>
      </c>
      <c r="D13" s="229">
        <v>2500</v>
      </c>
    </row>
    <row r="14" spans="1:4">
      <c r="A14" s="248" t="s">
        <v>950</v>
      </c>
      <c r="B14" s="229">
        <v>3130</v>
      </c>
      <c r="C14" s="229">
        <v>10000</v>
      </c>
      <c r="D14" s="229">
        <v>10000</v>
      </c>
    </row>
    <row r="15" spans="1:4">
      <c r="A15" s="248" t="s">
        <v>951</v>
      </c>
      <c r="B15" s="229">
        <v>0</v>
      </c>
      <c r="C15" s="229">
        <v>2000</v>
      </c>
      <c r="D15" s="229">
        <v>2000</v>
      </c>
    </row>
    <row r="16" spans="1:4">
      <c r="A16" s="248" t="s">
        <v>952</v>
      </c>
      <c r="B16" s="229">
        <v>1767</v>
      </c>
      <c r="C16" s="229">
        <v>2500</v>
      </c>
      <c r="D16" s="229">
        <v>2000</v>
      </c>
    </row>
    <row r="17" spans="1:4">
      <c r="A17" s="53" t="s">
        <v>953</v>
      </c>
      <c r="B17" s="229">
        <v>1718</v>
      </c>
      <c r="C17" s="229">
        <v>2500</v>
      </c>
      <c r="D17" s="229">
        <v>2000</v>
      </c>
    </row>
    <row r="18" spans="1:4">
      <c r="A18" s="53" t="s">
        <v>954</v>
      </c>
      <c r="B18" s="229">
        <v>584</v>
      </c>
      <c r="C18" s="229">
        <v>300</v>
      </c>
      <c r="D18" s="229">
        <v>600</v>
      </c>
    </row>
    <row r="19" spans="1:4">
      <c r="A19" s="191" t="s">
        <v>332</v>
      </c>
      <c r="B19" s="240">
        <f>SUM(B8:B18)</f>
        <v>105560</v>
      </c>
      <c r="C19" s="240">
        <f>SUM(C8:C18)</f>
        <v>113400</v>
      </c>
      <c r="D19" s="240">
        <f>SUM(D8:D18)</f>
        <v>118100</v>
      </c>
    </row>
    <row r="20" spans="1:4">
      <c r="A20" s="249" t="s">
        <v>943</v>
      </c>
      <c r="B20" s="151"/>
      <c r="C20" s="151"/>
      <c r="D20" s="151"/>
    </row>
    <row r="21" spans="1:4">
      <c r="A21" s="248" t="s">
        <v>41</v>
      </c>
      <c r="B21" s="229">
        <v>9955</v>
      </c>
      <c r="C21" s="229">
        <v>9000</v>
      </c>
      <c r="D21" s="229">
        <v>10300</v>
      </c>
    </row>
    <row r="22" spans="1:4">
      <c r="A22" s="248" t="s">
        <v>955</v>
      </c>
      <c r="B22" s="229">
        <v>4710</v>
      </c>
      <c r="C22" s="229">
        <v>6000</v>
      </c>
      <c r="D22" s="229">
        <v>5000</v>
      </c>
    </row>
    <row r="23" spans="1:4">
      <c r="A23" s="248" t="s">
        <v>956</v>
      </c>
      <c r="B23" s="229">
        <v>369</v>
      </c>
      <c r="C23" s="229">
        <v>1000</v>
      </c>
      <c r="D23" s="229">
        <v>500</v>
      </c>
    </row>
    <row r="24" spans="1:4">
      <c r="A24" s="248" t="s">
        <v>951</v>
      </c>
      <c r="B24" s="229">
        <v>3290</v>
      </c>
      <c r="C24" s="229">
        <v>1500</v>
      </c>
      <c r="D24" s="229">
        <v>3000</v>
      </c>
    </row>
    <row r="25" spans="1:4">
      <c r="A25" s="248" t="s">
        <v>957</v>
      </c>
      <c r="B25" s="229">
        <v>9110</v>
      </c>
      <c r="C25" s="229">
        <v>10000</v>
      </c>
      <c r="D25" s="229">
        <v>10000</v>
      </c>
    </row>
    <row r="26" spans="1:4">
      <c r="A26" s="248" t="s">
        <v>958</v>
      </c>
      <c r="B26" s="229">
        <v>20981</v>
      </c>
      <c r="C26" s="229">
        <v>21000</v>
      </c>
      <c r="D26" s="229">
        <v>21000</v>
      </c>
    </row>
    <row r="27" spans="1:4">
      <c r="A27" s="248" t="s">
        <v>959</v>
      </c>
      <c r="B27" s="229">
        <v>19473</v>
      </c>
      <c r="C27" s="229">
        <v>19700</v>
      </c>
      <c r="D27" s="229">
        <v>19700</v>
      </c>
    </row>
    <row r="28" spans="1:4">
      <c r="A28" s="191" t="s">
        <v>332</v>
      </c>
      <c r="B28" s="240">
        <f>SUM(B21:B27)</f>
        <v>67888</v>
      </c>
      <c r="C28" s="240">
        <f>SUM(C21:C27)</f>
        <v>68200</v>
      </c>
      <c r="D28" s="240">
        <f>SUM(D21:D27)</f>
        <v>69500</v>
      </c>
    </row>
    <row r="29" spans="1:4">
      <c r="A29" s="249" t="s">
        <v>944</v>
      </c>
      <c r="B29" s="151"/>
      <c r="C29" s="151"/>
      <c r="D29" s="151"/>
    </row>
    <row r="30" spans="1:4">
      <c r="A30" s="248" t="s">
        <v>41</v>
      </c>
      <c r="B30" s="229">
        <v>311340</v>
      </c>
      <c r="C30" s="229">
        <v>328000</v>
      </c>
      <c r="D30" s="229">
        <v>361000</v>
      </c>
    </row>
    <row r="31" spans="1:4">
      <c r="A31" s="248" t="s">
        <v>1018</v>
      </c>
      <c r="B31" s="229">
        <v>19151</v>
      </c>
      <c r="C31" s="229">
        <v>20000</v>
      </c>
      <c r="D31" s="229">
        <v>20000</v>
      </c>
    </row>
    <row r="32" spans="1:4">
      <c r="A32" s="248" t="s">
        <v>960</v>
      </c>
      <c r="B32" s="229">
        <v>21164</v>
      </c>
      <c r="C32" s="229">
        <v>23000</v>
      </c>
      <c r="D32" s="229">
        <v>29000</v>
      </c>
    </row>
    <row r="33" spans="1:4">
      <c r="A33" s="248" t="s">
        <v>951</v>
      </c>
      <c r="B33" s="229">
        <v>52747</v>
      </c>
      <c r="C33" s="229">
        <v>45000</v>
      </c>
      <c r="D33" s="229">
        <v>50000</v>
      </c>
    </row>
    <row r="34" spans="1:4">
      <c r="A34" s="248" t="s">
        <v>952</v>
      </c>
      <c r="B34" s="229">
        <v>4208</v>
      </c>
      <c r="C34" s="229">
        <v>6100</v>
      </c>
      <c r="D34" s="229">
        <v>6100</v>
      </c>
    </row>
    <row r="35" spans="1:4">
      <c r="A35" s="248" t="s">
        <v>961</v>
      </c>
      <c r="B35" s="229">
        <v>40517</v>
      </c>
      <c r="C35" s="229">
        <v>43000</v>
      </c>
      <c r="D35" s="229">
        <v>45150</v>
      </c>
    </row>
    <row r="36" spans="1:4">
      <c r="A36" s="248" t="s">
        <v>962</v>
      </c>
      <c r="B36" s="229">
        <v>8993</v>
      </c>
      <c r="C36" s="229">
        <v>8600</v>
      </c>
      <c r="D36" s="229">
        <v>7000</v>
      </c>
    </row>
    <row r="37" spans="1:4">
      <c r="A37" s="248" t="s">
        <v>963</v>
      </c>
      <c r="B37" s="229">
        <v>8011</v>
      </c>
      <c r="C37" s="229">
        <v>7400</v>
      </c>
      <c r="D37" s="229">
        <v>8400</v>
      </c>
    </row>
    <row r="38" spans="1:4">
      <c r="A38" s="248" t="s">
        <v>964</v>
      </c>
      <c r="B38" s="229">
        <v>225</v>
      </c>
      <c r="C38" s="229">
        <v>4600</v>
      </c>
      <c r="D38" s="229">
        <v>4600</v>
      </c>
    </row>
    <row r="39" spans="1:4">
      <c r="A39" s="248" t="s">
        <v>965</v>
      </c>
      <c r="B39" s="229">
        <v>13976</v>
      </c>
      <c r="C39" s="229">
        <v>22000</v>
      </c>
      <c r="D39" s="229">
        <v>35000</v>
      </c>
    </row>
    <row r="40" spans="1:4">
      <c r="A40" s="248" t="s">
        <v>949</v>
      </c>
      <c r="B40" s="229">
        <v>9262</v>
      </c>
      <c r="C40" s="229">
        <v>6000</v>
      </c>
      <c r="D40" s="229">
        <v>6000</v>
      </c>
    </row>
    <row r="41" spans="1:4">
      <c r="A41" s="248" t="s">
        <v>966</v>
      </c>
      <c r="B41" s="229">
        <v>15993</v>
      </c>
      <c r="C41" s="229">
        <v>5000</v>
      </c>
      <c r="D41" s="229">
        <v>5000</v>
      </c>
    </row>
    <row r="42" spans="1:4">
      <c r="A42" s="248" t="s">
        <v>953</v>
      </c>
      <c r="B42" s="229">
        <v>7460</v>
      </c>
      <c r="C42" s="229">
        <v>11000</v>
      </c>
      <c r="D42" s="229">
        <v>11000</v>
      </c>
    </row>
    <row r="43" spans="1:4">
      <c r="A43" s="248" t="s">
        <v>967</v>
      </c>
      <c r="B43" s="229">
        <v>5526</v>
      </c>
      <c r="C43" s="229">
        <v>6000</v>
      </c>
      <c r="D43" s="229">
        <v>6300</v>
      </c>
    </row>
    <row r="44" spans="1:4">
      <c r="A44" s="248" t="s">
        <v>968</v>
      </c>
      <c r="B44" s="229">
        <v>14239</v>
      </c>
      <c r="C44" s="229">
        <v>14000</v>
      </c>
      <c r="D44" s="229">
        <v>16000</v>
      </c>
    </row>
    <row r="45" spans="1:4">
      <c r="A45" s="248" t="s">
        <v>948</v>
      </c>
      <c r="B45" s="229">
        <v>3792</v>
      </c>
      <c r="C45" s="229">
        <v>5100</v>
      </c>
      <c r="D45" s="229">
        <v>4400</v>
      </c>
    </row>
    <row r="46" spans="1:4">
      <c r="A46" s="191" t="s">
        <v>332</v>
      </c>
      <c r="B46" s="240">
        <f>SUM(B30:B45)</f>
        <v>536604</v>
      </c>
      <c r="C46" s="240">
        <f>SUM(C30:C45)</f>
        <v>554800</v>
      </c>
      <c r="D46" s="240">
        <f>SUM(D30:D45)</f>
        <v>614950</v>
      </c>
    </row>
    <row r="47" spans="1:4">
      <c r="A47" s="249" t="s">
        <v>74</v>
      </c>
      <c r="B47" s="151"/>
      <c r="C47" s="151"/>
      <c r="D47" s="151"/>
    </row>
    <row r="48" spans="1:4">
      <c r="A48" s="248" t="s">
        <v>969</v>
      </c>
      <c r="B48" s="229">
        <v>8112</v>
      </c>
      <c r="C48" s="229">
        <v>15000</v>
      </c>
      <c r="D48" s="229">
        <v>15000</v>
      </c>
    </row>
    <row r="49" spans="1:4">
      <c r="A49" s="248" t="s">
        <v>970</v>
      </c>
      <c r="B49" s="229">
        <v>55610</v>
      </c>
      <c r="C49" s="229">
        <v>60000</v>
      </c>
      <c r="D49" s="229">
        <v>60000</v>
      </c>
    </row>
    <row r="50" spans="1:4">
      <c r="A50" s="248" t="s">
        <v>971</v>
      </c>
      <c r="B50" s="229">
        <v>1000</v>
      </c>
      <c r="C50" s="229">
        <v>1000</v>
      </c>
      <c r="D50" s="229">
        <v>1000</v>
      </c>
    </row>
    <row r="51" spans="1:4">
      <c r="A51" s="248" t="s">
        <v>1019</v>
      </c>
      <c r="B51" s="229"/>
      <c r="C51" s="229">
        <v>20000</v>
      </c>
      <c r="D51" s="229">
        <v>20000</v>
      </c>
    </row>
    <row r="52" spans="1:4">
      <c r="A52" s="248" t="s">
        <v>972</v>
      </c>
      <c r="B52" s="229">
        <v>51</v>
      </c>
      <c r="C52" s="229">
        <v>14000</v>
      </c>
      <c r="D52" s="229">
        <v>14000</v>
      </c>
    </row>
    <row r="53" spans="1:4">
      <c r="A53" s="191" t="s">
        <v>332</v>
      </c>
      <c r="B53" s="240">
        <f>SUM(B48:B52)</f>
        <v>64773</v>
      </c>
      <c r="C53" s="240">
        <f>SUM(C48:C52)</f>
        <v>110000</v>
      </c>
      <c r="D53" s="240">
        <f>SUM(D48:D52)</f>
        <v>110000</v>
      </c>
    </row>
    <row r="54" spans="1:4">
      <c r="A54" s="249" t="s">
        <v>74</v>
      </c>
      <c r="B54" s="151"/>
      <c r="C54" s="151"/>
      <c r="D54" s="151"/>
    </row>
    <row r="55" spans="1:4">
      <c r="A55" s="248" t="s">
        <v>1042</v>
      </c>
      <c r="B55" s="229">
        <v>135000</v>
      </c>
      <c r="C55" s="229">
        <v>34220</v>
      </c>
      <c r="D55" s="229">
        <v>100000</v>
      </c>
    </row>
    <row r="56" spans="1:4">
      <c r="A56" s="191" t="s">
        <v>332</v>
      </c>
      <c r="B56" s="240">
        <f>SUM(B55:B55)</f>
        <v>135000</v>
      </c>
      <c r="C56" s="240">
        <f>SUM(C55:C55)</f>
        <v>34220</v>
      </c>
      <c r="D56" s="240">
        <f>SUM(D55:D55)</f>
        <v>100000</v>
      </c>
    </row>
    <row r="57" spans="1:4">
      <c r="A57" s="249"/>
      <c r="B57" s="151"/>
      <c r="C57" s="151"/>
      <c r="D57" s="151"/>
    </row>
    <row r="58" spans="1:4">
      <c r="A58" s="248"/>
      <c r="B58" s="229"/>
      <c r="C58" s="229"/>
      <c r="D58" s="229"/>
    </row>
    <row r="59" spans="1:4">
      <c r="A59" s="191" t="s">
        <v>332</v>
      </c>
      <c r="B59" s="240">
        <f>SUM(B58:B58)</f>
        <v>0</v>
      </c>
      <c r="C59" s="240">
        <f>SUM(C58:C58)</f>
        <v>0</v>
      </c>
      <c r="D59" s="240">
        <f>SUM(D58:D58)</f>
        <v>0</v>
      </c>
    </row>
    <row r="60" spans="1:4">
      <c r="A60" s="249"/>
      <c r="B60" s="151"/>
      <c r="C60" s="151"/>
      <c r="D60" s="151"/>
    </row>
    <row r="61" spans="1:4">
      <c r="A61" s="248"/>
      <c r="B61" s="229"/>
      <c r="C61" s="229"/>
      <c r="D61" s="229"/>
    </row>
    <row r="62" spans="1:4">
      <c r="A62" s="191" t="s">
        <v>332</v>
      </c>
      <c r="B62" s="240">
        <f>SUM(B61:B61)</f>
        <v>0</v>
      </c>
      <c r="C62" s="240">
        <f>SUM(C61:C61)</f>
        <v>0</v>
      </c>
      <c r="D62" s="240">
        <f>SUM(D61:D61)</f>
        <v>0</v>
      </c>
    </row>
    <row r="63" spans="1:4">
      <c r="A63" s="249"/>
      <c r="B63" s="151"/>
      <c r="C63" s="151"/>
      <c r="D63" s="151"/>
    </row>
    <row r="64" spans="1:4">
      <c r="A64" s="248"/>
      <c r="B64" s="229"/>
      <c r="C64" s="229"/>
      <c r="D64" s="229"/>
    </row>
    <row r="65" spans="1:4">
      <c r="A65" s="191" t="s">
        <v>332</v>
      </c>
      <c r="B65" s="240">
        <f>SUM(B64:B64)</f>
        <v>0</v>
      </c>
      <c r="C65" s="240">
        <f>SUM(C64:C64)</f>
        <v>0</v>
      </c>
      <c r="D65" s="240">
        <f>SUM(D64:D64)</f>
        <v>0</v>
      </c>
    </row>
    <row r="66" spans="1:4">
      <c r="A66" s="22"/>
      <c r="B66" s="151"/>
      <c r="C66" s="151"/>
      <c r="D66" s="151"/>
    </row>
    <row r="67" spans="1:4" ht="16.5" thickBot="1">
      <c r="A67" s="191" t="s">
        <v>42</v>
      </c>
      <c r="B67" s="250">
        <f>B19+B28+B46+B53+B56+B59+B62+B65</f>
        <v>909825</v>
      </c>
      <c r="C67" s="250">
        <f>C19+C28+C46+C53+C56+C59+C62+C65</f>
        <v>880620</v>
      </c>
      <c r="D67" s="250">
        <f>D19+D28+D46+D53+D56+D59+D62+D65</f>
        <v>1012550</v>
      </c>
    </row>
    <row r="68" spans="1:4" ht="16.5" thickTop="1">
      <c r="A68" s="251" t="s">
        <v>302</v>
      </c>
      <c r="B68" s="151"/>
      <c r="C68" s="151"/>
      <c r="D68" s="151"/>
    </row>
    <row r="69" spans="1:4">
      <c r="A69" s="119" t="s">
        <v>40</v>
      </c>
      <c r="B69" s="570" t="str">
        <f>CONCATENATE("",general!D59,"c")</f>
        <v>7c</v>
      </c>
      <c r="C69" s="151"/>
      <c r="D69" s="151"/>
    </row>
  </sheetData>
  <sheetProtection sheet="1"/>
  <phoneticPr fontId="0" type="noConversion"/>
  <pageMargins left="0.5" right="0.5" top="1" bottom="0.5" header="0.5" footer="0.5"/>
  <pageSetup scale="63" orientation="portrait" blackAndWhite="1" horizontalDpi="300" verticalDpi="300"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4"/>
  <sheetViews>
    <sheetView topLeftCell="A28" zoomScaleNormal="100" workbookViewId="0">
      <selection activeCell="F25" sqref="F25"/>
    </sheetView>
  </sheetViews>
  <sheetFormatPr defaultRowHeight="15.75"/>
  <cols>
    <col min="1" max="1" width="2.44140625" style="23" customWidth="1"/>
    <col min="2" max="2" width="31.109375" style="23" customWidth="1"/>
    <col min="3" max="4" width="15.77734375" style="23" customWidth="1"/>
    <col min="5" max="5" width="16.21875" style="23" customWidth="1"/>
    <col min="6" max="6" width="8.1093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Grandview Plaza, Kansas</v>
      </c>
      <c r="C1" s="151"/>
      <c r="D1" s="22"/>
      <c r="E1" s="185">
        <f>inputPrYr!$C$5</f>
        <v>2014</v>
      </c>
    </row>
    <row r="2" spans="2:5">
      <c r="B2" s="22"/>
      <c r="C2" s="22"/>
      <c r="D2" s="22"/>
      <c r="E2" s="147"/>
    </row>
    <row r="3" spans="2:5">
      <c r="B3" s="41" t="s">
        <v>89</v>
      </c>
      <c r="C3" s="41"/>
      <c r="D3" s="357"/>
      <c r="E3" s="356"/>
    </row>
    <row r="4" spans="2:5">
      <c r="B4" s="29" t="s">
        <v>24</v>
      </c>
      <c r="C4" s="632" t="s">
        <v>807</v>
      </c>
      <c r="D4" s="633" t="s">
        <v>810</v>
      </c>
      <c r="E4" s="125" t="s">
        <v>811</v>
      </c>
    </row>
    <row r="5" spans="2:5">
      <c r="B5" s="364" t="str">
        <f>inputPrYr!B18</f>
        <v>Debt Service</v>
      </c>
      <c r="C5" s="348" t="str">
        <f>CONCATENATE("Actual for ",E1-2,"")</f>
        <v>Actual for 2012</v>
      </c>
      <c r="D5" s="348" t="str">
        <f>CONCATENATE("Estimate for ",E1-1,"")</f>
        <v>Estimate for 2013</v>
      </c>
      <c r="E5" s="222" t="str">
        <f>CONCATENATE("Year for ",E1,"")</f>
        <v>Year for 2014</v>
      </c>
    </row>
    <row r="6" spans="2:5">
      <c r="B6" s="131" t="s">
        <v>144</v>
      </c>
      <c r="C6" s="591">
        <v>6256</v>
      </c>
      <c r="D6" s="347">
        <f>C34</f>
        <v>17260</v>
      </c>
      <c r="E6" s="193">
        <f>D34</f>
        <v>28680</v>
      </c>
    </row>
    <row r="7" spans="2:5">
      <c r="B7" s="131" t="s">
        <v>146</v>
      </c>
      <c r="C7" s="347"/>
      <c r="D7" s="347"/>
      <c r="E7" s="193"/>
    </row>
    <row r="8" spans="2:5">
      <c r="B8" s="131" t="s">
        <v>25</v>
      </c>
      <c r="C8" s="577">
        <v>9259</v>
      </c>
      <c r="D8" s="347">
        <f>IF(inputPrYr!H16&gt;0,inputPrYr!G18,inputPrYr!E18)</f>
        <v>10201</v>
      </c>
      <c r="E8" s="253" t="s">
        <v>13</v>
      </c>
    </row>
    <row r="9" spans="2:5">
      <c r="B9" s="131" t="s">
        <v>26</v>
      </c>
      <c r="C9" s="577">
        <v>23</v>
      </c>
      <c r="D9" s="224"/>
      <c r="E9" s="50"/>
    </row>
    <row r="10" spans="2:5">
      <c r="B10" s="131" t="s">
        <v>27</v>
      </c>
      <c r="C10" s="577">
        <v>364</v>
      </c>
      <c r="D10" s="224">
        <v>627</v>
      </c>
      <c r="E10" s="193">
        <f>mvalloc!D8</f>
        <v>831</v>
      </c>
    </row>
    <row r="11" spans="2:5">
      <c r="B11" s="131" t="s">
        <v>28</v>
      </c>
      <c r="C11" s="577">
        <v>102</v>
      </c>
      <c r="D11" s="224">
        <v>6</v>
      </c>
      <c r="E11" s="193">
        <f>mvalloc!E8</f>
        <v>6</v>
      </c>
    </row>
    <row r="12" spans="2:5">
      <c r="B12" s="239" t="s">
        <v>121</v>
      </c>
      <c r="C12" s="577">
        <v>1</v>
      </c>
      <c r="D12" s="224">
        <v>4</v>
      </c>
      <c r="E12" s="193">
        <f>mvalloc!F8</f>
        <v>3</v>
      </c>
    </row>
    <row r="13" spans="2:5">
      <c r="B13" s="50" t="s">
        <v>973</v>
      </c>
      <c r="C13" s="577">
        <v>356</v>
      </c>
      <c r="D13" s="224"/>
      <c r="E13" s="50"/>
    </row>
    <row r="14" spans="2:5">
      <c r="B14" s="224" t="s">
        <v>1015</v>
      </c>
      <c r="C14" s="577">
        <v>41441</v>
      </c>
      <c r="D14" s="224">
        <v>40000</v>
      </c>
      <c r="E14" s="50">
        <v>40000</v>
      </c>
    </row>
    <row r="15" spans="2:5">
      <c r="B15" s="230"/>
      <c r="C15" s="577"/>
      <c r="D15" s="224"/>
      <c r="E15" s="50"/>
    </row>
    <row r="16" spans="2:5">
      <c r="B16" s="230"/>
      <c r="C16" s="577"/>
      <c r="D16" s="224"/>
      <c r="E16" s="50"/>
    </row>
    <row r="17" spans="2:10">
      <c r="B17" s="263" t="s">
        <v>32</v>
      </c>
      <c r="C17" s="577"/>
      <c r="D17" s="224"/>
      <c r="E17" s="50"/>
    </row>
    <row r="18" spans="2:10">
      <c r="B18" s="131" t="s">
        <v>268</v>
      </c>
      <c r="C18" s="577"/>
      <c r="D18" s="224"/>
      <c r="E18" s="50"/>
    </row>
    <row r="19" spans="2:10">
      <c r="B19" s="131" t="s">
        <v>790</v>
      </c>
      <c r="C19" s="349" t="str">
        <f>IF(C20*0.1&lt;C18,"Exceed 10% Rule","")</f>
        <v/>
      </c>
      <c r="D19" s="366" t="str">
        <f>IF(D20*0.1&lt;D18,"Exceed 10% Rule","")</f>
        <v/>
      </c>
      <c r="E19" s="254" t="str">
        <f>IF(E21*0.01+E40&lt;E18,"Exceed 10% Rule","")</f>
        <v/>
      </c>
    </row>
    <row r="20" spans="2:10">
      <c r="B20" s="232" t="s">
        <v>33</v>
      </c>
      <c r="C20" s="350">
        <f>SUM(C8:C18)</f>
        <v>51546</v>
      </c>
      <c r="D20" s="350">
        <f>SUM(D8:D18)</f>
        <v>50838</v>
      </c>
      <c r="E20" s="258">
        <f>SUM(E8:E18)</f>
        <v>40840</v>
      </c>
    </row>
    <row r="21" spans="2:10">
      <c r="B21" s="232" t="s">
        <v>34</v>
      </c>
      <c r="C21" s="350">
        <f>C6+C20</f>
        <v>57802</v>
      </c>
      <c r="D21" s="350">
        <f>D6+D20</f>
        <v>68098</v>
      </c>
      <c r="E21" s="258">
        <f>E6+E20</f>
        <v>69520</v>
      </c>
    </row>
    <row r="22" spans="2:10">
      <c r="B22" s="131" t="s">
        <v>36</v>
      </c>
      <c r="C22" s="131"/>
      <c r="D22" s="347"/>
      <c r="E22" s="193"/>
    </row>
    <row r="23" spans="2:10">
      <c r="B23" s="230" t="s">
        <v>1016</v>
      </c>
      <c r="C23" s="361">
        <v>25000</v>
      </c>
      <c r="D23" s="50">
        <v>25000</v>
      </c>
      <c r="E23" s="50">
        <v>25000</v>
      </c>
    </row>
    <row r="24" spans="2:10">
      <c r="B24" s="230" t="s">
        <v>1017</v>
      </c>
      <c r="C24" s="361">
        <v>15542</v>
      </c>
      <c r="D24" s="50">
        <v>14418</v>
      </c>
      <c r="E24" s="50">
        <v>13418</v>
      </c>
      <c r="G24" s="782" t="str">
        <f>CONCATENATE("Desired Carryover Into ",E1+1,"")</f>
        <v>Desired Carryover Into 2015</v>
      </c>
      <c r="H24" s="771"/>
      <c r="I24" s="771"/>
      <c r="J24" s="772"/>
    </row>
    <row r="25" spans="2:10">
      <c r="B25" s="230" t="s">
        <v>1053</v>
      </c>
      <c r="C25" s="361"/>
      <c r="D25" s="224"/>
      <c r="E25" s="50">
        <v>60000</v>
      </c>
      <c r="G25" s="578"/>
      <c r="H25" s="573"/>
      <c r="I25" s="575"/>
      <c r="J25" s="579"/>
    </row>
    <row r="26" spans="2:10">
      <c r="B26" s="230"/>
      <c r="C26" s="361"/>
      <c r="D26" s="224"/>
      <c r="E26" s="50"/>
      <c r="G26" s="576" t="s">
        <v>634</v>
      </c>
      <c r="H26" s="575"/>
      <c r="I26" s="575"/>
      <c r="J26" s="574">
        <v>0</v>
      </c>
    </row>
    <row r="27" spans="2:10">
      <c r="B27" s="230"/>
      <c r="C27" s="361"/>
      <c r="D27" s="224"/>
      <c r="E27" s="50"/>
      <c r="G27" s="578" t="s">
        <v>635</v>
      </c>
      <c r="H27" s="573"/>
      <c r="I27" s="573"/>
      <c r="J27" s="592" t="str">
        <f>IF(J26=0,"",ROUND((J26+E40-G39)/inputOth!E7*1000,3)-G44)</f>
        <v/>
      </c>
    </row>
    <row r="28" spans="2:10">
      <c r="B28" s="230"/>
      <c r="C28" s="361"/>
      <c r="D28" s="224"/>
      <c r="E28" s="50"/>
      <c r="G28" s="583" t="str">
        <f>CONCATENATE("",E1," Tot Exp/Non-Appr Must Be:")</f>
        <v>2014 Tot Exp/Non-Appr Must Be:</v>
      </c>
      <c r="H28" s="581"/>
      <c r="I28" s="582"/>
      <c r="J28" s="580">
        <f>IF(J26&gt;0,IF(E37&lt;E21,IF(J26=G39,E37,((J26-G39)*(1-D39))+E21),E37+(J26-G39)),0)</f>
        <v>0</v>
      </c>
    </row>
    <row r="29" spans="2:10">
      <c r="B29" s="230"/>
      <c r="C29" s="361"/>
      <c r="D29" s="224"/>
      <c r="E29" s="50"/>
      <c r="G29" s="587" t="s">
        <v>812</v>
      </c>
      <c r="H29" s="588"/>
      <c r="I29" s="588"/>
      <c r="J29" s="584">
        <f>IF(J26&gt;0,J28-E37,0)</f>
        <v>0</v>
      </c>
    </row>
    <row r="30" spans="2:10">
      <c r="B30" s="359" t="s">
        <v>269</v>
      </c>
      <c r="C30" s="361"/>
      <c r="D30" s="224"/>
      <c r="E30" s="193" t="str">
        <f>nhood!E7</f>
        <v/>
      </c>
    </row>
    <row r="31" spans="2:10">
      <c r="B31" s="359" t="s">
        <v>268</v>
      </c>
      <c r="C31" s="361"/>
      <c r="D31" s="224"/>
      <c r="E31" s="50"/>
      <c r="G31" s="778" t="str">
        <f>CONCATENATE("Projected Carryover Into ",E1+1,"")</f>
        <v>Projected Carryover Into 2015</v>
      </c>
      <c r="H31" s="779"/>
      <c r="I31" s="779"/>
      <c r="J31" s="772"/>
    </row>
    <row r="32" spans="2:10">
      <c r="B32" s="359" t="s">
        <v>630</v>
      </c>
      <c r="C32" s="360" t="str">
        <f>IF(C33*0.1&lt;C31,"Exceed 10% Rule","")</f>
        <v/>
      </c>
      <c r="D32" s="367" t="str">
        <f>IF(D33*0.1&lt;D31,"Exceed 10% Rule","")</f>
        <v/>
      </c>
      <c r="E32" s="358" t="str">
        <f>IF(E33*0.1&lt;E31,"Exceed 10% Rule","")</f>
        <v/>
      </c>
      <c r="G32" s="474"/>
      <c r="H32" s="473"/>
      <c r="I32" s="473"/>
      <c r="J32" s="571"/>
    </row>
    <row r="33" spans="2:11">
      <c r="B33" s="232" t="s">
        <v>37</v>
      </c>
      <c r="C33" s="362">
        <f>SUM(C23:C31)</f>
        <v>40542</v>
      </c>
      <c r="D33" s="362">
        <f>SUM(D23:D31)</f>
        <v>39418</v>
      </c>
      <c r="E33" s="233">
        <f>SUM(E23:E31)</f>
        <v>98418</v>
      </c>
      <c r="G33" s="478">
        <f>D34</f>
        <v>28680</v>
      </c>
      <c r="H33" s="479" t="str">
        <f>CONCATENATE("",E1-1," Ending Cash Balance (est.)")</f>
        <v>2013 Ending Cash Balance (est.)</v>
      </c>
      <c r="I33" s="475"/>
      <c r="J33" s="571"/>
    </row>
    <row r="34" spans="2:11">
      <c r="B34" s="131" t="s">
        <v>145</v>
      </c>
      <c r="C34" s="363">
        <f>C21-C33</f>
        <v>17260</v>
      </c>
      <c r="D34" s="363">
        <f>D21-D33</f>
        <v>28680</v>
      </c>
      <c r="E34" s="253" t="s">
        <v>13</v>
      </c>
      <c r="G34" s="478">
        <f>E20</f>
        <v>40840</v>
      </c>
      <c r="H34" s="480" t="str">
        <f>CONCATENATE("",E1," Non-AV Receipts (est.)")</f>
        <v>2014 Non-AV Receipts (est.)</v>
      </c>
      <c r="I34" s="473"/>
      <c r="J34" s="571"/>
    </row>
    <row r="35" spans="2:11">
      <c r="B35" s="119" t="str">
        <f>CONCATENATE("",E1-2,"/",E1-1," Budget Authority Amount:")</f>
        <v>2012/2013 Budget Authority Amount:</v>
      </c>
      <c r="C35" s="183">
        <f>inputOth!B62</f>
        <v>50543</v>
      </c>
      <c r="D35" s="241">
        <f>inputPrYr!D18</f>
        <v>50543</v>
      </c>
      <c r="E35" s="253" t="s">
        <v>13</v>
      </c>
      <c r="F35" s="242"/>
      <c r="G35" s="481">
        <f>IF(E39&gt;0,E38,E40)</f>
        <v>28898</v>
      </c>
      <c r="H35" s="480" t="str">
        <f>CONCATENATE("",E1," Ad Valorem Tax (est.)")</f>
        <v>2014 Ad Valorem Tax (est.)</v>
      </c>
      <c r="I35" s="473"/>
      <c r="J35" s="571"/>
      <c r="K35" s="590" t="str">
        <f>IF(G35=E40,"","Note: Does not include Delinquent Taxes")</f>
        <v>Note: Does not include Delinquent Taxes</v>
      </c>
    </row>
    <row r="36" spans="2:11">
      <c r="B36" s="119"/>
      <c r="C36" s="764" t="s">
        <v>626</v>
      </c>
      <c r="D36" s="765"/>
      <c r="E36" s="50"/>
      <c r="F36" s="384" t="str">
        <f>IF(E33/0.95-E33&lt;E36,"Exceeds 5%","")</f>
        <v/>
      </c>
      <c r="G36" s="478">
        <f>SUM(G33:G35)</f>
        <v>98418</v>
      </c>
      <c r="H36" s="480" t="str">
        <f>CONCATENATE("Total ",E1," Resources Available")</f>
        <v>Total 2014 Resources Available</v>
      </c>
      <c r="I36" s="475"/>
      <c r="J36" s="571"/>
    </row>
    <row r="37" spans="2:11">
      <c r="B37" s="368" t="str">
        <f>CONCATENATE(C90,"     ",D90)</f>
        <v xml:space="preserve">     </v>
      </c>
      <c r="C37" s="766" t="s">
        <v>627</v>
      </c>
      <c r="D37" s="767"/>
      <c r="E37" s="193">
        <f>E33+E36</f>
        <v>98418</v>
      </c>
      <c r="G37" s="482"/>
      <c r="H37" s="480"/>
      <c r="I37" s="473"/>
      <c r="J37" s="571"/>
    </row>
    <row r="38" spans="2:11">
      <c r="B38" s="368" t="str">
        <f>CONCATENATE(C91,"     ",D91)</f>
        <v xml:space="preserve">     </v>
      </c>
      <c r="C38" s="243"/>
      <c r="D38" s="147" t="s">
        <v>38</v>
      </c>
      <c r="E38" s="57">
        <f>IF(E37-E21&gt;0,E37-E21,0)</f>
        <v>28898</v>
      </c>
      <c r="G38" s="481">
        <f>C33</f>
        <v>40542</v>
      </c>
      <c r="H38" s="480" t="str">
        <f>CONCATENATE("Less ",E1-2," Expenditures")</f>
        <v>Less 2012 Expenditures</v>
      </c>
      <c r="I38" s="473"/>
      <c r="J38" s="571"/>
    </row>
    <row r="39" spans="2:11">
      <c r="B39" s="147"/>
      <c r="C39" s="354" t="s">
        <v>628</v>
      </c>
      <c r="D39" s="589">
        <f>inputOth!E47</f>
        <v>1.6E-2</v>
      </c>
      <c r="E39" s="193">
        <f>ROUND(IF(D39&gt;0,(E38*D39),0),0)</f>
        <v>462</v>
      </c>
      <c r="G39" s="412">
        <f>SUM(G36-G38)</f>
        <v>57876</v>
      </c>
      <c r="H39" s="413" t="str">
        <f>CONCATENATE("Projected ",E1+1," carryover (est.)")</f>
        <v>Projected 2015 carryover (est.)</v>
      </c>
      <c r="I39" s="476"/>
      <c r="J39" s="569"/>
    </row>
    <row r="40" spans="2:11" ht="16.5" thickBot="1">
      <c r="B40" s="22"/>
      <c r="C40" s="776" t="str">
        <f>CONCATENATE("Amount of  ",E1-1," Ad Valorem Tax")</f>
        <v>Amount of  2013 Ad Valorem Tax</v>
      </c>
      <c r="D40" s="777"/>
      <c r="E40" s="259">
        <f>E38+E39</f>
        <v>29360</v>
      </c>
    </row>
    <row r="41" spans="2:11" ht="16.5" thickTop="1">
      <c r="B41" s="22"/>
      <c r="C41" s="776"/>
      <c r="D41" s="776"/>
      <c r="E41" s="355"/>
      <c r="G41" s="773" t="s">
        <v>817</v>
      </c>
      <c r="H41" s="774"/>
      <c r="I41" s="774"/>
      <c r="J41" s="775"/>
    </row>
    <row r="42" spans="2:11">
      <c r="B42" s="22"/>
      <c r="C42" s="355"/>
      <c r="D42" s="355"/>
      <c r="E42" s="355"/>
      <c r="G42" s="706"/>
      <c r="H42" s="665"/>
      <c r="I42" s="694"/>
      <c r="J42" s="695"/>
    </row>
    <row r="43" spans="2:11">
      <c r="B43" s="29"/>
      <c r="C43" s="29"/>
      <c r="D43" s="357"/>
      <c r="E43" s="357"/>
      <c r="G43" s="708">
        <f>summ!H17</f>
        <v>3.9630000000000001</v>
      </c>
      <c r="H43" s="665" t="str">
        <f>CONCATENATE("",E1," Fund Mill Rate")</f>
        <v>2014 Fund Mill Rate</v>
      </c>
      <c r="I43" s="694"/>
      <c r="J43" s="695"/>
    </row>
    <row r="44" spans="2:11">
      <c r="B44" s="29" t="s">
        <v>24</v>
      </c>
      <c r="C44" s="632" t="str">
        <f t="shared" ref="C44:E45" si="0">C4</f>
        <v xml:space="preserve">Prior Year </v>
      </c>
      <c r="D44" s="633" t="str">
        <f t="shared" si="0"/>
        <v xml:space="preserve">Current Year </v>
      </c>
      <c r="E44" s="125" t="str">
        <f t="shared" si="0"/>
        <v xml:space="preserve">Proposed Budget </v>
      </c>
      <c r="G44" s="707" t="str">
        <f>summ!E17</f>
        <v xml:space="preserve">  </v>
      </c>
      <c r="H44" s="665" t="str">
        <f>CONCATENATE("",E1-1," Fund Mill Rate")</f>
        <v>2013 Fund Mill Rate</v>
      </c>
      <c r="I44" s="694"/>
      <c r="J44" s="695"/>
    </row>
    <row r="45" spans="2:11">
      <c r="B45" s="365" t="str">
        <f>inputPrYr!B19</f>
        <v>Library</v>
      </c>
      <c r="C45" s="348" t="str">
        <f t="shared" si="0"/>
        <v>Actual for 2012</v>
      </c>
      <c r="D45" s="348" t="str">
        <f t="shared" si="0"/>
        <v>Estimate for 2013</v>
      </c>
      <c r="E45" s="178" t="str">
        <f t="shared" si="0"/>
        <v>Year for 2014</v>
      </c>
      <c r="G45" s="709">
        <f>summ!H43</f>
        <v>48.314999999999998</v>
      </c>
      <c r="H45" s="665" t="str">
        <f>CONCATENATE("Total ",E1," Mill Rate")</f>
        <v>Total 2014 Mill Rate</v>
      </c>
      <c r="I45" s="694"/>
      <c r="J45" s="695"/>
    </row>
    <row r="46" spans="2:11">
      <c r="B46" s="131" t="s">
        <v>144</v>
      </c>
      <c r="C46" s="361"/>
      <c r="D46" s="347">
        <f>C74</f>
        <v>0</v>
      </c>
      <c r="E46" s="193">
        <f>D74</f>
        <v>0</v>
      </c>
      <c r="G46" s="707">
        <f>summ!E43</f>
        <v>48.754000000000005</v>
      </c>
      <c r="H46" s="690" t="str">
        <f>CONCATENATE("Total ",E1-1," Mill Rate")</f>
        <v>Total 2013 Mill Rate</v>
      </c>
      <c r="I46" s="691"/>
      <c r="J46" s="692"/>
    </row>
    <row r="47" spans="2:11">
      <c r="B47" s="142" t="s">
        <v>146</v>
      </c>
      <c r="C47" s="131"/>
      <c r="D47" s="347"/>
      <c r="E47" s="193"/>
    </row>
    <row r="48" spans="2:11">
      <c r="B48" s="131" t="s">
        <v>25</v>
      </c>
      <c r="C48" s="361"/>
      <c r="D48" s="347">
        <f>IF(inputPrYr!H16&gt;0,inputPrYr!G19,inputPrYr!E19)</f>
        <v>0</v>
      </c>
      <c r="E48" s="253" t="s">
        <v>13</v>
      </c>
    </row>
    <row r="49" spans="2:10">
      <c r="B49" s="131" t="s">
        <v>26</v>
      </c>
      <c r="C49" s="361"/>
      <c r="D49" s="224"/>
      <c r="E49" s="50"/>
    </row>
    <row r="50" spans="2:10">
      <c r="B50" s="131" t="s">
        <v>27</v>
      </c>
      <c r="C50" s="361"/>
      <c r="D50" s="224"/>
      <c r="E50" s="193" t="str">
        <f>mvalloc!D9</f>
        <v xml:space="preserve">  </v>
      </c>
    </row>
    <row r="51" spans="2:10">
      <c r="B51" s="131" t="s">
        <v>28</v>
      </c>
      <c r="C51" s="361"/>
      <c r="D51" s="224"/>
      <c r="E51" s="193" t="str">
        <f>mvalloc!E9</f>
        <v xml:space="preserve"> </v>
      </c>
    </row>
    <row r="52" spans="2:10">
      <c r="B52" s="239" t="s">
        <v>121</v>
      </c>
      <c r="C52" s="361"/>
      <c r="D52" s="224"/>
      <c r="E52" s="193" t="str">
        <f>mvalloc!F9</f>
        <v xml:space="preserve"> </v>
      </c>
    </row>
    <row r="53" spans="2:10">
      <c r="B53" s="50"/>
      <c r="C53" s="361"/>
      <c r="D53" s="224"/>
      <c r="E53" s="50"/>
    </row>
    <row r="54" spans="2:10">
      <c r="B54" s="224"/>
      <c r="C54" s="361"/>
      <c r="D54" s="224"/>
      <c r="E54" s="50"/>
    </row>
    <row r="55" spans="2:10">
      <c r="B55" s="230"/>
      <c r="C55" s="361"/>
      <c r="D55" s="224"/>
      <c r="E55" s="50"/>
    </row>
    <row r="56" spans="2:10">
      <c r="B56" s="230"/>
      <c r="C56" s="361"/>
      <c r="D56" s="224"/>
      <c r="E56" s="50"/>
    </row>
    <row r="57" spans="2:10">
      <c r="B57" s="263" t="s">
        <v>32</v>
      </c>
      <c r="C57" s="361"/>
      <c r="D57" s="224"/>
      <c r="E57" s="50"/>
    </row>
    <row r="58" spans="2:10">
      <c r="B58" s="131" t="s">
        <v>268</v>
      </c>
      <c r="C58" s="361"/>
      <c r="D58" s="224"/>
      <c r="E58" s="50"/>
    </row>
    <row r="59" spans="2:10">
      <c r="B59" s="131" t="s">
        <v>790</v>
      </c>
      <c r="C59" s="349" t="str">
        <f>IF(C60*0.1&lt;C58,"Exceed 10% Rule","")</f>
        <v/>
      </c>
      <c r="D59" s="366" t="str">
        <f>IF(D60*0.1&lt;D58,"Exceed 10% Rule","")</f>
        <v/>
      </c>
      <c r="E59" s="254" t="str">
        <f>IF(E61*0.01+E80&lt;E58,"Exceed 10% Rule","")</f>
        <v/>
      </c>
    </row>
    <row r="60" spans="2:10">
      <c r="B60" s="232" t="s">
        <v>33</v>
      </c>
      <c r="C60" s="362">
        <f>SUM(C48:C58)</f>
        <v>0</v>
      </c>
      <c r="D60" s="362">
        <f>SUM(D48:D58)</f>
        <v>0</v>
      </c>
      <c r="E60" s="233">
        <f>SUM(E48:E58)</f>
        <v>0</v>
      </c>
    </row>
    <row r="61" spans="2:10">
      <c r="B61" s="232" t="s">
        <v>34</v>
      </c>
      <c r="C61" s="362">
        <f>C46+C60</f>
        <v>0</v>
      </c>
      <c r="D61" s="362">
        <f>D46+D60</f>
        <v>0</v>
      </c>
      <c r="E61" s="233">
        <f>E46+E60</f>
        <v>0</v>
      </c>
    </row>
    <row r="62" spans="2:10">
      <c r="B62" s="131" t="s">
        <v>36</v>
      </c>
      <c r="C62" s="131"/>
      <c r="D62" s="347"/>
      <c r="E62" s="193"/>
    </row>
    <row r="63" spans="2:10">
      <c r="B63" s="230"/>
      <c r="C63" s="361"/>
      <c r="D63" s="224"/>
      <c r="E63" s="50"/>
    </row>
    <row r="64" spans="2:10">
      <c r="B64" s="230"/>
      <c r="C64" s="361"/>
      <c r="D64" s="224"/>
      <c r="E64" s="50"/>
      <c r="G64" s="780" t="str">
        <f>CONCATENATE("Desired Carryover Into ",E1+1,"")</f>
        <v>Desired Carryover Into 2015</v>
      </c>
      <c r="H64" s="783"/>
      <c r="I64" s="783"/>
      <c r="J64" s="784"/>
    </row>
    <row r="65" spans="2:11">
      <c r="B65" s="230"/>
      <c r="C65" s="361"/>
      <c r="D65" s="224"/>
      <c r="E65" s="50"/>
      <c r="G65" s="597"/>
      <c r="H65" s="593"/>
      <c r="I65" s="595"/>
      <c r="J65" s="598"/>
    </row>
    <row r="66" spans="2:11">
      <c r="B66" s="230"/>
      <c r="C66" s="361"/>
      <c r="D66" s="224"/>
      <c r="E66" s="50"/>
      <c r="G66" s="596" t="s">
        <v>634</v>
      </c>
      <c r="H66" s="595"/>
      <c r="I66" s="595"/>
      <c r="J66" s="594">
        <v>0</v>
      </c>
    </row>
    <row r="67" spans="2:11">
      <c r="B67" s="230"/>
      <c r="C67" s="361"/>
      <c r="D67" s="224"/>
      <c r="E67" s="50"/>
      <c r="G67" s="597" t="s">
        <v>635</v>
      </c>
      <c r="H67" s="593"/>
      <c r="I67" s="593"/>
      <c r="J67" s="605" t="str">
        <f>IF(J66=0,"",ROUND((J66+E80-G79)/inputOth!E7*1000,3)-G84)</f>
        <v/>
      </c>
    </row>
    <row r="68" spans="2:11">
      <c r="B68" s="230"/>
      <c r="C68" s="361"/>
      <c r="D68" s="224"/>
      <c r="E68" s="50"/>
      <c r="G68" s="602" t="str">
        <f>CONCATENATE("",E1," Tot Exp/Non-Appr Must Be:")</f>
        <v>2014 Tot Exp/Non-Appr Must Be:</v>
      </c>
      <c r="H68" s="600"/>
      <c r="I68" s="601"/>
      <c r="J68" s="599">
        <f>IF(J66&gt;0,IF(E77&lt;E61,IF(J66=G79,E77,((J66-G79)*(1-D79))+E61),E77+(J66-G79)),0)</f>
        <v>0</v>
      </c>
    </row>
    <row r="69" spans="2:11">
      <c r="B69" s="230"/>
      <c r="C69" s="361"/>
      <c r="D69" s="224"/>
      <c r="E69" s="50"/>
      <c r="G69" s="604" t="s">
        <v>812</v>
      </c>
      <c r="H69" s="606"/>
      <c r="I69" s="606"/>
      <c r="J69" s="603">
        <f>IF(J66&gt;0,J68-E77,0)</f>
        <v>0</v>
      </c>
    </row>
    <row r="70" spans="2:11">
      <c r="B70" s="239" t="s">
        <v>269</v>
      </c>
      <c r="C70" s="361"/>
      <c r="D70" s="224"/>
      <c r="E70" s="193" t="str">
        <f>nhood!E8</f>
        <v/>
      </c>
    </row>
    <row r="71" spans="2:11">
      <c r="B71" s="239" t="s">
        <v>268</v>
      </c>
      <c r="C71" s="361"/>
      <c r="D71" s="224"/>
      <c r="E71" s="50"/>
      <c r="G71" s="780" t="str">
        <f>CONCATENATE("Projected Carryover Into ",E1+1,"")</f>
        <v>Projected Carryover Into 2015</v>
      </c>
      <c r="H71" s="781"/>
      <c r="I71" s="781"/>
      <c r="J71" s="772"/>
    </row>
    <row r="72" spans="2:11">
      <c r="B72" s="239" t="s">
        <v>629</v>
      </c>
      <c r="C72" s="349" t="str">
        <f>IF(C73*0.1&lt;C71,"Exceed 10% Rule","")</f>
        <v/>
      </c>
      <c r="D72" s="366" t="str">
        <f>IF(D73*0.1&lt;D71,"Exceed 10% Rule","")</f>
        <v/>
      </c>
      <c r="E72" s="254" t="str">
        <f>IF(E73*0.1&lt;E71,"Exceed 10% Rule","")</f>
        <v/>
      </c>
      <c r="G72" s="608"/>
      <c r="H72" s="607"/>
      <c r="I72" s="607"/>
      <c r="J72" s="700"/>
    </row>
    <row r="73" spans="2:11">
      <c r="B73" s="232" t="s">
        <v>37</v>
      </c>
      <c r="C73" s="362">
        <f>SUM(C63:C71)</f>
        <v>0</v>
      </c>
      <c r="D73" s="362">
        <f>SUM(D63:D71)</f>
        <v>0</v>
      </c>
      <c r="E73" s="233">
        <f>SUM(E63:E71)</f>
        <v>0</v>
      </c>
      <c r="G73" s="610">
        <f>D74</f>
        <v>0</v>
      </c>
      <c r="H73" s="611" t="str">
        <f>CONCATENATE("",E1-1," Ending Cash Balance (est.)")</f>
        <v>2013 Ending Cash Balance (est.)</v>
      </c>
      <c r="I73" s="612"/>
      <c r="J73" s="700"/>
    </row>
    <row r="74" spans="2:11">
      <c r="B74" s="131" t="s">
        <v>145</v>
      </c>
      <c r="C74" s="363">
        <f>C61-C73</f>
        <v>0</v>
      </c>
      <c r="D74" s="363">
        <f>D61-D73</f>
        <v>0</v>
      </c>
      <c r="E74" s="253" t="s">
        <v>13</v>
      </c>
      <c r="G74" s="610">
        <f>E60</f>
        <v>0</v>
      </c>
      <c r="H74" s="613" t="str">
        <f>CONCATENATE("",E1," Non-AV Receipts (est.)")</f>
        <v>2014 Non-AV Receipts (est.)</v>
      </c>
      <c r="I74" s="612"/>
      <c r="J74" s="700"/>
    </row>
    <row r="75" spans="2:11">
      <c r="B75" s="119" t="str">
        <f>CONCATENATE("",E1-2,"/",E1-1," Budget Authority Amount:")</f>
        <v>2012/2013 Budget Authority Amount:</v>
      </c>
      <c r="C75" s="183">
        <f>inputOth!B63</f>
        <v>0</v>
      </c>
      <c r="D75" s="183">
        <f>inputPrYr!D19</f>
        <v>0</v>
      </c>
      <c r="E75" s="253" t="s">
        <v>13</v>
      </c>
      <c r="F75" s="242"/>
      <c r="G75" s="614">
        <f>IF(E79&gt;0,E78,E80)</f>
        <v>0</v>
      </c>
      <c r="H75" s="613" t="str">
        <f>CONCATENATE("",E1," Ad Valorem Tax (est.)")</f>
        <v>2014 Ad Valorem Tax (est.)</v>
      </c>
      <c r="I75" s="612"/>
      <c r="J75" s="700"/>
      <c r="K75" s="590" t="str">
        <f>IF(G75=E80,"","Note: Does not include Delinquent Taxes")</f>
        <v/>
      </c>
    </row>
    <row r="76" spans="2:11">
      <c r="B76" s="119"/>
      <c r="C76" s="764" t="s">
        <v>626</v>
      </c>
      <c r="D76" s="765"/>
      <c r="E76" s="50"/>
      <c r="F76" s="724" t="str">
        <f>IF(E73/0.95-E73&lt;E76,"Exceeds 5%","")</f>
        <v/>
      </c>
      <c r="G76" s="616">
        <f>SUM(G73:G75)</f>
        <v>0</v>
      </c>
      <c r="H76" s="613" t="str">
        <f>CONCATENATE("Total ",E1," Resources Available")</f>
        <v>Total 2014 Resources Available</v>
      </c>
      <c r="I76" s="609"/>
      <c r="J76" s="700"/>
    </row>
    <row r="77" spans="2:11">
      <c r="B77" s="368" t="str">
        <f>CONCATENATE(C93,"     ",D93)</f>
        <v xml:space="preserve">     </v>
      </c>
      <c r="C77" s="766" t="s">
        <v>627</v>
      </c>
      <c r="D77" s="767"/>
      <c r="E77" s="193">
        <f>E73+E76</f>
        <v>0</v>
      </c>
      <c r="G77" s="619"/>
      <c r="H77" s="617"/>
      <c r="I77" s="607"/>
      <c r="J77" s="700"/>
    </row>
    <row r="78" spans="2:11">
      <c r="B78" s="368" t="str">
        <f>CONCATENATE(C94,"     ",D94)</f>
        <v xml:space="preserve">     </v>
      </c>
      <c r="C78" s="243"/>
      <c r="D78" s="147" t="s">
        <v>38</v>
      </c>
      <c r="E78" s="57">
        <f>IF(E77-E61&gt;0,E77-E61,0)</f>
        <v>0</v>
      </c>
      <c r="G78" s="618">
        <f>ROUND(C73*0.05+C73,0)</f>
        <v>0</v>
      </c>
      <c r="H78" s="617" t="str">
        <f>CONCATENATE("Less ",E1-2," Expenditures + 5%")</f>
        <v>Less 2012 Expenditures + 5%</v>
      </c>
      <c r="I78" s="609"/>
      <c r="J78" s="700"/>
    </row>
    <row r="79" spans="2:11">
      <c r="B79" s="147"/>
      <c r="C79" s="354" t="s">
        <v>628</v>
      </c>
      <c r="D79" s="589">
        <f>inputOth!E47</f>
        <v>1.6E-2</v>
      </c>
      <c r="E79" s="193">
        <f>ROUND(IF(D79&gt;0,(E78*D79),0),0)</f>
        <v>0</v>
      </c>
      <c r="G79" s="620">
        <f>G76-G78</f>
        <v>0</v>
      </c>
      <c r="H79" s="621" t="str">
        <f>CONCATENATE("Projected ",E1+1," carryover (est.)")</f>
        <v>Projected 2015 carryover (est.)</v>
      </c>
      <c r="I79" s="615"/>
      <c r="J79" s="569"/>
    </row>
    <row r="80" spans="2:11" ht="16.5" thickBot="1">
      <c r="B80" s="22"/>
      <c r="C80" s="776" t="str">
        <f>CONCATENATE("Amount of  ",E1-1," Ad Valorem Tax")</f>
        <v>Amount of  2013 Ad Valorem Tax</v>
      </c>
      <c r="D80" s="777"/>
      <c r="E80" s="259">
        <f>E78+E79</f>
        <v>0</v>
      </c>
      <c r="F80" s="572" t="e">
        <f>IF(#REF!="","",IF(#REF!="Qualify","Qualifies for State Library Grant","See 'Library Grant' tab"))</f>
        <v>#REF!</v>
      </c>
    </row>
    <row r="81" spans="2:10" ht="16.5" thickTop="1">
      <c r="B81" s="22"/>
      <c r="C81" s="776"/>
      <c r="D81" s="776"/>
      <c r="E81" s="22"/>
      <c r="G81" s="773" t="s">
        <v>817</v>
      </c>
      <c r="H81" s="774"/>
      <c r="I81" s="774"/>
      <c r="J81" s="775"/>
    </row>
    <row r="82" spans="2:10">
      <c r="B82" s="22"/>
      <c r="C82" s="355"/>
      <c r="D82" s="147"/>
      <c r="E82" s="147"/>
      <c r="G82" s="706"/>
      <c r="H82" s="665"/>
      <c r="I82" s="694"/>
      <c r="J82" s="695"/>
    </row>
    <row r="83" spans="2:10">
      <c r="B83" s="119" t="s">
        <v>40</v>
      </c>
      <c r="C83" s="252">
        <v>8</v>
      </c>
      <c r="D83" s="78"/>
      <c r="E83" s="22"/>
      <c r="G83" s="708" t="str">
        <f>summ!H18</f>
        <v xml:space="preserve"> </v>
      </c>
      <c r="H83" s="665" t="str">
        <f>CONCATENATE("",E1," Fund Mill Rate")</f>
        <v>2014 Fund Mill Rate</v>
      </c>
      <c r="I83" s="694"/>
      <c r="J83" s="695"/>
    </row>
    <row r="84" spans="2:10">
      <c r="B84" s="353"/>
      <c r="G84" s="707" t="str">
        <f>summ!E18</f>
        <v xml:space="preserve">  </v>
      </c>
      <c r="H84" s="665" t="str">
        <f>CONCATENATE("",E1-1," Fund Mill Rate")</f>
        <v>2013 Fund Mill Rate</v>
      </c>
      <c r="I84" s="694"/>
      <c r="J84" s="695"/>
    </row>
    <row r="85" spans="2:10">
      <c r="C85" s="83"/>
      <c r="G85" s="709">
        <f>summ!H43</f>
        <v>48.314999999999998</v>
      </c>
      <c r="H85" s="665" t="str">
        <f>CONCATENATE("Total ",E1," Mill Rate")</f>
        <v>Total 2014 Mill Rate</v>
      </c>
      <c r="I85" s="694"/>
      <c r="J85" s="695"/>
    </row>
    <row r="86" spans="2:10">
      <c r="B86" s="83"/>
      <c r="G86" s="707">
        <f>summ!E43</f>
        <v>48.754000000000005</v>
      </c>
      <c r="H86" s="690" t="str">
        <f>CONCATENATE("Total ",E1-1," Mill Rate")</f>
        <v>Total 2013 Mill Rate</v>
      </c>
      <c r="I86" s="691"/>
      <c r="J86" s="692"/>
    </row>
    <row r="90" spans="2:10" hidden="1">
      <c r="C90" s="23" t="str">
        <f>IF(C33&gt;C35,"See Tab A","")</f>
        <v/>
      </c>
      <c r="D90" s="23" t="str">
        <f>IF(D33&gt;D35,"See Tab C","")</f>
        <v/>
      </c>
    </row>
    <row r="91" spans="2:10" hidden="1">
      <c r="C91" s="23" t="str">
        <f>IF(C34&lt;0,"See Tab B","")</f>
        <v/>
      </c>
      <c r="D91" s="23" t="str">
        <f>IF(D34&lt;0,"See Tab D","")</f>
        <v/>
      </c>
    </row>
    <row r="92" spans="2:10" hidden="1"/>
    <row r="93" spans="2:10" hidden="1">
      <c r="C93" s="23" t="str">
        <f>IF(C73&gt;C75,"See Tab A","")</f>
        <v/>
      </c>
      <c r="D93" s="23" t="str">
        <f>IF(D73&gt;D75,"See Tab C","")</f>
        <v/>
      </c>
    </row>
    <row r="94" spans="2:10" hidden="1">
      <c r="C94" s="23" t="str">
        <f>IF(C74&lt;0,"See Tab B","")</f>
        <v/>
      </c>
      <c r="D94" s="23" t="str">
        <f>IF(D74&lt;0,"See Tab D","")</f>
        <v/>
      </c>
    </row>
  </sheetData>
  <sheetProtection sheet="1"/>
  <mergeCells count="14">
    <mergeCell ref="G24:J24"/>
    <mergeCell ref="G64:J64"/>
    <mergeCell ref="C81:D81"/>
    <mergeCell ref="C80:D80"/>
    <mergeCell ref="C76:D76"/>
    <mergeCell ref="C77:D77"/>
    <mergeCell ref="C36:D36"/>
    <mergeCell ref="G81:J81"/>
    <mergeCell ref="C37:D37"/>
    <mergeCell ref="C40:D40"/>
    <mergeCell ref="C41:D41"/>
    <mergeCell ref="G31:J31"/>
    <mergeCell ref="G41:J41"/>
    <mergeCell ref="G71:J71"/>
  </mergeCells>
  <phoneticPr fontId="11" type="noConversion"/>
  <conditionalFormatting sqref="E71">
    <cfRule type="cellIs" dxfId="116" priority="20" stopIfTrue="1" operator="greaterThan">
      <formula>$E$73*0.1</formula>
    </cfRule>
  </conditionalFormatting>
  <conditionalFormatting sqref="E76">
    <cfRule type="cellIs" dxfId="115" priority="19" stopIfTrue="1" operator="greaterThan">
      <formula>$E$73/0.95-$E$73</formula>
    </cfRule>
  </conditionalFormatting>
  <conditionalFormatting sqref="E31">
    <cfRule type="cellIs" dxfId="114" priority="18" stopIfTrue="1" operator="greaterThan">
      <formula>$E$33*0.1</formula>
    </cfRule>
  </conditionalFormatting>
  <conditionalFormatting sqref="E36">
    <cfRule type="cellIs" dxfId="113" priority="17" stopIfTrue="1" operator="greaterThan">
      <formula>$E$33/0.95-$E$33</formula>
    </cfRule>
  </conditionalFormatting>
  <conditionalFormatting sqref="C73">
    <cfRule type="cellIs" dxfId="112" priority="16" stopIfTrue="1" operator="greaterThan">
      <formula>$C$75</formula>
    </cfRule>
  </conditionalFormatting>
  <conditionalFormatting sqref="C74 C34">
    <cfRule type="cellIs" dxfId="111" priority="15" stopIfTrue="1" operator="lessThan">
      <formula>0</formula>
    </cfRule>
  </conditionalFormatting>
  <conditionalFormatting sqref="D73">
    <cfRule type="cellIs" dxfId="110" priority="14" stopIfTrue="1" operator="greaterThan">
      <formula>$D$75</formula>
    </cfRule>
  </conditionalFormatting>
  <conditionalFormatting sqref="C33">
    <cfRule type="cellIs" dxfId="109" priority="13" stopIfTrue="1" operator="greaterThan">
      <formula>$C$35</formula>
    </cfRule>
  </conditionalFormatting>
  <conditionalFormatting sqref="D33">
    <cfRule type="cellIs" dxfId="108" priority="12" stopIfTrue="1" operator="greaterThan">
      <formula>$D$35</formula>
    </cfRule>
  </conditionalFormatting>
  <conditionalFormatting sqref="C31">
    <cfRule type="cellIs" dxfId="107" priority="11" stopIfTrue="1" operator="greaterThan">
      <formula>$C$33*0.1</formula>
    </cfRule>
  </conditionalFormatting>
  <conditionalFormatting sqref="D31">
    <cfRule type="cellIs" dxfId="106" priority="10" stopIfTrue="1" operator="greaterThan">
      <formula>$D$33*0.1</formula>
    </cfRule>
  </conditionalFormatting>
  <conditionalFormatting sqref="C71">
    <cfRule type="cellIs" dxfId="105" priority="9" stopIfTrue="1" operator="greaterThan">
      <formula>$C$73*0.1</formula>
    </cfRule>
  </conditionalFormatting>
  <conditionalFormatting sqref="D71">
    <cfRule type="cellIs" dxfId="104" priority="8" stopIfTrue="1" operator="greaterThan">
      <formula>$D$73*0.1</formula>
    </cfRule>
  </conditionalFormatting>
  <conditionalFormatting sqref="D18">
    <cfRule type="cellIs" dxfId="103" priority="7" stopIfTrue="1" operator="greaterThan">
      <formula>$D$20*0.1</formula>
    </cfRule>
  </conditionalFormatting>
  <conditionalFormatting sqref="C18">
    <cfRule type="cellIs" dxfId="102" priority="6" stopIfTrue="1" operator="greaterThan">
      <formula>$C$20*0.1</formula>
    </cfRule>
  </conditionalFormatting>
  <conditionalFormatting sqref="E18">
    <cfRule type="cellIs" dxfId="101" priority="5" stopIfTrue="1" operator="greaterThan">
      <formula>$E$20*0.1+E40</formula>
    </cfRule>
  </conditionalFormatting>
  <conditionalFormatting sqref="C58">
    <cfRule type="cellIs" dxfId="100" priority="4" stopIfTrue="1" operator="greaterThan">
      <formula>$C$60*0.1</formula>
    </cfRule>
  </conditionalFormatting>
  <conditionalFormatting sqref="D58">
    <cfRule type="cellIs" dxfId="99" priority="3" stopIfTrue="1" operator="greaterThan">
      <formula>$D$60*0.1</formula>
    </cfRule>
  </conditionalFormatting>
  <conditionalFormatting sqref="E58">
    <cfRule type="cellIs" dxfId="98" priority="2" stopIfTrue="1" operator="greaterThan">
      <formula>$E$60*0.1+E80</formula>
    </cfRule>
  </conditionalFormatting>
  <conditionalFormatting sqref="D74 D34">
    <cfRule type="cellIs" dxfId="97" priority="1" stopIfTrue="1" operator="lessThan">
      <formula>0</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8"/>
  <sheetViews>
    <sheetView zoomScaleNormal="100" workbookViewId="0">
      <selection activeCell="D65" sqref="D65"/>
    </sheetView>
  </sheetViews>
  <sheetFormatPr defaultRowHeight="15.75"/>
  <cols>
    <col min="1" max="1" width="2.44140625" style="23" customWidth="1"/>
    <col min="2" max="2" width="31.109375" style="23" customWidth="1"/>
    <col min="3" max="4" width="15.77734375" style="23" customWidth="1"/>
    <col min="5" max="5" width="16.3320312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Grandview Plaza, Kansas</v>
      </c>
      <c r="C1" s="22"/>
      <c r="D1" s="22"/>
      <c r="E1" s="212">
        <f>inputPrYr!C5</f>
        <v>2014</v>
      </c>
    </row>
    <row r="2" spans="2:5">
      <c r="B2" s="22"/>
      <c r="C2" s="22"/>
      <c r="D2" s="22"/>
      <c r="E2" s="147"/>
    </row>
    <row r="3" spans="2:5">
      <c r="B3" s="41" t="s">
        <v>89</v>
      </c>
      <c r="C3" s="169"/>
      <c r="D3" s="169"/>
      <c r="E3" s="256"/>
    </row>
    <row r="4" spans="2:5">
      <c r="B4" s="29" t="s">
        <v>24</v>
      </c>
      <c r="C4" s="632" t="s">
        <v>807</v>
      </c>
      <c r="D4" s="633" t="s">
        <v>810</v>
      </c>
      <c r="E4" s="125" t="s">
        <v>811</v>
      </c>
    </row>
    <row r="5" spans="2:5">
      <c r="B5" s="365" t="str">
        <f>inputPrYr!B21</f>
        <v>Street Lighting</v>
      </c>
      <c r="C5" s="348" t="str">
        <f>CONCATENATE("Actual for ",E1-2,"")</f>
        <v>Actual for 2012</v>
      </c>
      <c r="D5" s="348" t="str">
        <f>CONCATENATE("Estimate for ",E1-1,"")</f>
        <v>Estimate for 2013</v>
      </c>
      <c r="E5" s="222" t="str">
        <f>CONCATENATE("Year for ",E1,"")</f>
        <v>Year for 2014</v>
      </c>
    </row>
    <row r="6" spans="2:5">
      <c r="B6" s="223" t="s">
        <v>144</v>
      </c>
      <c r="C6" s="224">
        <v>526</v>
      </c>
      <c r="D6" s="347">
        <f>C34</f>
        <v>918</v>
      </c>
      <c r="E6" s="193">
        <f>D34</f>
        <v>283</v>
      </c>
    </row>
    <row r="7" spans="2:5">
      <c r="B7" s="226" t="s">
        <v>146</v>
      </c>
      <c r="C7" s="139"/>
      <c r="D7" s="139"/>
      <c r="E7" s="68"/>
    </row>
    <row r="8" spans="2:5">
      <c r="B8" s="131" t="s">
        <v>25</v>
      </c>
      <c r="C8" s="224">
        <v>16549</v>
      </c>
      <c r="D8" s="347">
        <f>IF(inputPrYr!H16&gt;0,inputPrYr!G21,inputPrYr!E21)</f>
        <v>18228</v>
      </c>
      <c r="E8" s="253" t="s">
        <v>13</v>
      </c>
    </row>
    <row r="9" spans="2:5">
      <c r="B9" s="131" t="s">
        <v>26</v>
      </c>
      <c r="C9" s="224">
        <v>232</v>
      </c>
      <c r="D9" s="224"/>
      <c r="E9" s="50"/>
    </row>
    <row r="10" spans="2:5">
      <c r="B10" s="131" t="s">
        <v>27</v>
      </c>
      <c r="C10" s="224">
        <v>1653</v>
      </c>
      <c r="D10" s="224">
        <v>1120</v>
      </c>
      <c r="E10" s="193">
        <f>mvalloc!D10</f>
        <v>1484</v>
      </c>
    </row>
    <row r="11" spans="2:5">
      <c r="B11" s="131" t="s">
        <v>28</v>
      </c>
      <c r="C11" s="224">
        <v>11</v>
      </c>
      <c r="D11" s="224">
        <v>10</v>
      </c>
      <c r="E11" s="193">
        <f>mvalloc!E10</f>
        <v>11</v>
      </c>
    </row>
    <row r="12" spans="2:5">
      <c r="B12" s="139" t="s">
        <v>121</v>
      </c>
      <c r="C12" s="224">
        <v>9</v>
      </c>
      <c r="D12" s="224">
        <v>7</v>
      </c>
      <c r="E12" s="193">
        <f>mvalloc!F10</f>
        <v>6</v>
      </c>
    </row>
    <row r="13" spans="2:5">
      <c r="B13" s="50" t="s">
        <v>973</v>
      </c>
      <c r="C13" s="224">
        <v>1560</v>
      </c>
      <c r="D13" s="224"/>
      <c r="E13" s="50"/>
    </row>
    <row r="14" spans="2:5">
      <c r="B14" s="238"/>
      <c r="C14" s="224"/>
      <c r="D14" s="224"/>
      <c r="E14" s="50"/>
    </row>
    <row r="15" spans="2:5">
      <c r="B15" s="238"/>
      <c r="C15" s="224"/>
      <c r="D15" s="224"/>
      <c r="E15" s="50"/>
    </row>
    <row r="16" spans="2:5">
      <c r="B16" s="238"/>
      <c r="C16" s="224"/>
      <c r="D16" s="224"/>
      <c r="E16" s="50"/>
    </row>
    <row r="17" spans="2:10">
      <c r="B17" s="230" t="s">
        <v>32</v>
      </c>
      <c r="C17" s="224"/>
      <c r="D17" s="224"/>
      <c r="E17" s="50"/>
    </row>
    <row r="18" spans="2:10">
      <c r="B18" s="139" t="s">
        <v>268</v>
      </c>
      <c r="C18" s="224"/>
      <c r="D18" s="224"/>
      <c r="E18" s="50"/>
    </row>
    <row r="19" spans="2:10">
      <c r="B19" s="223" t="s">
        <v>790</v>
      </c>
      <c r="C19" s="345" t="str">
        <f>IF(C20*0.1&lt;C18,"Exceed 10% Rule","")</f>
        <v/>
      </c>
      <c r="D19" s="345" t="str">
        <f>IF(D20*0.1&lt;D18,"Exceed 10% Rule","")</f>
        <v/>
      </c>
      <c r="E19" s="352" t="str">
        <f>IF(E20*0.1+E40&lt;E18,"Exceed 10% Rule","")</f>
        <v/>
      </c>
    </row>
    <row r="20" spans="2:10">
      <c r="B20" s="232" t="s">
        <v>33</v>
      </c>
      <c r="C20" s="350">
        <f>SUM(C8:C18)</f>
        <v>20014</v>
      </c>
      <c r="D20" s="350">
        <f>SUM(D8:D18)</f>
        <v>19365</v>
      </c>
      <c r="E20" s="258">
        <f>SUM(E8:E18)</f>
        <v>1501</v>
      </c>
    </row>
    <row r="21" spans="2:10">
      <c r="B21" s="232" t="s">
        <v>34</v>
      </c>
      <c r="C21" s="347">
        <f>C6+C20</f>
        <v>20540</v>
      </c>
      <c r="D21" s="347">
        <f>D6+D20</f>
        <v>20283</v>
      </c>
      <c r="E21" s="193">
        <f>E6+E20</f>
        <v>1784</v>
      </c>
    </row>
    <row r="22" spans="2:10">
      <c r="B22" s="131" t="s">
        <v>36</v>
      </c>
      <c r="C22" s="239"/>
      <c r="D22" s="239"/>
      <c r="E22" s="48"/>
    </row>
    <row r="23" spans="2:10">
      <c r="B23" s="238" t="s">
        <v>974</v>
      </c>
      <c r="C23" s="224">
        <v>19622</v>
      </c>
      <c r="D23" s="224">
        <v>20000</v>
      </c>
      <c r="E23" s="50">
        <v>20000</v>
      </c>
    </row>
    <row r="24" spans="2:10">
      <c r="B24" s="238"/>
      <c r="C24" s="224"/>
      <c r="D24" s="224"/>
      <c r="E24" s="50"/>
      <c r="G24" s="782" t="str">
        <f>CONCATENATE("Desired Carryover Into ",E1+1,"")</f>
        <v>Desired Carryover Into 2015</v>
      </c>
      <c r="H24" s="771"/>
      <c r="I24" s="771"/>
      <c r="J24" s="772"/>
    </row>
    <row r="25" spans="2:10">
      <c r="B25" s="238"/>
      <c r="C25" s="224"/>
      <c r="D25" s="224"/>
      <c r="E25" s="50"/>
      <c r="G25" s="673"/>
      <c r="H25" s="660"/>
      <c r="I25" s="667"/>
      <c r="J25" s="674"/>
    </row>
    <row r="26" spans="2:10">
      <c r="B26" s="238"/>
      <c r="C26" s="224"/>
      <c r="D26" s="224"/>
      <c r="E26" s="50"/>
      <c r="G26" s="672" t="s">
        <v>634</v>
      </c>
      <c r="H26" s="667"/>
      <c r="I26" s="667"/>
      <c r="J26" s="661">
        <v>0</v>
      </c>
    </row>
    <row r="27" spans="2:10">
      <c r="B27" s="238"/>
      <c r="C27" s="224"/>
      <c r="D27" s="224"/>
      <c r="E27" s="50"/>
      <c r="G27" s="673" t="s">
        <v>635</v>
      </c>
      <c r="H27" s="660"/>
      <c r="I27" s="660"/>
      <c r="J27" s="701" t="str">
        <f>IF(J26=0,"",ROUND((J26+E40-G39)/inputOth!E7*1000,3)-G44)</f>
        <v/>
      </c>
    </row>
    <row r="28" spans="2:10">
      <c r="B28" s="238"/>
      <c r="C28" s="224"/>
      <c r="D28" s="224"/>
      <c r="E28" s="50"/>
      <c r="G28" s="698" t="str">
        <f>CONCATENATE("",E1," Tot Exp/Non-Appr Must Be:")</f>
        <v>2014 Tot Exp/Non-Appr Must Be:</v>
      </c>
      <c r="H28" s="696"/>
      <c r="I28" s="697"/>
      <c r="J28" s="693">
        <f>IF(J26&gt;0,IF(E37&lt;E21,IF(J26=G39,E37,((J26-G39)*(1-D39))+E21),E37+(J26-G39)),0)</f>
        <v>0</v>
      </c>
    </row>
    <row r="29" spans="2:10">
      <c r="B29" s="238"/>
      <c r="C29" s="224"/>
      <c r="D29" s="224"/>
      <c r="E29" s="50"/>
      <c r="G29" s="587" t="s">
        <v>812</v>
      </c>
      <c r="H29" s="704"/>
      <c r="I29" s="704"/>
      <c r="J29" s="699">
        <f>IF(J26&gt;0,J28-E37,0)</f>
        <v>0</v>
      </c>
    </row>
    <row r="30" spans="2:10">
      <c r="B30" s="239" t="s">
        <v>269</v>
      </c>
      <c r="C30" s="224"/>
      <c r="D30" s="224"/>
      <c r="E30" s="57" t="str">
        <f>nhood!E9</f>
        <v/>
      </c>
      <c r="J30" s="650"/>
    </row>
    <row r="31" spans="2:10">
      <c r="B31" s="239" t="s">
        <v>268</v>
      </c>
      <c r="C31" s="224"/>
      <c r="D31" s="224"/>
      <c r="E31" s="50"/>
      <c r="G31" s="782" t="str">
        <f>CONCATENATE("Projected Carryover Into ",E1+1,"")</f>
        <v>Projected Carryover Into 2015</v>
      </c>
      <c r="H31" s="779"/>
      <c r="I31" s="779"/>
      <c r="J31" s="785"/>
    </row>
    <row r="32" spans="2:10">
      <c r="B32" s="239" t="s">
        <v>791</v>
      </c>
      <c r="C32" s="345" t="str">
        <f>IF(C33*0.1&lt;C31,"Exceed 10% Rule","")</f>
        <v/>
      </c>
      <c r="D32" s="345" t="str">
        <f>IF(D33*0.1&lt;D31,"Exceed 10% Rule","")</f>
        <v/>
      </c>
      <c r="E32" s="352" t="str">
        <f>IF(E33*0.1&lt;E31,"Exceed 10% Rule","")</f>
        <v/>
      </c>
      <c r="G32" s="673"/>
      <c r="H32" s="667"/>
      <c r="I32" s="667"/>
      <c r="J32" s="710"/>
    </row>
    <row r="33" spans="2:11">
      <c r="B33" s="232" t="s">
        <v>37</v>
      </c>
      <c r="C33" s="350">
        <f>SUM(C23:C31)</f>
        <v>19622</v>
      </c>
      <c r="D33" s="350">
        <f>SUM(D23:D31)</f>
        <v>20000</v>
      </c>
      <c r="E33" s="258">
        <f>SUM(E23:E31)</f>
        <v>20000</v>
      </c>
      <c r="G33" s="664">
        <f>D34</f>
        <v>283</v>
      </c>
      <c r="H33" s="665" t="str">
        <f>CONCATENATE("",E1-1," Ending Cash Balance (est.)")</f>
        <v>2013 Ending Cash Balance (est.)</v>
      </c>
      <c r="I33" s="666"/>
      <c r="J33" s="710"/>
    </row>
    <row r="34" spans="2:11">
      <c r="B34" s="131" t="s">
        <v>145</v>
      </c>
      <c r="C34" s="347">
        <f>C21-C33</f>
        <v>918</v>
      </c>
      <c r="D34" s="347">
        <f>D21-D33</f>
        <v>283</v>
      </c>
      <c r="E34" s="253" t="s">
        <v>13</v>
      </c>
      <c r="G34" s="664">
        <f>E20</f>
        <v>1501</v>
      </c>
      <c r="H34" s="667" t="str">
        <f>CONCATENATE("",E1," Non-AV Receipts (est.)")</f>
        <v>2014 Non-AV Receipts (est.)</v>
      </c>
      <c r="I34" s="666"/>
      <c r="J34" s="710"/>
    </row>
    <row r="35" spans="2:11">
      <c r="B35" s="119" t="str">
        <f>CONCATENATE("",$E$1-2,"/",$E$1-1," Budget Authority Amount:")</f>
        <v>2012/2013 Budget Authority Amount:</v>
      </c>
      <c r="C35" s="183">
        <f>inputOth!B64</f>
        <v>20000</v>
      </c>
      <c r="D35" s="241">
        <f>inputPrYr!D21</f>
        <v>20000</v>
      </c>
      <c r="E35" s="253" t="s">
        <v>13</v>
      </c>
      <c r="F35" s="242"/>
      <c r="G35" s="668">
        <f>IF(E39&gt;0,E38,E40)</f>
        <v>18216</v>
      </c>
      <c r="H35" s="667" t="str">
        <f>CONCATENATE("",E1," Ad Valorem Tax (est.)")</f>
        <v>2014 Ad Valorem Tax (est.)</v>
      </c>
      <c r="I35" s="666"/>
      <c r="J35" s="712"/>
      <c r="K35" s="590" t="str">
        <f>IF(G35=E40,"","Note: Does not include Delinquent Taxes")</f>
        <v>Note: Does not include Delinquent Taxes</v>
      </c>
    </row>
    <row r="36" spans="2:11">
      <c r="B36" s="119"/>
      <c r="C36" s="764" t="s">
        <v>626</v>
      </c>
      <c r="D36" s="765"/>
      <c r="E36" s="50"/>
      <c r="F36" s="724" t="str">
        <f>IF(E33/0.95-E33&lt;E36,"Exceeds 5%","")</f>
        <v/>
      </c>
      <c r="G36" s="664">
        <f>SUM(G33:G35)</f>
        <v>20000</v>
      </c>
      <c r="H36" s="667" t="str">
        <f>CONCATENATE("Total ",E1," Resources Available")</f>
        <v>Total 2014 Resources Available</v>
      </c>
      <c r="I36" s="666"/>
      <c r="J36" s="710"/>
    </row>
    <row r="37" spans="2:11">
      <c r="B37" s="368" t="str">
        <f>CONCATENATE(C95,"     ",D95)</f>
        <v xml:space="preserve">     </v>
      </c>
      <c r="C37" s="766" t="s">
        <v>627</v>
      </c>
      <c r="D37" s="767"/>
      <c r="E37" s="193">
        <f>SUM(E33+E36)</f>
        <v>20000</v>
      </c>
      <c r="G37" s="669"/>
      <c r="H37" s="667"/>
      <c r="I37" s="667"/>
      <c r="J37" s="710"/>
    </row>
    <row r="38" spans="2:11">
      <c r="B38" s="368" t="str">
        <f>CONCATENATE(C96,"     ",D96)</f>
        <v xml:space="preserve">     </v>
      </c>
      <c r="C38" s="354"/>
      <c r="D38" s="147" t="s">
        <v>38</v>
      </c>
      <c r="E38" s="193">
        <f>IF(E37-E21&gt;0,E37-E21,0)</f>
        <v>18216</v>
      </c>
      <c r="G38" s="668">
        <f>ROUND(C33*0.05+C33,0)</f>
        <v>20603</v>
      </c>
      <c r="H38" s="667" t="str">
        <f>CONCATENATE("Less ",E1-2," Expenditures + 5%")</f>
        <v>Less 2012 Expenditures + 5%</v>
      </c>
      <c r="I38" s="666"/>
      <c r="J38" s="710"/>
    </row>
    <row r="39" spans="2:11">
      <c r="B39" s="368"/>
      <c r="C39" s="354" t="s">
        <v>628</v>
      </c>
      <c r="D39" s="589">
        <f>inputOth!$E$47</f>
        <v>1.6E-2</v>
      </c>
      <c r="E39" s="193">
        <f>ROUND(IF(D39&gt;0,(E38*D39),0),0)</f>
        <v>291</v>
      </c>
      <c r="G39" s="702">
        <f>G36-G38</f>
        <v>-603</v>
      </c>
      <c r="H39" s="703" t="str">
        <f>CONCATENATE("Projected ",E1+1," carryover (est.)")</f>
        <v>Projected 2015 carryover (est.)</v>
      </c>
      <c r="I39" s="670"/>
      <c r="J39" s="711"/>
    </row>
    <row r="40" spans="2:11" ht="16.5" thickBot="1">
      <c r="B40" s="22"/>
      <c r="C40" s="768" t="str">
        <f>CONCATENATE("Amount of  ",$E$1-1," Ad Valorem Tax")</f>
        <v>Amount of  2013 Ad Valorem Tax</v>
      </c>
      <c r="D40" s="769"/>
      <c r="E40" s="259">
        <f>SUM(E38:E39)</f>
        <v>18507</v>
      </c>
      <c r="G40" s="650"/>
      <c r="H40" s="650"/>
      <c r="I40" s="650"/>
      <c r="J40" s="650"/>
    </row>
    <row r="41" spans="2:11" ht="16.5" thickTop="1">
      <c r="B41" s="22"/>
      <c r="C41" s="776"/>
      <c r="D41" s="776"/>
      <c r="E41" s="22"/>
      <c r="G41" s="773" t="s">
        <v>817</v>
      </c>
      <c r="H41" s="774"/>
      <c r="I41" s="774"/>
      <c r="J41" s="775"/>
    </row>
    <row r="42" spans="2:11">
      <c r="B42" s="22"/>
      <c r="C42" s="22"/>
      <c r="D42" s="22"/>
      <c r="E42" s="22"/>
      <c r="G42" s="706"/>
      <c r="H42" s="665"/>
      <c r="I42" s="694"/>
      <c r="J42" s="695"/>
    </row>
    <row r="43" spans="2:11">
      <c r="B43" s="29"/>
      <c r="C43" s="257"/>
      <c r="D43" s="257"/>
      <c r="E43" s="257"/>
      <c r="G43" s="708">
        <f>summ!H19</f>
        <v>2.4980000000000002</v>
      </c>
      <c r="H43" s="665" t="str">
        <f>CONCATENATE("",E1," Fund Mill Rate")</f>
        <v>2014 Fund Mill Rate</v>
      </c>
      <c r="I43" s="694"/>
      <c r="J43" s="695"/>
    </row>
    <row r="44" spans="2:11">
      <c r="B44" s="29" t="s">
        <v>24</v>
      </c>
      <c r="C44" s="632" t="str">
        <f t="shared" ref="C44:E45" si="0">C4</f>
        <v xml:space="preserve">Prior Year </v>
      </c>
      <c r="D44" s="633" t="str">
        <f t="shared" si="0"/>
        <v xml:space="preserve">Current Year </v>
      </c>
      <c r="E44" s="125" t="str">
        <f t="shared" si="0"/>
        <v xml:space="preserve">Proposed Budget </v>
      </c>
      <c r="G44" s="707">
        <f>summ!E19</f>
        <v>2.665</v>
      </c>
      <c r="H44" s="665" t="str">
        <f>CONCATENATE("",E1-1," Fund Mill Rate")</f>
        <v>2013 Fund Mill Rate</v>
      </c>
      <c r="I44" s="694"/>
      <c r="J44" s="695"/>
    </row>
    <row r="45" spans="2:11">
      <c r="B45" s="364" t="str">
        <f>(inputPrYr!B22)</f>
        <v>Employee Benefits</v>
      </c>
      <c r="C45" s="348" t="str">
        <f t="shared" si="0"/>
        <v>Actual for 2012</v>
      </c>
      <c r="D45" s="348" t="str">
        <f t="shared" si="0"/>
        <v>Estimate for 2013</v>
      </c>
      <c r="E45" s="178" t="str">
        <f t="shared" si="0"/>
        <v>Year for 2014</v>
      </c>
      <c r="G45" s="709">
        <f>summ!H43</f>
        <v>48.314999999999998</v>
      </c>
      <c r="H45" s="665" t="str">
        <f>CONCATENATE("Total ",E1," Mill Rate")</f>
        <v>Total 2014 Mill Rate</v>
      </c>
      <c r="I45" s="694"/>
      <c r="J45" s="695"/>
    </row>
    <row r="46" spans="2:11">
      <c r="B46" s="223" t="s">
        <v>144</v>
      </c>
      <c r="C46" s="224">
        <v>19437</v>
      </c>
      <c r="D46" s="347">
        <f>C74</f>
        <v>5328</v>
      </c>
      <c r="E46" s="193">
        <f>D74</f>
        <v>2628</v>
      </c>
      <c r="G46" s="707">
        <f>summ!E43</f>
        <v>48.754000000000005</v>
      </c>
      <c r="H46" s="690" t="str">
        <f>CONCATENATE("Total ",E1-1," Mill Rate")</f>
        <v>Total 2013 Mill Rate</v>
      </c>
      <c r="I46" s="691"/>
      <c r="J46" s="692"/>
    </row>
    <row r="47" spans="2:11">
      <c r="B47" s="223" t="s">
        <v>146</v>
      </c>
      <c r="C47" s="139"/>
      <c r="D47" s="139"/>
      <c r="E47" s="68"/>
    </row>
    <row r="48" spans="2:11">
      <c r="B48" s="131" t="s">
        <v>25</v>
      </c>
      <c r="C48" s="224">
        <v>174724</v>
      </c>
      <c r="D48" s="347">
        <f>IF(inputPrYr!H16&gt;0,inputPrYr!G22,inputPrYr!E22)</f>
        <v>192489</v>
      </c>
      <c r="E48" s="253" t="s">
        <v>13</v>
      </c>
    </row>
    <row r="49" spans="2:10">
      <c r="B49" s="131" t="s">
        <v>26</v>
      </c>
      <c r="C49" s="224">
        <v>1833</v>
      </c>
      <c r="D49" s="224"/>
      <c r="E49" s="50"/>
    </row>
    <row r="50" spans="2:10">
      <c r="B50" s="131" t="s">
        <v>27</v>
      </c>
      <c r="C50" s="224">
        <v>16138</v>
      </c>
      <c r="D50" s="224">
        <v>11832</v>
      </c>
      <c r="E50" s="193">
        <f>mvalloc!D11</f>
        <v>15672</v>
      </c>
    </row>
    <row r="51" spans="2:10">
      <c r="B51" s="131" t="s">
        <v>28</v>
      </c>
      <c r="C51" s="224">
        <v>111</v>
      </c>
      <c r="D51" s="224">
        <v>109</v>
      </c>
      <c r="E51" s="193">
        <f>mvalloc!E11</f>
        <v>119</v>
      </c>
    </row>
    <row r="52" spans="2:10">
      <c r="B52" s="139" t="s">
        <v>121</v>
      </c>
      <c r="C52" s="224">
        <v>90</v>
      </c>
      <c r="D52" s="224">
        <v>70</v>
      </c>
      <c r="E52" s="193">
        <f>mvalloc!F11</f>
        <v>60</v>
      </c>
    </row>
    <row r="53" spans="2:10">
      <c r="B53" s="50" t="s">
        <v>973</v>
      </c>
      <c r="C53" s="224">
        <v>15798</v>
      </c>
      <c r="D53" s="224">
        <v>15000</v>
      </c>
      <c r="E53" s="50"/>
    </row>
    <row r="54" spans="2:10">
      <c r="B54" s="238" t="s">
        <v>985</v>
      </c>
      <c r="C54" s="224">
        <v>56783</v>
      </c>
      <c r="D54" s="224">
        <v>60000</v>
      </c>
      <c r="E54" s="50">
        <v>60000</v>
      </c>
    </row>
    <row r="55" spans="2:10">
      <c r="B55" s="238" t="s">
        <v>986</v>
      </c>
      <c r="C55" s="224">
        <v>80000</v>
      </c>
      <c r="D55" s="224">
        <v>80000</v>
      </c>
      <c r="E55" s="50">
        <v>100000</v>
      </c>
    </row>
    <row r="56" spans="2:10">
      <c r="B56" s="238"/>
      <c r="C56" s="224"/>
      <c r="D56" s="224"/>
      <c r="E56" s="50"/>
    </row>
    <row r="57" spans="2:10">
      <c r="B57" s="230" t="s">
        <v>32</v>
      </c>
      <c r="C57" s="224"/>
      <c r="D57" s="224"/>
      <c r="E57" s="50"/>
    </row>
    <row r="58" spans="2:10">
      <c r="B58" s="139" t="s">
        <v>268</v>
      </c>
      <c r="C58" s="224"/>
      <c r="D58" s="224"/>
      <c r="E58" s="50"/>
    </row>
    <row r="59" spans="2:10">
      <c r="B59" s="223" t="s">
        <v>790</v>
      </c>
      <c r="C59" s="345" t="str">
        <f>IF(C60*0.1&lt;C58,"Exceed 10% Rule","")</f>
        <v/>
      </c>
      <c r="D59" s="345" t="str">
        <f>IF(D60*0.1&lt;D58,"Exceed 10% Rule","")</f>
        <v/>
      </c>
      <c r="E59" s="352" t="str">
        <f>IF(E60*0.1+E80&lt;E58,"Exceed 10% Rule","")</f>
        <v/>
      </c>
    </row>
    <row r="60" spans="2:10">
      <c r="B60" s="232" t="s">
        <v>33</v>
      </c>
      <c r="C60" s="350">
        <f>SUM(C48:C58)</f>
        <v>345477</v>
      </c>
      <c r="D60" s="350">
        <f>SUM(D48:D58)</f>
        <v>359500</v>
      </c>
      <c r="E60" s="258">
        <f>SUM(E48:E58)</f>
        <v>175851</v>
      </c>
    </row>
    <row r="61" spans="2:10">
      <c r="B61" s="232" t="s">
        <v>34</v>
      </c>
      <c r="C61" s="350">
        <f>C46+C60</f>
        <v>364914</v>
      </c>
      <c r="D61" s="350">
        <f>D46+D60</f>
        <v>364828</v>
      </c>
      <c r="E61" s="258">
        <f>E46+E60</f>
        <v>178479</v>
      </c>
    </row>
    <row r="62" spans="2:10">
      <c r="B62" s="131" t="s">
        <v>36</v>
      </c>
      <c r="C62" s="239"/>
      <c r="D62" s="239"/>
      <c r="E62" s="48"/>
    </row>
    <row r="63" spans="2:10">
      <c r="B63" s="238" t="s">
        <v>987</v>
      </c>
      <c r="C63" s="224">
        <v>69755</v>
      </c>
      <c r="D63" s="50">
        <v>81000</v>
      </c>
      <c r="E63" s="50">
        <v>81000</v>
      </c>
    </row>
    <row r="64" spans="2:10">
      <c r="B64" s="238" t="s">
        <v>978</v>
      </c>
      <c r="C64" s="224">
        <v>198239</v>
      </c>
      <c r="D64" s="50">
        <v>200000</v>
      </c>
      <c r="E64" s="50">
        <v>230000</v>
      </c>
      <c r="G64" s="782" t="str">
        <f>CONCATENATE("Desired Carryover Into ",E1+1,"")</f>
        <v>Desired Carryover Into 2015</v>
      </c>
      <c r="H64" s="771"/>
      <c r="I64" s="771"/>
      <c r="J64" s="772"/>
    </row>
    <row r="65" spans="2:11">
      <c r="B65" s="238" t="s">
        <v>988</v>
      </c>
      <c r="C65" s="224">
        <v>61829</v>
      </c>
      <c r="D65" s="50">
        <v>60000</v>
      </c>
      <c r="E65" s="50">
        <v>63000</v>
      </c>
      <c r="G65" s="673"/>
      <c r="H65" s="660"/>
      <c r="I65" s="667"/>
      <c r="J65" s="674"/>
    </row>
    <row r="66" spans="2:11">
      <c r="B66" s="238" t="s">
        <v>989</v>
      </c>
      <c r="C66" s="224">
        <v>6281</v>
      </c>
      <c r="D66" s="50">
        <v>6200</v>
      </c>
      <c r="E66" s="50">
        <v>6500</v>
      </c>
      <c r="G66" s="672" t="s">
        <v>634</v>
      </c>
      <c r="H66" s="667"/>
      <c r="I66" s="667"/>
      <c r="J66" s="661">
        <v>0</v>
      </c>
    </row>
    <row r="67" spans="2:11">
      <c r="B67" s="238" t="s">
        <v>990</v>
      </c>
      <c r="C67" s="224">
        <v>23482</v>
      </c>
      <c r="D67" s="50">
        <v>15000</v>
      </c>
      <c r="E67" s="50">
        <v>25000</v>
      </c>
      <c r="G67" s="673" t="s">
        <v>635</v>
      </c>
      <c r="H67" s="660"/>
      <c r="I67" s="660"/>
      <c r="J67" s="701" t="str">
        <f>IF(J66=0,"",ROUND((J66+E80-G79)/inputOth!E7*1000,3)-G84)</f>
        <v/>
      </c>
    </row>
    <row r="68" spans="2:11">
      <c r="B68" s="238"/>
      <c r="C68" s="224"/>
      <c r="D68" s="224"/>
      <c r="E68" s="50"/>
      <c r="G68" s="698" t="str">
        <f>CONCATENATE("",E1," Tot Exp/Non-Appr Must Be:")</f>
        <v>2014 Tot Exp/Non-Appr Must Be:</v>
      </c>
      <c r="H68" s="696"/>
      <c r="I68" s="697"/>
      <c r="J68" s="693">
        <f>IF(J66&gt;0,IF(E77&lt;E61,IF(J66=G79,E77,((J66-G79)*(1-D79))+E61),E77+(J66-G79)),0)</f>
        <v>0</v>
      </c>
    </row>
    <row r="69" spans="2:11">
      <c r="B69" s="238"/>
      <c r="C69" s="224"/>
      <c r="D69" s="224"/>
      <c r="E69" s="50"/>
      <c r="G69" s="587" t="s">
        <v>812</v>
      </c>
      <c r="H69" s="704"/>
      <c r="I69" s="704"/>
      <c r="J69" s="699">
        <f>IF(J66&gt;0,J68-E77,0)</f>
        <v>0</v>
      </c>
    </row>
    <row r="70" spans="2:11">
      <c r="B70" s="239" t="s">
        <v>269</v>
      </c>
      <c r="C70" s="224"/>
      <c r="D70" s="224"/>
      <c r="E70" s="57" t="str">
        <f>nhood!E10</f>
        <v/>
      </c>
      <c r="J70" s="650"/>
    </row>
    <row r="71" spans="2:11">
      <c r="B71" s="239" t="s">
        <v>268</v>
      </c>
      <c r="C71" s="224"/>
      <c r="D71" s="224"/>
      <c r="E71" s="50"/>
      <c r="G71" s="782" t="str">
        <f>CONCATENATE("Projected Carryover Into ",E1+1,"")</f>
        <v>Projected Carryover Into 2015</v>
      </c>
      <c r="H71" s="786"/>
      <c r="I71" s="786"/>
      <c r="J71" s="785"/>
    </row>
    <row r="72" spans="2:11">
      <c r="B72" s="239" t="s">
        <v>791</v>
      </c>
      <c r="C72" s="345" t="str">
        <f>IF(C73*0.1&lt;C71,"Exceed 10% Rule","")</f>
        <v/>
      </c>
      <c r="D72" s="345" t="str">
        <f>IF(D73*0.1&lt;D71,"Exceed 10% Rule","")</f>
        <v/>
      </c>
      <c r="E72" s="352" t="str">
        <f>IF(E73*0.1&lt;E71,"Exceed 10% Rule","")</f>
        <v/>
      </c>
      <c r="G72" s="662"/>
      <c r="H72" s="660"/>
      <c r="I72" s="660"/>
      <c r="J72" s="653"/>
    </row>
    <row r="73" spans="2:11">
      <c r="B73" s="232" t="s">
        <v>37</v>
      </c>
      <c r="C73" s="350">
        <f>SUM(C63:C71)</f>
        <v>359586</v>
      </c>
      <c r="D73" s="350">
        <f>SUM(D63:D71)</f>
        <v>362200</v>
      </c>
      <c r="E73" s="258">
        <f>SUM(E63:E71)</f>
        <v>405500</v>
      </c>
      <c r="G73" s="664">
        <f>D74</f>
        <v>2628</v>
      </c>
      <c r="H73" s="665" t="str">
        <f>CONCATENATE("",E1-1," Ending Cash Balance (est.)")</f>
        <v>2013 Ending Cash Balance (est.)</v>
      </c>
      <c r="I73" s="666"/>
      <c r="J73" s="653"/>
    </row>
    <row r="74" spans="2:11">
      <c r="B74" s="131" t="s">
        <v>145</v>
      </c>
      <c r="C74" s="347">
        <f>C61-C73</f>
        <v>5328</v>
      </c>
      <c r="D74" s="347">
        <f>D61-D73</f>
        <v>2628</v>
      </c>
      <c r="E74" s="253" t="s">
        <v>13</v>
      </c>
      <c r="G74" s="664">
        <f>E60</f>
        <v>175851</v>
      </c>
      <c r="H74" s="667" t="str">
        <f>CONCATENATE("",E1," Non-AV Receipts (est.)")</f>
        <v>2014 Non-AV Receipts (est.)</v>
      </c>
      <c r="I74" s="666"/>
      <c r="J74" s="653"/>
    </row>
    <row r="75" spans="2:11">
      <c r="B75" s="119" t="str">
        <f>CONCATENATE("",$E$1-2,"/",$E$1-1," Budget Authority Amount:")</f>
        <v>2012/2013 Budget Authority Amount:</v>
      </c>
      <c r="C75" s="183">
        <f>inputOth!B65</f>
        <v>342000</v>
      </c>
      <c r="D75" s="241">
        <f>inputPrYr!D22</f>
        <v>342000</v>
      </c>
      <c r="E75" s="253" t="s">
        <v>13</v>
      </c>
      <c r="F75" s="242"/>
      <c r="G75" s="668">
        <f>IF(D79&gt;0,E78,E80)</f>
        <v>227021</v>
      </c>
      <c r="H75" s="667" t="str">
        <f>CONCATENATE("",E1," Ad Valorem Tax (est.)")</f>
        <v>2014 Ad Valorem Tax (est.)</v>
      </c>
      <c r="I75" s="666"/>
      <c r="J75" s="653"/>
      <c r="K75" s="590" t="str">
        <f>IF(G75=E80,"","Note: Does not include Delinquent Taxes")</f>
        <v>Note: Does not include Delinquent Taxes</v>
      </c>
    </row>
    <row r="76" spans="2:11">
      <c r="B76" s="119"/>
      <c r="C76" s="764" t="s">
        <v>626</v>
      </c>
      <c r="D76" s="765"/>
      <c r="E76" s="50"/>
      <c r="F76" s="724" t="str">
        <f>IF(E73/0.95-E73&lt;E76,"Exceeds 5%","")</f>
        <v/>
      </c>
      <c r="G76" s="675">
        <f>SUM(G73:G75)</f>
        <v>405500</v>
      </c>
      <c r="H76" s="667" t="str">
        <f>CONCATENATE("Total ",E1," Resources Available")</f>
        <v>Total 2014 Resources Available</v>
      </c>
      <c r="I76" s="663"/>
      <c r="J76" s="653"/>
    </row>
    <row r="77" spans="2:11">
      <c r="B77" s="368" t="str">
        <f>CONCATENATE(C97,"     ",D97)</f>
        <v>See Tab A     See Tab C</v>
      </c>
      <c r="C77" s="766" t="s">
        <v>627</v>
      </c>
      <c r="D77" s="767"/>
      <c r="E77" s="193">
        <f>E73+E76</f>
        <v>405500</v>
      </c>
      <c r="G77" s="678"/>
      <c r="H77" s="676"/>
      <c r="I77" s="660"/>
      <c r="J77" s="653"/>
    </row>
    <row r="78" spans="2:11">
      <c r="B78" s="368" t="str">
        <f>CONCATENATE(C98,"     ",D98)</f>
        <v xml:space="preserve">     </v>
      </c>
      <c r="C78" s="243"/>
      <c r="D78" s="147" t="s">
        <v>38</v>
      </c>
      <c r="E78" s="193">
        <f>IF(E77-E61&gt;0,E77-E61,0)</f>
        <v>227021</v>
      </c>
      <c r="G78" s="677">
        <f>ROUND(C73*0.05+C73,0)</f>
        <v>377565</v>
      </c>
      <c r="H78" s="676" t="str">
        <f>CONCATENATE("Less ",E1-2," Expenditures + 5%")</f>
        <v>Less 2012 Expenditures + 5%</v>
      </c>
      <c r="I78" s="663"/>
      <c r="J78" s="653"/>
    </row>
    <row r="79" spans="2:11">
      <c r="B79" s="119"/>
      <c r="C79" s="354" t="s">
        <v>628</v>
      </c>
      <c r="D79" s="589">
        <f>inputOth!E47</f>
        <v>1.6E-2</v>
      </c>
      <c r="E79" s="193">
        <f>ROUND(IF(D79&gt;0,(E78*D79),0),0)</f>
        <v>3632</v>
      </c>
      <c r="G79" s="679">
        <f>G76-G78</f>
        <v>27935</v>
      </c>
      <c r="H79" s="680" t="str">
        <f>CONCATENATE("Projected ",E1+1," carryover (est.)")</f>
        <v>Projected 2015 carryover (est.)</v>
      </c>
      <c r="I79" s="671"/>
      <c r="J79" s="711"/>
    </row>
    <row r="80" spans="2:11" ht="16.5" thickBot="1">
      <c r="B80" s="147"/>
      <c r="C80" s="768" t="str">
        <f>CONCATENATE("Amount of  ",$E$1-1," Ad Valorem Tax")</f>
        <v>Amount of  2013 Ad Valorem Tax</v>
      </c>
      <c r="D80" s="769"/>
      <c r="E80" s="259">
        <f>E78+E79</f>
        <v>230653</v>
      </c>
      <c r="G80" s="650"/>
      <c r="H80" s="650"/>
      <c r="I80" s="650"/>
    </row>
    <row r="81" spans="2:10" ht="16.5" thickTop="1">
      <c r="B81" s="147"/>
      <c r="C81" s="776"/>
      <c r="D81" s="776"/>
      <c r="E81" s="147"/>
      <c r="G81" s="773" t="s">
        <v>817</v>
      </c>
      <c r="H81" s="774"/>
      <c r="I81" s="774"/>
      <c r="J81" s="775"/>
    </row>
    <row r="82" spans="2:10">
      <c r="B82" s="147"/>
      <c r="C82" s="512"/>
      <c r="D82" s="147"/>
      <c r="E82" s="147"/>
      <c r="G82" s="706"/>
      <c r="H82" s="665"/>
      <c r="I82" s="694"/>
      <c r="J82" s="695"/>
    </row>
    <row r="83" spans="2:10">
      <c r="B83" s="119" t="s">
        <v>40</v>
      </c>
      <c r="C83" s="249">
        <v>9</v>
      </c>
      <c r="D83" s="22"/>
      <c r="E83" s="22"/>
      <c r="G83" s="708">
        <f>summ!H20</f>
        <v>31.132000000000001</v>
      </c>
      <c r="H83" s="665" t="str">
        <f>CONCATENATE("",E1," Fund Mill Rate")</f>
        <v>2014 Fund Mill Rate</v>
      </c>
      <c r="I83" s="694"/>
      <c r="J83" s="695"/>
    </row>
    <row r="84" spans="2:10">
      <c r="B84" s="353"/>
      <c r="G84" s="707">
        <f>summ!E20</f>
        <v>30.646000000000001</v>
      </c>
      <c r="H84" s="665" t="str">
        <f>CONCATENATE("",E1-1," Fund Mill Rate")</f>
        <v>2013 Fund Mill Rate</v>
      </c>
      <c r="I84" s="694"/>
      <c r="J84" s="695"/>
    </row>
    <row r="85" spans="2:10">
      <c r="B85" s="8"/>
      <c r="G85" s="709">
        <f>summ!H43</f>
        <v>48.314999999999998</v>
      </c>
      <c r="H85" s="665" t="str">
        <f>CONCATENATE("Total ",E1," Mill Rate")</f>
        <v>Total 2014 Mill Rate</v>
      </c>
      <c r="I85" s="694"/>
      <c r="J85" s="695"/>
    </row>
    <row r="86" spans="2:10">
      <c r="G86" s="707">
        <f>summ!E43</f>
        <v>48.754000000000005</v>
      </c>
      <c r="H86" s="690" t="str">
        <f>CONCATENATE("Total ",E1-1," Mill Rate")</f>
        <v>Total 2013 Mill Rate</v>
      </c>
      <c r="I86" s="691"/>
      <c r="J86" s="692"/>
    </row>
    <row r="95" spans="2:10" hidden="1">
      <c r="C95" s="369" t="str">
        <f>IF(C33&gt;C35,"See Tab A","")</f>
        <v/>
      </c>
      <c r="D95" s="369" t="str">
        <f>IF(D33&gt;D35,"See Tab C","")</f>
        <v/>
      </c>
    </row>
    <row r="96" spans="2:10" hidden="1">
      <c r="C96" s="369" t="str">
        <f>IF(C34&lt;0,"See Tab B","")</f>
        <v/>
      </c>
      <c r="D96" s="369" t="str">
        <f>IF(D34&lt;0,"See Tab D","")</f>
        <v/>
      </c>
    </row>
    <row r="97" spans="3:4" hidden="1">
      <c r="C97" s="369" t="str">
        <f>IF(C73&gt;C75,"See Tab A","")</f>
        <v>See Tab A</v>
      </c>
      <c r="D97" s="369" t="str">
        <f>IF(D73&gt;D75,"See Tab C","")</f>
        <v>See Tab C</v>
      </c>
    </row>
    <row r="98" spans="3:4" hidden="1">
      <c r="C98" s="369" t="str">
        <f>IF(C74&lt;0,"See Tab B","")</f>
        <v/>
      </c>
      <c r="D98" s="369" t="str">
        <f>IF(D74&lt;0,"See Tab D","")</f>
        <v/>
      </c>
    </row>
  </sheetData>
  <sheetProtection sheet="1"/>
  <mergeCells count="14">
    <mergeCell ref="G24:J24"/>
    <mergeCell ref="G31:J31"/>
    <mergeCell ref="G41:J41"/>
    <mergeCell ref="G64:J64"/>
    <mergeCell ref="G71:J71"/>
    <mergeCell ref="G81:J81"/>
    <mergeCell ref="C81:D81"/>
    <mergeCell ref="C41:D41"/>
    <mergeCell ref="C76:D76"/>
    <mergeCell ref="C77:D77"/>
    <mergeCell ref="C36:D36"/>
    <mergeCell ref="C37:D37"/>
    <mergeCell ref="C80:D80"/>
    <mergeCell ref="C40:D40"/>
  </mergeCells>
  <phoneticPr fontId="0" type="noConversion"/>
  <conditionalFormatting sqref="E71">
    <cfRule type="cellIs" dxfId="96" priority="4" stopIfTrue="1" operator="greaterThan">
      <formula>$E$73*0.1</formula>
    </cfRule>
  </conditionalFormatting>
  <conditionalFormatting sqref="E76">
    <cfRule type="cellIs" dxfId="95" priority="5" stopIfTrue="1" operator="greaterThan">
      <formula>$E$73/0.95-$E$73</formula>
    </cfRule>
  </conditionalFormatting>
  <conditionalFormatting sqref="E31">
    <cfRule type="cellIs" dxfId="94" priority="6" stopIfTrue="1" operator="greaterThan">
      <formula>$E$33*0.1</formula>
    </cfRule>
  </conditionalFormatting>
  <conditionalFormatting sqref="D33">
    <cfRule type="cellIs" dxfId="93" priority="8" stopIfTrue="1" operator="greaterThan">
      <formula>$D$35</formula>
    </cfRule>
  </conditionalFormatting>
  <conditionalFormatting sqref="C33">
    <cfRule type="cellIs" dxfId="92" priority="9" stopIfTrue="1" operator="greaterThan">
      <formula>$C$35</formula>
    </cfRule>
  </conditionalFormatting>
  <conditionalFormatting sqref="C34 C74">
    <cfRule type="cellIs" dxfId="91" priority="10" stopIfTrue="1" operator="lessThan">
      <formula>0</formula>
    </cfRule>
  </conditionalFormatting>
  <conditionalFormatting sqref="D73">
    <cfRule type="cellIs" dxfId="90" priority="11" stopIfTrue="1" operator="greaterThan">
      <formula>$D$75</formula>
    </cfRule>
  </conditionalFormatting>
  <conditionalFormatting sqref="C73">
    <cfRule type="cellIs" dxfId="89" priority="12" stopIfTrue="1" operator="greaterThan">
      <formula>$C$75</formula>
    </cfRule>
  </conditionalFormatting>
  <conditionalFormatting sqref="C31">
    <cfRule type="cellIs" dxfId="88" priority="13" stopIfTrue="1" operator="greaterThan">
      <formula>$C$33*0.1</formula>
    </cfRule>
  </conditionalFormatting>
  <conditionalFormatting sqref="D31">
    <cfRule type="cellIs" dxfId="87" priority="14" stopIfTrue="1" operator="greaterThan">
      <formula>$D$33*0.1</formula>
    </cfRule>
  </conditionalFormatting>
  <conditionalFormatting sqref="C71">
    <cfRule type="cellIs" dxfId="86" priority="15" stopIfTrue="1" operator="greaterThan">
      <formula>$C$73*0.1</formula>
    </cfRule>
  </conditionalFormatting>
  <conditionalFormatting sqref="D71">
    <cfRule type="cellIs" dxfId="85" priority="16" stopIfTrue="1" operator="greaterThan">
      <formula>$D$73*0.1</formula>
    </cfRule>
  </conditionalFormatting>
  <conditionalFormatting sqref="D18">
    <cfRule type="cellIs" dxfId="84" priority="17" stopIfTrue="1" operator="greaterThan">
      <formula>$D$20*0.1</formula>
    </cfRule>
  </conditionalFormatting>
  <conditionalFormatting sqref="C18">
    <cfRule type="cellIs" dxfId="83" priority="18" stopIfTrue="1" operator="greaterThan">
      <formula>$C$20*0.1</formula>
    </cfRule>
  </conditionalFormatting>
  <conditionalFormatting sqref="D58">
    <cfRule type="cellIs" dxfId="82" priority="19" stopIfTrue="1" operator="greaterThan">
      <formula>$D$60*0.1</formula>
    </cfRule>
  </conditionalFormatting>
  <conditionalFormatting sqref="C58">
    <cfRule type="cellIs" dxfId="81" priority="20" stopIfTrue="1" operator="greaterThan">
      <formula>$C$60*0.1</formula>
    </cfRule>
  </conditionalFormatting>
  <conditionalFormatting sqref="E58">
    <cfRule type="cellIs" dxfId="80" priority="21" stopIfTrue="1" operator="greaterThan">
      <formula>$E$60*0.1+E80</formula>
    </cfRule>
  </conditionalFormatting>
  <conditionalFormatting sqref="E18">
    <cfRule type="cellIs" dxfId="79" priority="22" stopIfTrue="1" operator="greaterThan">
      <formula>$E$20*0.1+E40</formula>
    </cfRule>
  </conditionalFormatting>
  <conditionalFormatting sqref="D74 D34">
    <cfRule type="cellIs" dxfId="78" priority="3" stopIfTrue="1" operator="lessThan">
      <formula>0</formula>
    </cfRule>
  </conditionalFormatting>
  <conditionalFormatting sqref="E36">
    <cfRule type="cellIs" dxfId="77" priority="1" stopIfTrue="1" operator="greaterThan">
      <formula>$E$33/0.95-$E$33</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zoomScaleNormal="100" workbookViewId="0">
      <selection activeCell="E28" sqref="E28"/>
    </sheetView>
  </sheetViews>
  <sheetFormatPr defaultRowHeight="15.75"/>
  <cols>
    <col min="1" max="1" width="2.44140625" style="23" customWidth="1"/>
    <col min="2" max="2" width="31.109375" style="23" customWidth="1"/>
    <col min="3" max="4" width="15.77734375" style="23" customWidth="1"/>
    <col min="5" max="5" width="16.1093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Grandview Plaza, Kansas</v>
      </c>
      <c r="C1" s="22"/>
      <c r="D1" s="22"/>
      <c r="E1" s="212">
        <f>inputPrYr!C5</f>
        <v>2014</v>
      </c>
    </row>
    <row r="2" spans="2:5">
      <c r="B2" s="22"/>
      <c r="C2" s="22"/>
      <c r="D2" s="22"/>
      <c r="E2" s="147"/>
    </row>
    <row r="3" spans="2:5">
      <c r="B3" s="41" t="s">
        <v>89</v>
      </c>
      <c r="C3" s="169"/>
      <c r="D3" s="169"/>
      <c r="E3" s="256"/>
    </row>
    <row r="4" spans="2:5">
      <c r="B4" s="29" t="s">
        <v>24</v>
      </c>
      <c r="C4" s="632" t="s">
        <v>807</v>
      </c>
      <c r="D4" s="633" t="s">
        <v>810</v>
      </c>
      <c r="E4" s="125" t="s">
        <v>811</v>
      </c>
    </row>
    <row r="5" spans="2:5">
      <c r="B5" s="365" t="str">
        <f>inputPrYr!B23</f>
        <v>Street Maintenance</v>
      </c>
      <c r="C5" s="348" t="str">
        <f>CONCATENATE("Actual for ",E1-2,"")</f>
        <v>Actual for 2012</v>
      </c>
      <c r="D5" s="348" t="str">
        <f>CONCATENATE("Estimate for ",E1-1,"")</f>
        <v>Estimate for 2013</v>
      </c>
      <c r="E5" s="222" t="str">
        <f>CONCATENATE("Year for ",E1,"")</f>
        <v>Year for 2014</v>
      </c>
    </row>
    <row r="6" spans="2:5">
      <c r="B6" s="223" t="s">
        <v>144</v>
      </c>
      <c r="C6" s="224">
        <v>68076</v>
      </c>
      <c r="D6" s="347">
        <f>C35</f>
        <v>110420</v>
      </c>
      <c r="E6" s="193">
        <f>D35</f>
        <v>72782</v>
      </c>
    </row>
    <row r="7" spans="2:5">
      <c r="B7" s="226" t="s">
        <v>146</v>
      </c>
      <c r="C7" s="347"/>
      <c r="D7" s="347"/>
      <c r="E7" s="193"/>
    </row>
    <row r="8" spans="2:5">
      <c r="B8" s="131" t="s">
        <v>25</v>
      </c>
      <c r="C8" s="227">
        <v>12782</v>
      </c>
      <c r="D8" s="347">
        <f>IF(inputPrYr!H16&gt;0,inputPrYr!G23,inputPrYr!E23)</f>
        <v>14083</v>
      </c>
      <c r="E8" s="253" t="s">
        <v>13</v>
      </c>
    </row>
    <row r="9" spans="2:5">
      <c r="B9" s="131" t="s">
        <v>26</v>
      </c>
      <c r="C9" s="227">
        <v>235</v>
      </c>
      <c r="D9" s="227"/>
      <c r="E9" s="50">
        <v>200</v>
      </c>
    </row>
    <row r="10" spans="2:5">
      <c r="B10" s="131" t="s">
        <v>27</v>
      </c>
      <c r="C10" s="227">
        <v>1920</v>
      </c>
      <c r="D10" s="227">
        <v>866</v>
      </c>
      <c r="E10" s="193">
        <f>mvalloc!D12</f>
        <v>1147</v>
      </c>
    </row>
    <row r="11" spans="2:5">
      <c r="B11" s="131" t="s">
        <v>28</v>
      </c>
      <c r="C11" s="227">
        <v>1</v>
      </c>
      <c r="D11" s="227">
        <v>8</v>
      </c>
      <c r="E11" s="193">
        <f>mvalloc!E12</f>
        <v>9</v>
      </c>
    </row>
    <row r="12" spans="2:5">
      <c r="B12" s="139" t="s">
        <v>121</v>
      </c>
      <c r="C12" s="227">
        <v>27</v>
      </c>
      <c r="D12" s="227">
        <v>5</v>
      </c>
      <c r="E12" s="193">
        <f>mvalloc!F12</f>
        <v>4</v>
      </c>
    </row>
    <row r="13" spans="2:5">
      <c r="B13" s="50" t="s">
        <v>973</v>
      </c>
      <c r="C13" s="227">
        <v>1661</v>
      </c>
      <c r="D13" s="227"/>
      <c r="E13" s="50"/>
    </row>
    <row r="14" spans="2:5">
      <c r="B14" s="238" t="s">
        <v>976</v>
      </c>
      <c r="C14" s="227">
        <v>40978</v>
      </c>
      <c r="D14" s="227">
        <v>40600</v>
      </c>
      <c r="E14" s="50">
        <v>41760</v>
      </c>
    </row>
    <row r="15" spans="2:5">
      <c r="B15" s="238" t="s">
        <v>977</v>
      </c>
      <c r="C15" s="227">
        <v>75243</v>
      </c>
      <c r="D15" s="227"/>
      <c r="E15" s="50">
        <v>75000</v>
      </c>
    </row>
    <row r="16" spans="2:5">
      <c r="B16" s="238"/>
      <c r="C16" s="227"/>
      <c r="D16" s="227"/>
      <c r="E16" s="50"/>
    </row>
    <row r="17" spans="2:10">
      <c r="B17" s="230" t="s">
        <v>32</v>
      </c>
      <c r="C17" s="227"/>
      <c r="D17" s="227"/>
      <c r="E17" s="50"/>
    </row>
    <row r="18" spans="2:10">
      <c r="B18" s="139" t="s">
        <v>268</v>
      </c>
      <c r="C18" s="227"/>
      <c r="D18" s="227"/>
      <c r="E18" s="50"/>
    </row>
    <row r="19" spans="2:10">
      <c r="B19" s="223" t="s">
        <v>790</v>
      </c>
      <c r="C19" s="349" t="str">
        <f>IF(C20*0.1&lt;C18,"Exceed 10% Rule","")</f>
        <v/>
      </c>
      <c r="D19" s="349" t="str">
        <f>IF(D20*0.1&lt;D18,"Exceed 10% Rule","")</f>
        <v/>
      </c>
      <c r="E19" s="366" t="str">
        <f>IF(E20*0.1+E41&lt;E18,"Exceed 10% Rule","")</f>
        <v/>
      </c>
    </row>
    <row r="20" spans="2:10">
      <c r="B20" s="232" t="s">
        <v>33</v>
      </c>
      <c r="C20" s="350">
        <f>SUM(C8:C18)</f>
        <v>132847</v>
      </c>
      <c r="D20" s="350">
        <f>SUM(D8:D18)</f>
        <v>55562</v>
      </c>
      <c r="E20" s="258">
        <f>SUM(E8:E18)</f>
        <v>118120</v>
      </c>
    </row>
    <row r="21" spans="2:10">
      <c r="B21" s="232" t="s">
        <v>34</v>
      </c>
      <c r="C21" s="350">
        <f>C6+C20</f>
        <v>200923</v>
      </c>
      <c r="D21" s="350">
        <f>D6+D20</f>
        <v>165982</v>
      </c>
      <c r="E21" s="258">
        <f>E6+E20</f>
        <v>190902</v>
      </c>
    </row>
    <row r="22" spans="2:10">
      <c r="B22" s="131" t="s">
        <v>36</v>
      </c>
      <c r="C22" s="239"/>
      <c r="D22" s="239"/>
      <c r="E22" s="48"/>
      <c r="F22" s="260"/>
    </row>
    <row r="23" spans="2:10">
      <c r="B23" s="261" t="s">
        <v>41</v>
      </c>
      <c r="C23" s="227">
        <v>28249</v>
      </c>
      <c r="D23" s="49">
        <v>25000</v>
      </c>
      <c r="E23" s="49">
        <v>30000</v>
      </c>
    </row>
    <row r="24" spans="2:10">
      <c r="B24" s="238" t="s">
        <v>951</v>
      </c>
      <c r="C24" s="227">
        <v>14919</v>
      </c>
      <c r="D24" s="50">
        <v>20000</v>
      </c>
      <c r="E24" s="50">
        <v>15000</v>
      </c>
      <c r="G24" s="782" t="str">
        <f>CONCATENATE("Desired Carryover Into ",E1+1,"")</f>
        <v>Desired Carryover Into 2015</v>
      </c>
      <c r="H24" s="771"/>
      <c r="I24" s="771"/>
      <c r="J24" s="772"/>
    </row>
    <row r="25" spans="2:10">
      <c r="B25" s="238" t="s">
        <v>978</v>
      </c>
      <c r="C25" s="227">
        <v>2523</v>
      </c>
      <c r="D25" s="50">
        <v>2000</v>
      </c>
      <c r="E25" s="50">
        <v>2500</v>
      </c>
      <c r="G25" s="673"/>
      <c r="H25" s="660"/>
      <c r="I25" s="667"/>
      <c r="J25" s="674"/>
    </row>
    <row r="26" spans="2:10">
      <c r="B26" s="238" t="s">
        <v>957</v>
      </c>
      <c r="C26" s="227">
        <v>29043</v>
      </c>
      <c r="D26" s="50">
        <v>10000</v>
      </c>
      <c r="E26" s="50">
        <v>30000</v>
      </c>
      <c r="G26" s="672" t="s">
        <v>634</v>
      </c>
      <c r="H26" s="667"/>
      <c r="I26" s="667"/>
      <c r="J26" s="661">
        <v>0</v>
      </c>
    </row>
    <row r="27" spans="2:10">
      <c r="B27" s="238" t="s">
        <v>979</v>
      </c>
      <c r="C27" s="227">
        <v>10567</v>
      </c>
      <c r="D27" s="50">
        <v>27000</v>
      </c>
      <c r="E27" s="50">
        <v>90000</v>
      </c>
      <c r="G27" s="673" t="s">
        <v>635</v>
      </c>
      <c r="H27" s="660"/>
      <c r="I27" s="660"/>
      <c r="J27" s="701" t="str">
        <f>IF(J26=0,"",ROUND((J26+E41-G40)/inputOth!E7*1000,3)-G45)</f>
        <v/>
      </c>
    </row>
    <row r="28" spans="2:10">
      <c r="B28" s="238" t="s">
        <v>980</v>
      </c>
      <c r="C28" s="227">
        <v>78</v>
      </c>
      <c r="D28" s="50">
        <v>500</v>
      </c>
      <c r="E28" s="50">
        <v>500</v>
      </c>
      <c r="G28" s="698" t="str">
        <f>CONCATENATE("",E1," Tot Exp/Non-Appr Must Be:")</f>
        <v>2014 Tot Exp/Non-Appr Must Be:</v>
      </c>
      <c r="H28" s="696"/>
      <c r="I28" s="697"/>
      <c r="J28" s="693">
        <f>IF(J26&gt;0,IF(E38&lt;E21,IF(J26=G40,E38,((J26-G40)*(1-D40))+E21),E38+(J26-G40)),0)</f>
        <v>0</v>
      </c>
    </row>
    <row r="29" spans="2:10">
      <c r="B29" s="238" t="s">
        <v>963</v>
      </c>
      <c r="C29" s="227"/>
      <c r="D29" s="50">
        <v>3500</v>
      </c>
      <c r="E29" s="50">
        <v>3500</v>
      </c>
      <c r="G29" s="698"/>
      <c r="H29" s="696"/>
      <c r="I29" s="697"/>
      <c r="J29" s="725"/>
    </row>
    <row r="30" spans="2:10">
      <c r="B30" s="238" t="s">
        <v>981</v>
      </c>
      <c r="C30" s="227">
        <v>5124</v>
      </c>
      <c r="D30" s="50">
        <v>5200</v>
      </c>
      <c r="E30" s="50">
        <v>5200</v>
      </c>
      <c r="G30" s="587" t="s">
        <v>812</v>
      </c>
      <c r="H30" s="704"/>
      <c r="I30" s="704"/>
      <c r="J30" s="699">
        <f>IF(J26&gt;0,J28-E38,0)</f>
        <v>0</v>
      </c>
    </row>
    <row r="31" spans="2:10">
      <c r="B31" s="239" t="s">
        <v>269</v>
      </c>
      <c r="C31" s="227"/>
      <c r="D31" s="227"/>
      <c r="E31" s="57" t="str">
        <f>nhood!E11</f>
        <v/>
      </c>
      <c r="J31" s="650"/>
    </row>
    <row r="32" spans="2:10">
      <c r="B32" s="239" t="s">
        <v>268</v>
      </c>
      <c r="C32" s="227"/>
      <c r="D32" s="227"/>
      <c r="E32" s="50"/>
      <c r="G32" s="782" t="str">
        <f>CONCATENATE("Projected Carryover Into ",E1+1,"")</f>
        <v>Projected Carryover Into 2015</v>
      </c>
      <c r="H32" s="779"/>
      <c r="I32" s="779"/>
      <c r="J32" s="785"/>
    </row>
    <row r="33" spans="2:10">
      <c r="B33" s="239" t="s">
        <v>791</v>
      </c>
      <c r="C33" s="349" t="str">
        <f>IF(C34*0.1&lt;C32,"Exceed 10% Rule","")</f>
        <v/>
      </c>
      <c r="D33" s="349" t="str">
        <f>IF(D34*0.1&lt;D32,"Exceed 10% Rule","")</f>
        <v/>
      </c>
      <c r="E33" s="366" t="str">
        <f>IF(E34*0.1&lt;E32,"Exceed 10% Rule","")</f>
        <v/>
      </c>
      <c r="G33" s="673"/>
      <c r="H33" s="667"/>
      <c r="I33" s="667"/>
      <c r="J33" s="713"/>
    </row>
    <row r="34" spans="2:10">
      <c r="B34" s="232" t="s">
        <v>37</v>
      </c>
      <c r="C34" s="350">
        <f>SUM(C23:C32)</f>
        <v>90503</v>
      </c>
      <c r="D34" s="350">
        <f>SUM(D23:D32)</f>
        <v>93200</v>
      </c>
      <c r="E34" s="258">
        <f>SUM(E23:E32)</f>
        <v>176700</v>
      </c>
      <c r="G34" s="664">
        <f>D35</f>
        <v>72782</v>
      </c>
      <c r="H34" s="665" t="str">
        <f>CONCATENATE("",E1-1," Ending Cash Balance (est.)")</f>
        <v>2013 Ending Cash Balance (est.)</v>
      </c>
      <c r="I34" s="666"/>
      <c r="J34" s="713"/>
    </row>
    <row r="35" spans="2:10">
      <c r="B35" s="131" t="s">
        <v>145</v>
      </c>
      <c r="C35" s="347">
        <f>C21-C34</f>
        <v>110420</v>
      </c>
      <c r="D35" s="347">
        <f>D21-D34</f>
        <v>72782</v>
      </c>
      <c r="E35" s="253" t="s">
        <v>13</v>
      </c>
      <c r="G35" s="664">
        <f>E20</f>
        <v>118120</v>
      </c>
      <c r="H35" s="667" t="str">
        <f>CONCATENATE("",E1," Non-AV Receipts (est.)")</f>
        <v>2014 Non-AV Receipts (est.)</v>
      </c>
      <c r="I35" s="666"/>
      <c r="J35" s="713"/>
    </row>
    <row r="36" spans="2:10">
      <c r="B36" s="119" t="str">
        <f>CONCATENATE("",$E$1-2,"/",$E$1-1," Budget Authority Amount:")</f>
        <v>2012/2013 Budget Authority Amount:</v>
      </c>
      <c r="C36" s="183">
        <f>inputOth!B66</f>
        <v>76800</v>
      </c>
      <c r="D36" s="241">
        <f>inputPrYr!D23</f>
        <v>76800</v>
      </c>
      <c r="E36" s="253" t="s">
        <v>13</v>
      </c>
      <c r="F36" s="242"/>
      <c r="G36" s="668">
        <f>IF(E40&gt;0,E39,E41)</f>
        <v>0</v>
      </c>
      <c r="H36" s="667" t="str">
        <f>CONCATENATE("",E1," Ad Valorem Tax (est.)")</f>
        <v>2014 Ad Valorem Tax (est.)</v>
      </c>
      <c r="I36" s="666"/>
      <c r="J36" s="713"/>
    </row>
    <row r="37" spans="2:10">
      <c r="B37" s="119"/>
      <c r="C37" s="764" t="s">
        <v>626</v>
      </c>
      <c r="D37" s="765"/>
      <c r="E37" s="50"/>
      <c r="F37" s="724" t="str">
        <f>IF(E34/0.95-E34&lt;E37,"Exceeds 5%","")</f>
        <v/>
      </c>
      <c r="G37" s="664">
        <f>SUM(G34:G36)</f>
        <v>190902</v>
      </c>
      <c r="H37" s="667" t="str">
        <f>CONCATENATE("Total ",E1," Resources Available")</f>
        <v>Total 2014 Resources Available</v>
      </c>
      <c r="I37" s="666"/>
      <c r="J37" s="713"/>
    </row>
    <row r="38" spans="2:10">
      <c r="B38" s="368" t="str">
        <f>CONCATENATE(C94,"     ",D94)</f>
        <v>See Tab A     See Tab C</v>
      </c>
      <c r="C38" s="766" t="s">
        <v>627</v>
      </c>
      <c r="D38" s="767"/>
      <c r="E38" s="193">
        <f>E34+E37</f>
        <v>176700</v>
      </c>
      <c r="G38" s="669"/>
      <c r="H38" s="667"/>
      <c r="I38" s="667"/>
      <c r="J38" s="713"/>
    </row>
    <row r="39" spans="2:10">
      <c r="B39" s="368" t="str">
        <f>CONCATENATE(C95,"     ",D95)</f>
        <v xml:space="preserve">     </v>
      </c>
      <c r="C39" s="243"/>
      <c r="D39" s="147" t="s">
        <v>38</v>
      </c>
      <c r="E39" s="193">
        <f>IF(E38-E21&gt;0,E38-E21,0)</f>
        <v>0</v>
      </c>
      <c r="G39" s="668">
        <f>ROUND(C34*0.05+C34,0)</f>
        <v>95028</v>
      </c>
      <c r="H39" s="667" t="str">
        <f>CONCATENATE("Less ",E1-2," Expenditures + 5%")</f>
        <v>Less 2012 Expenditures + 5%</v>
      </c>
      <c r="I39" s="666"/>
      <c r="J39" s="713"/>
    </row>
    <row r="40" spans="2:10">
      <c r="B40" s="147"/>
      <c r="C40" s="354" t="s">
        <v>628</v>
      </c>
      <c r="D40" s="589">
        <f>inputOth!$E$47</f>
        <v>1.6E-2</v>
      </c>
      <c r="E40" s="193">
        <f>ROUND(IF(D40&gt;0,(E39*D40),0),0)</f>
        <v>0</v>
      </c>
      <c r="G40" s="702">
        <f>G37-G39</f>
        <v>95874</v>
      </c>
      <c r="H40" s="703" t="str">
        <f>CONCATENATE("Projected ",E1+1," carryover (est.)")</f>
        <v>Projected 2015 carryover (est.)</v>
      </c>
      <c r="I40" s="670"/>
      <c r="J40" s="711"/>
    </row>
    <row r="41" spans="2:10" ht="16.5" thickBot="1">
      <c r="B41" s="22"/>
      <c r="C41" s="768" t="str">
        <f>CONCATENATE("Amount of  ",$E$1-1," Ad Valorem Tax")</f>
        <v>Amount of  2013 Ad Valorem Tax</v>
      </c>
      <c r="D41" s="769"/>
      <c r="E41" s="259">
        <f>E39+E40</f>
        <v>0</v>
      </c>
      <c r="G41" s="650"/>
      <c r="H41" s="650"/>
      <c r="I41" s="650"/>
      <c r="J41" s="650"/>
    </row>
    <row r="42" spans="2:10" ht="16.5" thickTop="1">
      <c r="B42" s="22"/>
      <c r="C42" s="776"/>
      <c r="D42" s="776"/>
      <c r="E42" s="22"/>
      <c r="G42" s="773" t="s">
        <v>817</v>
      </c>
      <c r="H42" s="774"/>
      <c r="I42" s="774"/>
      <c r="J42" s="775"/>
    </row>
    <row r="43" spans="2:10">
      <c r="B43" s="22"/>
      <c r="C43" s="22"/>
      <c r="D43" s="22"/>
      <c r="E43" s="22"/>
      <c r="G43" s="706"/>
      <c r="H43" s="665"/>
      <c r="I43" s="694"/>
      <c r="J43" s="695"/>
    </row>
    <row r="44" spans="2:10">
      <c r="B44" s="29"/>
      <c r="C44" s="257"/>
      <c r="D44" s="257"/>
      <c r="E44" s="257"/>
      <c r="G44" s="708" t="str">
        <f>summ!H21</f>
        <v xml:space="preserve">  </v>
      </c>
      <c r="H44" s="665" t="str">
        <f>CONCATENATE("",E1," Fund Mill Rate")</f>
        <v>2014 Fund Mill Rate</v>
      </c>
      <c r="I44" s="694"/>
      <c r="J44" s="695"/>
    </row>
    <row r="45" spans="2:10">
      <c r="B45" s="29" t="s">
        <v>24</v>
      </c>
      <c r="C45" s="632" t="str">
        <f t="shared" ref="C45:E46" si="0">C4</f>
        <v xml:space="preserve">Prior Year </v>
      </c>
      <c r="D45" s="633" t="str">
        <f t="shared" si="0"/>
        <v xml:space="preserve">Current Year </v>
      </c>
      <c r="E45" s="125" t="str">
        <f t="shared" si="0"/>
        <v xml:space="preserve">Proposed Budget </v>
      </c>
      <c r="G45" s="707">
        <f>summ!E21</f>
        <v>0.64200000000000002</v>
      </c>
      <c r="H45" s="665" t="str">
        <f>CONCATENATE("",E1-1," Fund Mill Rate")</f>
        <v>2013 Fund Mill Rate</v>
      </c>
      <c r="I45" s="694"/>
      <c r="J45" s="695"/>
    </row>
    <row r="46" spans="2:10">
      <c r="B46" s="364">
        <f>inputPrYr!B24</f>
        <v>0</v>
      </c>
      <c r="C46" s="348" t="str">
        <f t="shared" si="0"/>
        <v>Actual for 2012</v>
      </c>
      <c r="D46" s="348" t="str">
        <f t="shared" si="0"/>
        <v>Estimate for 2013</v>
      </c>
      <c r="E46" s="178" t="str">
        <f t="shared" si="0"/>
        <v>Year for 2014</v>
      </c>
      <c r="G46" s="709">
        <f>summ!H43</f>
        <v>48.314999999999998</v>
      </c>
      <c r="H46" s="665" t="str">
        <f>CONCATENATE("Total ",E1," Mill Rate")</f>
        <v>Total 2014 Mill Rate</v>
      </c>
      <c r="I46" s="694"/>
      <c r="J46" s="695"/>
    </row>
    <row r="47" spans="2:10">
      <c r="B47" s="223" t="s">
        <v>144</v>
      </c>
      <c r="C47" s="224"/>
      <c r="D47" s="347">
        <f>C75</f>
        <v>0</v>
      </c>
      <c r="E47" s="193">
        <f>D75</f>
        <v>0</v>
      </c>
      <c r="G47" s="707">
        <f>summ!E43</f>
        <v>48.754000000000005</v>
      </c>
      <c r="H47" s="690" t="str">
        <f>CONCATENATE("Total ",E1-1," Mill Rate")</f>
        <v>Total 2013 Mill Rate</v>
      </c>
      <c r="I47" s="691"/>
      <c r="J47" s="692"/>
    </row>
    <row r="48" spans="2:10">
      <c r="B48" s="223" t="s">
        <v>146</v>
      </c>
      <c r="C48" s="139"/>
      <c r="D48" s="139"/>
      <c r="E48" s="68"/>
    </row>
    <row r="49" spans="2:5">
      <c r="B49" s="131" t="s">
        <v>25</v>
      </c>
      <c r="C49" s="224"/>
      <c r="D49" s="347">
        <f>IF(inputPrYr!H16&gt;0,inputPrYr!G24,inputPrYr!E24)</f>
        <v>0</v>
      </c>
      <c r="E49" s="253" t="s">
        <v>13</v>
      </c>
    </row>
    <row r="50" spans="2:5">
      <c r="B50" s="131" t="s">
        <v>26</v>
      </c>
      <c r="C50" s="224"/>
      <c r="D50" s="224"/>
      <c r="E50" s="50"/>
    </row>
    <row r="51" spans="2:5">
      <c r="B51" s="131" t="s">
        <v>27</v>
      </c>
      <c r="C51" s="224"/>
      <c r="D51" s="224"/>
      <c r="E51" s="193" t="str">
        <f>mvalloc!D13</f>
        <v xml:space="preserve">  </v>
      </c>
    </row>
    <row r="52" spans="2:5">
      <c r="B52" s="131" t="s">
        <v>28</v>
      </c>
      <c r="C52" s="224"/>
      <c r="D52" s="224"/>
      <c r="E52" s="193" t="str">
        <f>mvalloc!E13</f>
        <v xml:space="preserve"> </v>
      </c>
    </row>
    <row r="53" spans="2:5">
      <c r="B53" s="139" t="s">
        <v>121</v>
      </c>
      <c r="C53" s="224"/>
      <c r="D53" s="224"/>
      <c r="E53" s="193" t="str">
        <f>mvalloc!F13</f>
        <v xml:space="preserve"> </v>
      </c>
    </row>
    <row r="54" spans="2:5">
      <c r="B54" s="50"/>
      <c r="C54" s="224"/>
      <c r="D54" s="224"/>
      <c r="E54" s="50"/>
    </row>
    <row r="55" spans="2:5">
      <c r="B55" s="238"/>
      <c r="C55" s="224"/>
      <c r="D55" s="224"/>
      <c r="E55" s="50"/>
    </row>
    <row r="56" spans="2:5">
      <c r="B56" s="238"/>
      <c r="C56" s="224"/>
      <c r="D56" s="224"/>
      <c r="E56" s="50"/>
    </row>
    <row r="57" spans="2:5">
      <c r="B57" s="238"/>
      <c r="C57" s="224"/>
      <c r="D57" s="224"/>
      <c r="E57" s="50"/>
    </row>
    <row r="58" spans="2:5">
      <c r="B58" s="230" t="s">
        <v>32</v>
      </c>
      <c r="C58" s="224"/>
      <c r="D58" s="224"/>
      <c r="E58" s="50"/>
    </row>
    <row r="59" spans="2:5">
      <c r="B59" s="139" t="s">
        <v>268</v>
      </c>
      <c r="C59" s="224"/>
      <c r="D59" s="224"/>
      <c r="E59" s="50"/>
    </row>
    <row r="60" spans="2:5">
      <c r="B60" s="223" t="s">
        <v>790</v>
      </c>
      <c r="C60" s="349" t="str">
        <f>IF(C61*0.1&lt;C59,"Exceed 10% Rule","")</f>
        <v/>
      </c>
      <c r="D60" s="349" t="str">
        <f>IF(D61*0.1&lt;D59,"Exceed 10% Rule","")</f>
        <v/>
      </c>
      <c r="E60" s="366" t="str">
        <f>IF(E61*0.1+E81&lt;E59,"Exceed 10% Rule","")</f>
        <v/>
      </c>
    </row>
    <row r="61" spans="2:5">
      <c r="B61" s="232" t="s">
        <v>33</v>
      </c>
      <c r="C61" s="350">
        <f>SUM(C49:C59)</f>
        <v>0</v>
      </c>
      <c r="D61" s="350">
        <f>SUM(D49:D59)</f>
        <v>0</v>
      </c>
      <c r="E61" s="258">
        <f>SUM(E50:E59)</f>
        <v>0</v>
      </c>
    </row>
    <row r="62" spans="2:5">
      <c r="B62" s="232" t="s">
        <v>34</v>
      </c>
      <c r="C62" s="350">
        <f>C47+C61</f>
        <v>0</v>
      </c>
      <c r="D62" s="350">
        <f>D47+D61</f>
        <v>0</v>
      </c>
      <c r="E62" s="258">
        <f>E47+E61</f>
        <v>0</v>
      </c>
    </row>
    <row r="63" spans="2:5">
      <c r="B63" s="131" t="s">
        <v>36</v>
      </c>
      <c r="C63" s="239"/>
      <c r="D63" s="239"/>
      <c r="E63" s="48"/>
    </row>
    <row r="64" spans="2:5">
      <c r="B64" s="238"/>
      <c r="C64" s="224"/>
      <c r="D64" s="224"/>
      <c r="E64" s="50"/>
    </row>
    <row r="65" spans="2:11">
      <c r="B65" s="238"/>
      <c r="C65" s="224"/>
      <c r="D65" s="224"/>
      <c r="E65" s="50"/>
      <c r="G65" s="782" t="str">
        <f>CONCATENATE("Desired Carryover Into ",E1+1,"")</f>
        <v>Desired Carryover Into 2015</v>
      </c>
      <c r="H65" s="771"/>
      <c r="I65" s="771"/>
      <c r="J65" s="772"/>
    </row>
    <row r="66" spans="2:11">
      <c r="B66" s="238"/>
      <c r="C66" s="224"/>
      <c r="D66" s="224"/>
      <c r="E66" s="50"/>
      <c r="G66" s="673"/>
      <c r="H66" s="660"/>
      <c r="I66" s="667"/>
      <c r="J66" s="674"/>
    </row>
    <row r="67" spans="2:11">
      <c r="B67" s="238"/>
      <c r="C67" s="224"/>
      <c r="D67" s="224"/>
      <c r="E67" s="50"/>
      <c r="G67" s="672" t="s">
        <v>634</v>
      </c>
      <c r="H67" s="667"/>
      <c r="I67" s="667"/>
      <c r="J67" s="661">
        <v>0</v>
      </c>
    </row>
    <row r="68" spans="2:11">
      <c r="B68" s="238"/>
      <c r="C68" s="224"/>
      <c r="D68" s="224"/>
      <c r="E68" s="50"/>
      <c r="G68" s="673" t="s">
        <v>635</v>
      </c>
      <c r="H68" s="660"/>
      <c r="I68" s="660"/>
      <c r="J68" s="701" t="str">
        <f>IF(J67=0,"",ROUND((J67+E81-G80)/inputOth!E7*1000,3)-G85)</f>
        <v/>
      </c>
    </row>
    <row r="69" spans="2:11">
      <c r="B69" s="238"/>
      <c r="C69" s="224"/>
      <c r="D69" s="224"/>
      <c r="E69" s="50"/>
      <c r="G69" s="698" t="str">
        <f>CONCATENATE("",E1," Tot Exp/Non-Appr Must Be:")</f>
        <v>2014 Tot Exp/Non-Appr Must Be:</v>
      </c>
      <c r="H69" s="696"/>
      <c r="I69" s="697"/>
      <c r="J69" s="693">
        <f>IF(J67&gt;0,IF(E78&lt;E62,IF(J67=G80,E78,((J67-G80)*(1-D80))+E62),E78+(J67-G80)),0)</f>
        <v>0</v>
      </c>
    </row>
    <row r="70" spans="2:11">
      <c r="B70" s="238"/>
      <c r="C70" s="224"/>
      <c r="D70" s="224"/>
      <c r="E70" s="50"/>
      <c r="G70" s="587" t="s">
        <v>812</v>
      </c>
      <c r="H70" s="704"/>
      <c r="I70" s="704"/>
      <c r="J70" s="699">
        <f>IF(J67&gt;0,J69-E78,0)</f>
        <v>0</v>
      </c>
    </row>
    <row r="71" spans="2:11">
      <c r="B71" s="239" t="s">
        <v>269</v>
      </c>
      <c r="C71" s="224"/>
      <c r="D71" s="224"/>
      <c r="E71" s="57" t="str">
        <f>nhood!E12</f>
        <v/>
      </c>
      <c r="J71" s="650"/>
    </row>
    <row r="72" spans="2:11">
      <c r="B72" s="239" t="s">
        <v>268</v>
      </c>
      <c r="C72" s="224"/>
      <c r="D72" s="224"/>
      <c r="E72" s="50"/>
      <c r="G72" s="782" t="str">
        <f>CONCATENATE("Projected Carryover Into ",E1+1,"")</f>
        <v>Projected Carryover Into 2015</v>
      </c>
      <c r="H72" s="786"/>
      <c r="I72" s="786"/>
      <c r="J72" s="785"/>
    </row>
    <row r="73" spans="2:11">
      <c r="B73" s="239" t="s">
        <v>791</v>
      </c>
      <c r="C73" s="349" t="str">
        <f>IF(C74*0.1&lt;C72,"Exceed 10% Rule","")</f>
        <v/>
      </c>
      <c r="D73" s="349" t="str">
        <f>IF(D74*0.1&lt;D72,"Exceed 10% Rule","")</f>
        <v/>
      </c>
      <c r="E73" s="366" t="str">
        <f>IF(E74*0.1&lt;E72,"Exceed 10% Rule","")</f>
        <v/>
      </c>
      <c r="G73" s="662"/>
      <c r="H73" s="660"/>
      <c r="I73" s="660"/>
      <c r="J73" s="713"/>
    </row>
    <row r="74" spans="2:11">
      <c r="B74" s="232" t="s">
        <v>37</v>
      </c>
      <c r="C74" s="350">
        <f>SUM(C64:C72)</f>
        <v>0</v>
      </c>
      <c r="D74" s="350">
        <f>SUM(D64:D72)</f>
        <v>0</v>
      </c>
      <c r="E74" s="258">
        <f>SUM(E64:E72)</f>
        <v>0</v>
      </c>
      <c r="G74" s="664">
        <f>D75</f>
        <v>0</v>
      </c>
      <c r="H74" s="665" t="str">
        <f>CONCATENATE("",E1-1," Ending Cash Balance (est.)")</f>
        <v>2013 Ending Cash Balance (est.)</v>
      </c>
      <c r="I74" s="666"/>
      <c r="J74" s="713"/>
    </row>
    <row r="75" spans="2:11">
      <c r="B75" s="131" t="s">
        <v>145</v>
      </c>
      <c r="C75" s="347">
        <f>C62-C74</f>
        <v>0</v>
      </c>
      <c r="D75" s="347">
        <f>D62-D74</f>
        <v>0</v>
      </c>
      <c r="E75" s="253" t="s">
        <v>13</v>
      </c>
      <c r="G75" s="664">
        <f>E61</f>
        <v>0</v>
      </c>
      <c r="H75" s="667" t="str">
        <f>CONCATENATE("",E1," Non-AV Receipts (est.)")</f>
        <v>2014 Non-AV Receipts (est.)</v>
      </c>
      <c r="I75" s="666"/>
      <c r="J75" s="713"/>
    </row>
    <row r="76" spans="2:11">
      <c r="B76" s="119" t="str">
        <f>CONCATENATE("",$E$1-2,"/",$E$1-1," Budget Authority Amount:")</f>
        <v>2012/2013 Budget Authority Amount:</v>
      </c>
      <c r="C76" s="183">
        <f>inputOth!B67</f>
        <v>0</v>
      </c>
      <c r="D76" s="241">
        <f>inputPrYr!D24</f>
        <v>0</v>
      </c>
      <c r="E76" s="253" t="s">
        <v>13</v>
      </c>
      <c r="F76" s="242"/>
      <c r="G76" s="668">
        <f>IF(D80&gt;0,E79,E81)</f>
        <v>0</v>
      </c>
      <c r="H76" s="667" t="str">
        <f>CONCATENATE("",E1," Ad Valorem Tax (est.)")</f>
        <v>2014 Ad Valorem Tax (est.)</v>
      </c>
      <c r="I76" s="666"/>
      <c r="J76" s="713"/>
      <c r="K76" s="590" t="str">
        <f>IF(G76=E81,"","Note: Does not include Delinquent Taxes")</f>
        <v/>
      </c>
    </row>
    <row r="77" spans="2:11">
      <c r="B77" s="119"/>
      <c r="C77" s="764" t="s">
        <v>626</v>
      </c>
      <c r="D77" s="765"/>
      <c r="E77" s="50"/>
      <c r="F77" s="724" t="str">
        <f>IF(E74/0.95-E74&lt;E77,"Exceeds 5%","")</f>
        <v/>
      </c>
      <c r="G77" s="675">
        <f>SUM(G74:G76)</f>
        <v>0</v>
      </c>
      <c r="H77" s="667" t="str">
        <f>CONCATENATE("Total ",E1," Resources Available")</f>
        <v>Total 2014 Resources Available</v>
      </c>
      <c r="I77" s="663"/>
      <c r="J77" s="713"/>
    </row>
    <row r="78" spans="2:11">
      <c r="B78" s="368" t="str">
        <f>CONCATENATE(C96,"     ",D96)</f>
        <v xml:space="preserve">     </v>
      </c>
      <c r="C78" s="766" t="s">
        <v>627</v>
      </c>
      <c r="D78" s="767"/>
      <c r="E78" s="193">
        <f>E74+E77</f>
        <v>0</v>
      </c>
      <c r="G78" s="678"/>
      <c r="H78" s="676"/>
      <c r="I78" s="660"/>
      <c r="J78" s="713"/>
    </row>
    <row r="79" spans="2:11">
      <c r="B79" s="368" t="str">
        <f>CONCATENATE(C97,"     ",D97)</f>
        <v xml:space="preserve">     </v>
      </c>
      <c r="C79" s="243"/>
      <c r="D79" s="147" t="s">
        <v>38</v>
      </c>
      <c r="E79" s="193">
        <f>IF(E78-E62&gt;0,E78-E62,0)</f>
        <v>0</v>
      </c>
      <c r="G79" s="677">
        <f>ROUND(C74*0.05+C74,0)</f>
        <v>0</v>
      </c>
      <c r="H79" s="676" t="str">
        <f>CONCATENATE("Less ",E1-2," Expenditures + 5%")</f>
        <v>Less 2012 Expenditures + 5%</v>
      </c>
      <c r="I79" s="663"/>
      <c r="J79" s="713"/>
    </row>
    <row r="80" spans="2:11">
      <c r="B80" s="147"/>
      <c r="C80" s="354" t="s">
        <v>628</v>
      </c>
      <c r="D80" s="589">
        <f>inputOth!$E$47</f>
        <v>1.6E-2</v>
      </c>
      <c r="E80" s="193">
        <f>ROUND(IF(D80&gt;0,(E79*D80),0),0)</f>
        <v>0</v>
      </c>
      <c r="G80" s="679">
        <f>G77-G79</f>
        <v>0</v>
      </c>
      <c r="H80" s="680" t="str">
        <f>CONCATENATE("Projected ",E1+1," carryover (est.)")</f>
        <v>Projected 2015 carryover (est.)</v>
      </c>
      <c r="I80" s="671"/>
      <c r="J80" s="711"/>
    </row>
    <row r="81" spans="2:10" ht="16.5" thickBot="1">
      <c r="B81" s="22"/>
      <c r="C81" s="768" t="str">
        <f>CONCATENATE("Amount of  ",$E$1-1," Ad Valorem Tax")</f>
        <v>Amount of  2013 Ad Valorem Tax</v>
      </c>
      <c r="D81" s="769"/>
      <c r="E81" s="259">
        <f>E79+E80</f>
        <v>0</v>
      </c>
      <c r="G81" s="650"/>
      <c r="H81" s="650"/>
      <c r="I81" s="650"/>
    </row>
    <row r="82" spans="2:10" ht="16.5" thickTop="1">
      <c r="B82" s="22"/>
      <c r="C82" s="776"/>
      <c r="D82" s="776"/>
      <c r="E82" s="22"/>
      <c r="G82" s="773" t="s">
        <v>817</v>
      </c>
      <c r="H82" s="774"/>
      <c r="I82" s="774"/>
      <c r="J82" s="775"/>
    </row>
    <row r="83" spans="2:10">
      <c r="B83" s="22"/>
      <c r="C83" s="22"/>
      <c r="D83" s="22"/>
      <c r="E83" s="22"/>
      <c r="G83" s="706"/>
      <c r="H83" s="665"/>
      <c r="I83" s="694"/>
      <c r="J83" s="695"/>
    </row>
    <row r="84" spans="2:10">
      <c r="B84" s="119" t="s">
        <v>40</v>
      </c>
      <c r="C84" s="249">
        <v>10</v>
      </c>
      <c r="D84" s="22"/>
      <c r="E84" s="22"/>
      <c r="G84" s="708" t="str">
        <f>summ!H22</f>
        <v xml:space="preserve">  </v>
      </c>
      <c r="H84" s="665" t="str">
        <f>CONCATENATE("",E1," Fund Mill Rate")</f>
        <v>2014 Fund Mill Rate</v>
      </c>
      <c r="I84" s="694"/>
      <c r="J84" s="695"/>
    </row>
    <row r="85" spans="2:10">
      <c r="G85" s="707" t="str">
        <f>summ!E22</f>
        <v xml:space="preserve">  </v>
      </c>
      <c r="H85" s="665" t="str">
        <f>CONCATENATE("",E1-1," Fund Mill Rate")</f>
        <v>2013 Fund Mill Rate</v>
      </c>
      <c r="I85" s="694"/>
      <c r="J85" s="695"/>
    </row>
    <row r="86" spans="2:10">
      <c r="G86" s="709">
        <f>summ!H43</f>
        <v>48.314999999999998</v>
      </c>
      <c r="H86" s="665" t="str">
        <f>CONCATENATE("Total ",E1," Mill Rate")</f>
        <v>Total 2014 Mill Rate</v>
      </c>
      <c r="I86" s="694"/>
      <c r="J86" s="695"/>
    </row>
    <row r="87" spans="2:10">
      <c r="G87" s="707">
        <f>summ!E43</f>
        <v>48.754000000000005</v>
      </c>
      <c r="H87" s="690" t="str">
        <f>CONCATENATE("Total ",E1-1," Mill Rate")</f>
        <v>Total 2013 Mill Rate</v>
      </c>
      <c r="I87" s="691"/>
      <c r="J87" s="692"/>
    </row>
    <row r="94" spans="2:10" hidden="1">
      <c r="C94" s="369" t="str">
        <f>IF(C34&gt;C36,"See Tab A","")</f>
        <v>See Tab A</v>
      </c>
      <c r="D94" s="369" t="str">
        <f>IF(D34&gt;D36,"See Tab C","")</f>
        <v>See Tab C</v>
      </c>
    </row>
    <row r="95" spans="2:10" hidden="1">
      <c r="C95" s="369" t="str">
        <f>IF(C35&lt;0,"See Tab B","")</f>
        <v/>
      </c>
      <c r="D95" s="369" t="str">
        <f>IF(D35&lt;0,"See Tab D","")</f>
        <v/>
      </c>
    </row>
    <row r="96" spans="2:10" hidden="1">
      <c r="C96" s="369" t="str">
        <f>IF(C74&gt;C76,"See Tab A","")</f>
        <v/>
      </c>
      <c r="D96" s="369" t="str">
        <f>IF(D74&gt;D76,"See Tab C","")</f>
        <v/>
      </c>
    </row>
    <row r="97" spans="3:4" hidden="1">
      <c r="C97" s="369" t="str">
        <f>IF(C75&lt;0,"See Tab B","")</f>
        <v/>
      </c>
      <c r="D97" s="369" t="str">
        <f>IF(D75&lt;0,"See Tab D","")</f>
        <v/>
      </c>
    </row>
  </sheetData>
  <sheetProtection sheet="1"/>
  <mergeCells count="14">
    <mergeCell ref="G24:J24"/>
    <mergeCell ref="G32:J32"/>
    <mergeCell ref="G42:J42"/>
    <mergeCell ref="G65:J65"/>
    <mergeCell ref="G72:J72"/>
    <mergeCell ref="G82:J82"/>
    <mergeCell ref="C82:D82"/>
    <mergeCell ref="C42:D42"/>
    <mergeCell ref="C77:D77"/>
    <mergeCell ref="C78:D78"/>
    <mergeCell ref="C37:D37"/>
    <mergeCell ref="C38:D38"/>
    <mergeCell ref="C81:D81"/>
    <mergeCell ref="C41:D41"/>
  </mergeCells>
  <phoneticPr fontId="0" type="noConversion"/>
  <conditionalFormatting sqref="E32">
    <cfRule type="cellIs" dxfId="76" priority="3" stopIfTrue="1" operator="greaterThan">
      <formula>$E$34*0.1</formula>
    </cfRule>
  </conditionalFormatting>
  <conditionalFormatting sqref="E37">
    <cfRule type="cellIs" dxfId="75" priority="4" stopIfTrue="1" operator="greaterThan">
      <formula>$E$34/0.95-$E$34</formula>
    </cfRule>
  </conditionalFormatting>
  <conditionalFormatting sqref="E72">
    <cfRule type="cellIs" dxfId="74" priority="5" stopIfTrue="1" operator="greaterThan">
      <formula>$E$74*0.1</formula>
    </cfRule>
  </conditionalFormatting>
  <conditionalFormatting sqref="E77">
    <cfRule type="cellIs" dxfId="73" priority="6" stopIfTrue="1" operator="greaterThan">
      <formula>$E$74/0.95-$E$74</formula>
    </cfRule>
  </conditionalFormatting>
  <conditionalFormatting sqref="D34">
    <cfRule type="cellIs" dxfId="72" priority="7" stopIfTrue="1" operator="greaterThan">
      <formula>$D$36</formula>
    </cfRule>
  </conditionalFormatting>
  <conditionalFormatting sqref="C34">
    <cfRule type="cellIs" dxfId="71" priority="8" stopIfTrue="1" operator="greaterThan">
      <formula>$C$36</formula>
    </cfRule>
  </conditionalFormatting>
  <conditionalFormatting sqref="C35 C75">
    <cfRule type="cellIs" dxfId="70" priority="9" stopIfTrue="1" operator="lessThan">
      <formula>0</formula>
    </cfRule>
  </conditionalFormatting>
  <conditionalFormatting sqref="D74">
    <cfRule type="cellIs" dxfId="69" priority="10" stopIfTrue="1" operator="greaterThan">
      <formula>$D$76</formula>
    </cfRule>
  </conditionalFormatting>
  <conditionalFormatting sqref="C74">
    <cfRule type="cellIs" dxfId="68" priority="11" stopIfTrue="1" operator="greaterThan">
      <formula>$C$76</formula>
    </cfRule>
  </conditionalFormatting>
  <conditionalFormatting sqref="C32">
    <cfRule type="cellIs" dxfId="67" priority="12" stopIfTrue="1" operator="greaterThan">
      <formula>$C$34*0.1</formula>
    </cfRule>
  </conditionalFormatting>
  <conditionalFormatting sqref="D32">
    <cfRule type="cellIs" dxfId="66" priority="13" stopIfTrue="1" operator="greaterThan">
      <formula>$D$34*0.1</formula>
    </cfRule>
  </conditionalFormatting>
  <conditionalFormatting sqref="C72">
    <cfRule type="cellIs" dxfId="65" priority="14" stopIfTrue="1" operator="greaterThan">
      <formula>$C$74*0.1</formula>
    </cfRule>
  </conditionalFormatting>
  <conditionalFormatting sqref="D72">
    <cfRule type="cellIs" dxfId="64" priority="15" stopIfTrue="1" operator="greaterThan">
      <formula>$D$74*0.1</formula>
    </cfRule>
  </conditionalFormatting>
  <conditionalFormatting sqref="D59">
    <cfRule type="cellIs" dxfId="63" priority="16" stopIfTrue="1" operator="greaterThan">
      <formula>$D$61*0.1</formula>
    </cfRule>
  </conditionalFormatting>
  <conditionalFormatting sqref="C59">
    <cfRule type="cellIs" dxfId="62" priority="17" stopIfTrue="1" operator="greaterThan">
      <formula>$C$61*0.1</formula>
    </cfRule>
  </conditionalFormatting>
  <conditionalFormatting sqref="D18">
    <cfRule type="cellIs" dxfId="61" priority="18" stopIfTrue="1" operator="greaterThan">
      <formula>$D$20*0.1</formula>
    </cfRule>
  </conditionalFormatting>
  <conditionalFormatting sqref="C18">
    <cfRule type="cellIs" dxfId="60" priority="19" stopIfTrue="1" operator="greaterThan">
      <formula>$C$20*0.1</formula>
    </cfRule>
  </conditionalFormatting>
  <conditionalFormatting sqref="E59">
    <cfRule type="cellIs" dxfId="59" priority="20" stopIfTrue="1" operator="greaterThan">
      <formula>$E$61*0.1+E81</formula>
    </cfRule>
  </conditionalFormatting>
  <conditionalFormatting sqref="E18">
    <cfRule type="cellIs" dxfId="58" priority="21" stopIfTrue="1" operator="greaterThan">
      <formula>$E$20*0.1+E41</formula>
    </cfRule>
  </conditionalFormatting>
  <conditionalFormatting sqref="D75 D35">
    <cfRule type="cellIs" dxfId="57" priority="2" stopIfTrue="1" operator="lessThan">
      <formula>0</formula>
    </cfRule>
  </conditionalFormatting>
  <pageMargins left="0.5" right="0.5" top="1" bottom="0.5" header="0.5" footer="0.5"/>
  <pageSetup scale="52"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topLeftCell="A7" workbookViewId="0">
      <selection activeCell="D19" sqref="D19"/>
    </sheetView>
  </sheetViews>
  <sheetFormatPr defaultRowHeight="15.75"/>
  <cols>
    <col min="1" max="1" width="2.44140625" style="23" customWidth="1"/>
    <col min="2" max="2" width="31.109375" style="23" customWidth="1"/>
    <col min="3" max="4" width="15.77734375" style="23" customWidth="1"/>
    <col min="5" max="5" width="16.21875" style="23" customWidth="1"/>
    <col min="6" max="16384" width="8.88671875" style="23"/>
  </cols>
  <sheetData>
    <row r="1" spans="2:5">
      <c r="B1" s="151" t="str">
        <f>(inputPrYr!D2)</f>
        <v>City of Grandview Plaza, Kansas</v>
      </c>
      <c r="C1" s="22"/>
      <c r="D1" s="22"/>
      <c r="E1" s="212">
        <f>inputPrYr!C5</f>
        <v>2014</v>
      </c>
    </row>
    <row r="2" spans="2:5">
      <c r="B2" s="22"/>
      <c r="C2" s="22"/>
      <c r="D2" s="22"/>
      <c r="E2" s="147"/>
    </row>
    <row r="3" spans="2:5">
      <c r="B3" s="41" t="s">
        <v>90</v>
      </c>
      <c r="C3" s="257"/>
      <c r="D3" s="257"/>
      <c r="E3" s="257"/>
    </row>
    <row r="4" spans="2:5">
      <c r="B4" s="29" t="s">
        <v>24</v>
      </c>
      <c r="C4" s="632" t="s">
        <v>807</v>
      </c>
      <c r="D4" s="633" t="s">
        <v>808</v>
      </c>
      <c r="E4" s="125" t="s">
        <v>809</v>
      </c>
    </row>
    <row r="5" spans="2:5">
      <c r="B5" s="365" t="str">
        <f>(inputPrYr!B34)</f>
        <v>Special Highway</v>
      </c>
      <c r="C5" s="348" t="str">
        <f>CONCATENATE("Actual for ",E1-2,"")</f>
        <v>Actual for 2012</v>
      </c>
      <c r="D5" s="348" t="str">
        <f>CONCATENATE("Estimate for ",E1-1,"")</f>
        <v>Estimate for 2013</v>
      </c>
      <c r="E5" s="222" t="str">
        <f>CONCATENATE("Year for ",E1,"")</f>
        <v>Year for 2014</v>
      </c>
    </row>
    <row r="6" spans="2:5">
      <c r="B6" s="223" t="s">
        <v>144</v>
      </c>
      <c r="C6" s="50"/>
      <c r="D6" s="193">
        <f>C29</f>
        <v>0</v>
      </c>
      <c r="E6" s="193">
        <f>D29</f>
        <v>0</v>
      </c>
    </row>
    <row r="7" spans="2:5">
      <c r="B7" s="226" t="s">
        <v>146</v>
      </c>
      <c r="C7" s="68"/>
      <c r="D7" s="68"/>
      <c r="E7" s="68"/>
    </row>
    <row r="8" spans="2:5">
      <c r="B8" s="239" t="s">
        <v>124</v>
      </c>
      <c r="C8" s="50"/>
      <c r="D8" s="193">
        <f>inputOth!E53</f>
        <v>40310</v>
      </c>
      <c r="E8" s="193">
        <f>inputOth!E51</f>
        <v>41760</v>
      </c>
    </row>
    <row r="9" spans="2:5">
      <c r="B9" s="239" t="s">
        <v>263</v>
      </c>
      <c r="C9" s="50"/>
      <c r="D9" s="193">
        <f>inputOth!E54</f>
        <v>0</v>
      </c>
      <c r="E9" s="193">
        <f>inputOth!E52</f>
        <v>0</v>
      </c>
    </row>
    <row r="10" spans="2:5">
      <c r="B10" s="238"/>
      <c r="C10" s="50"/>
      <c r="D10" s="50"/>
      <c r="E10" s="50"/>
    </row>
    <row r="11" spans="2:5">
      <c r="B11" s="238"/>
      <c r="C11" s="50"/>
      <c r="D11" s="50"/>
      <c r="E11" s="50"/>
    </row>
    <row r="12" spans="2:5">
      <c r="B12" s="230" t="s">
        <v>32</v>
      </c>
      <c r="C12" s="50"/>
      <c r="D12" s="50"/>
      <c r="E12" s="50"/>
    </row>
    <row r="13" spans="2:5">
      <c r="B13" s="139" t="s">
        <v>268</v>
      </c>
      <c r="C13" s="50"/>
      <c r="D13" s="50"/>
      <c r="E13" s="50"/>
    </row>
    <row r="14" spans="2:5">
      <c r="B14" s="223" t="s">
        <v>790</v>
      </c>
      <c r="C14" s="366" t="str">
        <f>IF(C15*0.1&lt;C13,"Exceed 10% Rule","")</f>
        <v/>
      </c>
      <c r="D14" s="254" t="str">
        <f>IF(D15*0.1&lt;D13,"Exceed 10% Rule","")</f>
        <v/>
      </c>
      <c r="E14" s="254" t="str">
        <f>IF(E15*0.1&lt;E13,"Exceed 10% Rule","")</f>
        <v/>
      </c>
    </row>
    <row r="15" spans="2:5">
      <c r="B15" s="232" t="s">
        <v>33</v>
      </c>
      <c r="C15" s="258">
        <f>SUM(C8:C13)</f>
        <v>0</v>
      </c>
      <c r="D15" s="258">
        <f>SUM(D8:D13)</f>
        <v>40310</v>
      </c>
      <c r="E15" s="258">
        <f>SUM(E8:E13)</f>
        <v>41760</v>
      </c>
    </row>
    <row r="16" spans="2:5">
      <c r="B16" s="232" t="s">
        <v>34</v>
      </c>
      <c r="C16" s="258">
        <f>C6+C15</f>
        <v>0</v>
      </c>
      <c r="D16" s="258">
        <f>D6+D15</f>
        <v>40310</v>
      </c>
      <c r="E16" s="258">
        <f>E6+E15</f>
        <v>41760</v>
      </c>
    </row>
    <row r="17" spans="2:5">
      <c r="B17" s="131" t="s">
        <v>36</v>
      </c>
      <c r="C17" s="193"/>
      <c r="D17" s="193"/>
      <c r="E17" s="193"/>
    </row>
    <row r="18" spans="2:5">
      <c r="B18" s="238" t="s">
        <v>1041</v>
      </c>
      <c r="C18" s="50"/>
      <c r="D18" s="50">
        <v>40310</v>
      </c>
      <c r="E18" s="50">
        <v>41760</v>
      </c>
    </row>
    <row r="19" spans="2:5">
      <c r="B19" s="238"/>
      <c r="C19" s="50"/>
      <c r="D19" s="50"/>
      <c r="E19" s="50"/>
    </row>
    <row r="20" spans="2:5">
      <c r="B20" s="238"/>
      <c r="C20" s="50"/>
      <c r="D20" s="50"/>
      <c r="E20" s="50"/>
    </row>
    <row r="21" spans="2:5">
      <c r="B21" s="238"/>
      <c r="C21" s="50"/>
      <c r="D21" s="50"/>
      <c r="E21" s="50"/>
    </row>
    <row r="22" spans="2:5">
      <c r="B22" s="238"/>
      <c r="C22" s="50"/>
      <c r="D22" s="50"/>
      <c r="E22" s="50"/>
    </row>
    <row r="23" spans="2:5">
      <c r="B23" s="238"/>
      <c r="C23" s="50"/>
      <c r="D23" s="50"/>
      <c r="E23" s="50"/>
    </row>
    <row r="24" spans="2:5">
      <c r="B24" s="238"/>
      <c r="C24" s="50"/>
      <c r="D24" s="50"/>
      <c r="E24" s="50"/>
    </row>
    <row r="25" spans="2:5">
      <c r="B25" s="238"/>
      <c r="C25" s="50"/>
      <c r="D25" s="50"/>
      <c r="E25" s="50"/>
    </row>
    <row r="26" spans="2:5">
      <c r="B26" s="239" t="s">
        <v>268</v>
      </c>
      <c r="C26" s="50"/>
      <c r="D26" s="50"/>
      <c r="E26" s="50"/>
    </row>
    <row r="27" spans="2:5">
      <c r="B27" s="239" t="s">
        <v>791</v>
      </c>
      <c r="C27" s="366" t="str">
        <f>IF(C28*0.1&lt;C26,"Exceed 10% Rule","")</f>
        <v/>
      </c>
      <c r="D27" s="254" t="str">
        <f>IF(D28*0.1&lt;D26,"Exceed 10% Rule","")</f>
        <v/>
      </c>
      <c r="E27" s="254" t="str">
        <f>IF(E28*0.1&lt;E26,"Exceed 10% Rule","")</f>
        <v/>
      </c>
    </row>
    <row r="28" spans="2:5">
      <c r="B28" s="232" t="s">
        <v>37</v>
      </c>
      <c r="C28" s="258">
        <f>SUM(C18:C26)</f>
        <v>0</v>
      </c>
      <c r="D28" s="258">
        <f>SUM(D18:D26)</f>
        <v>40310</v>
      </c>
      <c r="E28" s="258">
        <f>SUM(E18:E26)</f>
        <v>41760</v>
      </c>
    </row>
    <row r="29" spans="2:5">
      <c r="B29" s="131" t="s">
        <v>145</v>
      </c>
      <c r="C29" s="193">
        <f>C16-C28</f>
        <v>0</v>
      </c>
      <c r="D29" s="193">
        <f>D16-D28</f>
        <v>0</v>
      </c>
      <c r="E29" s="193">
        <f>E16-E28</f>
        <v>0</v>
      </c>
    </row>
    <row r="30" spans="2:5">
      <c r="B30" s="119" t="str">
        <f>CONCATENATE("",$E$1-2,"/",$E$1-1," Budget Authority Amount:")</f>
        <v>2012/2013 Budget Authority Amount:</v>
      </c>
      <c r="C30" s="183">
        <f>inputOth!B74</f>
        <v>0</v>
      </c>
      <c r="D30" s="183">
        <f>inputPrYr!D34</f>
        <v>0</v>
      </c>
      <c r="E30" s="408" t="str">
        <f>IF(E29&lt;0,"See Tab E","")</f>
        <v/>
      </c>
    </row>
    <row r="31" spans="2:5">
      <c r="B31" s="119"/>
      <c r="C31" s="243" t="str">
        <f>IF(C28&gt;C30,"See Tab A","")</f>
        <v/>
      </c>
      <c r="D31" s="243" t="str">
        <f>IF(D28&gt;D30,"See Tab C","")</f>
        <v>See Tab C</v>
      </c>
      <c r="E31" s="51"/>
    </row>
    <row r="32" spans="2:5">
      <c r="B32" s="119"/>
      <c r="C32" s="243" t="str">
        <f>IF(C29&lt;0,"See Tab B","")</f>
        <v/>
      </c>
      <c r="D32" s="243" t="str">
        <f>IF(D29&lt;0,"See Tab D","")</f>
        <v/>
      </c>
      <c r="E32" s="51"/>
    </row>
    <row r="33" spans="2:5">
      <c r="B33" s="22"/>
      <c r="C33" s="51"/>
      <c r="D33" s="51"/>
      <c r="E33" s="51"/>
    </row>
    <row r="34" spans="2:5">
      <c r="B34" s="29" t="s">
        <v>24</v>
      </c>
      <c r="C34" s="262"/>
      <c r="D34" s="262"/>
      <c r="E34" s="262"/>
    </row>
    <row r="35" spans="2:5">
      <c r="B35" s="22"/>
      <c r="C35" s="246" t="str">
        <f t="shared" ref="C35:E36" si="0">C4</f>
        <v xml:space="preserve">Prior Year </v>
      </c>
      <c r="D35" s="125" t="str">
        <f t="shared" si="0"/>
        <v>Current Year</v>
      </c>
      <c r="E35" s="125" t="str">
        <f t="shared" si="0"/>
        <v>Proposed Budget</v>
      </c>
    </row>
    <row r="36" spans="2:5">
      <c r="B36" s="364" t="str">
        <f>(inputPrYr!B35)</f>
        <v>Parks and Recreation</v>
      </c>
      <c r="C36" s="222" t="str">
        <f t="shared" si="0"/>
        <v>Actual for 2012</v>
      </c>
      <c r="D36" s="222" t="str">
        <f t="shared" si="0"/>
        <v>Estimate for 2013</v>
      </c>
      <c r="E36" s="222" t="str">
        <f t="shared" si="0"/>
        <v>Year for 2014</v>
      </c>
    </row>
    <row r="37" spans="2:5">
      <c r="B37" s="223" t="s">
        <v>144</v>
      </c>
      <c r="C37" s="50">
        <v>0</v>
      </c>
      <c r="D37" s="193">
        <f>C60</f>
        <v>508</v>
      </c>
      <c r="E37" s="193">
        <f>D60</f>
        <v>575</v>
      </c>
    </row>
    <row r="38" spans="2:5">
      <c r="B38" s="223" t="s">
        <v>146</v>
      </c>
      <c r="C38" s="68"/>
      <c r="D38" s="68"/>
      <c r="E38" s="68"/>
    </row>
    <row r="39" spans="2:5">
      <c r="B39" s="238" t="s">
        <v>982</v>
      </c>
      <c r="C39" s="50">
        <v>3100</v>
      </c>
      <c r="D39" s="50">
        <v>4067</v>
      </c>
      <c r="E39" s="50">
        <v>3339</v>
      </c>
    </row>
    <row r="40" spans="2:5">
      <c r="B40" s="238" t="s">
        <v>268</v>
      </c>
      <c r="C40" s="50">
        <v>0</v>
      </c>
      <c r="D40" s="50"/>
      <c r="E40" s="50"/>
    </row>
    <row r="41" spans="2:5">
      <c r="B41" s="238"/>
      <c r="C41" s="50"/>
      <c r="D41" s="50"/>
      <c r="E41" s="50"/>
    </row>
    <row r="42" spans="2:5">
      <c r="B42" s="238"/>
      <c r="C42" s="50"/>
      <c r="D42" s="50"/>
      <c r="E42" s="50"/>
    </row>
    <row r="43" spans="2:5">
      <c r="B43" s="230" t="s">
        <v>32</v>
      </c>
      <c r="C43" s="50"/>
      <c r="D43" s="50"/>
      <c r="E43" s="50"/>
    </row>
    <row r="44" spans="2:5">
      <c r="B44" s="139" t="s">
        <v>268</v>
      </c>
      <c r="C44" s="50"/>
      <c r="D44" s="50"/>
      <c r="E44" s="50"/>
    </row>
    <row r="45" spans="2:5">
      <c r="B45" s="223" t="s">
        <v>790</v>
      </c>
      <c r="C45" s="366" t="str">
        <f>IF(C46*0.1&lt;C44,"Exceed 10% Rule","")</f>
        <v/>
      </c>
      <c r="D45" s="254" t="str">
        <f>IF(D46*0.1&lt;D44,"Exceed 10% Rule","")</f>
        <v/>
      </c>
      <c r="E45" s="254" t="str">
        <f>IF(E46*0.1&lt;E44,"Exceed 10% Rule","")</f>
        <v/>
      </c>
    </row>
    <row r="46" spans="2:5">
      <c r="B46" s="232" t="s">
        <v>33</v>
      </c>
      <c r="C46" s="258">
        <f>SUM(C39:C44)</f>
        <v>3100</v>
      </c>
      <c r="D46" s="258">
        <f>SUM(D39:D44)</f>
        <v>4067</v>
      </c>
      <c r="E46" s="258">
        <f>SUM(E39:E44)</f>
        <v>3339</v>
      </c>
    </row>
    <row r="47" spans="2:5">
      <c r="B47" s="232" t="s">
        <v>34</v>
      </c>
      <c r="C47" s="258">
        <f>C37+C46</f>
        <v>3100</v>
      </c>
      <c r="D47" s="258">
        <f>D37+D46</f>
        <v>4575</v>
      </c>
      <c r="E47" s="258">
        <f>E37+E46</f>
        <v>3914</v>
      </c>
    </row>
    <row r="48" spans="2:5">
      <c r="B48" s="131" t="s">
        <v>36</v>
      </c>
      <c r="C48" s="193"/>
      <c r="D48" s="193"/>
      <c r="E48" s="193"/>
    </row>
    <row r="49" spans="2:5">
      <c r="B49" s="238" t="s">
        <v>983</v>
      </c>
      <c r="C49" s="50">
        <v>1128</v>
      </c>
      <c r="D49" s="50">
        <v>3900</v>
      </c>
      <c r="E49" s="50">
        <v>1500</v>
      </c>
    </row>
    <row r="50" spans="2:5">
      <c r="B50" s="238" t="s">
        <v>984</v>
      </c>
      <c r="C50" s="50">
        <v>1464</v>
      </c>
      <c r="D50" s="50">
        <v>100</v>
      </c>
      <c r="E50" s="50">
        <v>2414</v>
      </c>
    </row>
    <row r="51" spans="2:5">
      <c r="B51" s="238"/>
      <c r="C51" s="50"/>
      <c r="D51" s="50"/>
      <c r="E51" s="50"/>
    </row>
    <row r="52" spans="2:5">
      <c r="B52" s="238"/>
      <c r="C52" s="50"/>
      <c r="D52" s="50"/>
      <c r="E52" s="50"/>
    </row>
    <row r="53" spans="2:5">
      <c r="B53" s="238"/>
      <c r="C53" s="50"/>
      <c r="D53" s="50"/>
      <c r="E53" s="50"/>
    </row>
    <row r="54" spans="2:5">
      <c r="B54" s="238"/>
      <c r="C54" s="50"/>
      <c r="D54" s="50"/>
      <c r="E54" s="50"/>
    </row>
    <row r="55" spans="2:5">
      <c r="B55" s="238"/>
      <c r="C55" s="50"/>
      <c r="D55" s="50"/>
      <c r="E55" s="50"/>
    </row>
    <row r="56" spans="2:5">
      <c r="B56" s="238"/>
      <c r="C56" s="50"/>
      <c r="D56" s="50"/>
      <c r="E56" s="50"/>
    </row>
    <row r="57" spans="2:5">
      <c r="B57" s="239" t="s">
        <v>268</v>
      </c>
      <c r="C57" s="50"/>
      <c r="D57" s="50"/>
      <c r="E57" s="50"/>
    </row>
    <row r="58" spans="2:5">
      <c r="B58" s="239" t="s">
        <v>791</v>
      </c>
      <c r="C58" s="366" t="str">
        <f>IF(C59*0.1&lt;C57,"Exceed 10% Rule","")</f>
        <v/>
      </c>
      <c r="D58" s="254" t="str">
        <f>IF(D59*0.1&lt;D57,"Exceed 10% Rule","")</f>
        <v/>
      </c>
      <c r="E58" s="254" t="str">
        <f>IF(E59*0.1&lt;E57,"Exceed 10% Rule","")</f>
        <v/>
      </c>
    </row>
    <row r="59" spans="2:5">
      <c r="B59" s="232" t="s">
        <v>37</v>
      </c>
      <c r="C59" s="258">
        <f>SUM(C49:C57)</f>
        <v>2592</v>
      </c>
      <c r="D59" s="258">
        <f>SUM(D49:D57)</f>
        <v>4000</v>
      </c>
      <c r="E59" s="258">
        <f>SUM(E49:E57)</f>
        <v>3914</v>
      </c>
    </row>
    <row r="60" spans="2:5">
      <c r="B60" s="131" t="s">
        <v>145</v>
      </c>
      <c r="C60" s="193">
        <f>C47-C59</f>
        <v>508</v>
      </c>
      <c r="D60" s="193">
        <f>D47-D59</f>
        <v>575</v>
      </c>
      <c r="E60" s="193">
        <f>E47-E59</f>
        <v>0</v>
      </c>
    </row>
    <row r="61" spans="2:5">
      <c r="B61" s="119" t="str">
        <f>CONCATENATE("",$E$1-2,"/",$E$1-1," Budget Authority Amount:")</f>
        <v>2012/2013 Budget Authority Amount:</v>
      </c>
      <c r="C61" s="183">
        <f>inputOth!B75</f>
        <v>5280</v>
      </c>
      <c r="D61" s="183">
        <f>inputPrYr!D35</f>
        <v>5280</v>
      </c>
      <c r="E61" s="408" t="str">
        <f>IF(E60&lt;0,"See Tab E","")</f>
        <v/>
      </c>
    </row>
    <row r="62" spans="2:5">
      <c r="B62" s="119"/>
      <c r="C62" s="243" t="str">
        <f>IF(C59&gt;C61,"See Tab A","")</f>
        <v/>
      </c>
      <c r="D62" s="243" t="str">
        <f>IF(D59&gt;D61,"See Tab C","")</f>
        <v/>
      </c>
      <c r="E62" s="22"/>
    </row>
    <row r="63" spans="2:5">
      <c r="B63" s="119"/>
      <c r="C63" s="243" t="str">
        <f>IF(C60&lt;0,"See Tab B","")</f>
        <v/>
      </c>
      <c r="D63" s="243" t="str">
        <f>IF(D60&lt;0,"See Tab D","")</f>
        <v/>
      </c>
      <c r="E63" s="22"/>
    </row>
    <row r="64" spans="2:5">
      <c r="B64" s="22"/>
      <c r="C64" s="22"/>
      <c r="D64" s="22"/>
      <c r="E64" s="22"/>
    </row>
    <row r="65" spans="2:5">
      <c r="B65" s="119" t="s">
        <v>40</v>
      </c>
      <c r="C65" s="249">
        <v>11</v>
      </c>
      <c r="D65" s="22"/>
      <c r="E65" s="22"/>
    </row>
  </sheetData>
  <sheetProtection sheet="1"/>
  <phoneticPr fontId="0" type="noConversion"/>
  <conditionalFormatting sqref="C44">
    <cfRule type="cellIs" dxfId="56" priority="3" stopIfTrue="1" operator="greaterThan">
      <formula>$C$46*0.1</formula>
    </cfRule>
  </conditionalFormatting>
  <conditionalFormatting sqref="D44">
    <cfRule type="cellIs" dxfId="55" priority="4" stopIfTrue="1" operator="greaterThan">
      <formula>$D$46*0.1</formula>
    </cfRule>
  </conditionalFormatting>
  <conditionalFormatting sqref="E44">
    <cfRule type="cellIs" dxfId="54" priority="5" stopIfTrue="1" operator="greaterThan">
      <formula>$E$46*0.1</formula>
    </cfRule>
  </conditionalFormatting>
  <conditionalFormatting sqref="C57">
    <cfRule type="cellIs" dxfId="53" priority="6" stopIfTrue="1" operator="greaterThan">
      <formula>$C$59*0.1</formula>
    </cfRule>
  </conditionalFormatting>
  <conditionalFormatting sqref="D57">
    <cfRule type="cellIs" dxfId="52" priority="7" stopIfTrue="1" operator="greaterThan">
      <formula>$D$59*0.1</formula>
    </cfRule>
  </conditionalFormatting>
  <conditionalFormatting sqref="E57">
    <cfRule type="cellIs" dxfId="51" priority="8" stopIfTrue="1" operator="greaterThan">
      <formula>$E$59*0.1</formula>
    </cfRule>
  </conditionalFormatting>
  <conditionalFormatting sqref="C13">
    <cfRule type="cellIs" dxfId="50" priority="9" stopIfTrue="1" operator="greaterThan">
      <formula>$C$15*0.1</formula>
    </cfRule>
  </conditionalFormatting>
  <conditionalFormatting sqref="D13">
    <cfRule type="cellIs" dxfId="49" priority="10" stopIfTrue="1" operator="greaterThan">
      <formula>$D$15*0.1</formula>
    </cfRule>
  </conditionalFormatting>
  <conditionalFormatting sqref="E13">
    <cfRule type="cellIs" dxfId="48" priority="11" stopIfTrue="1" operator="greaterThan">
      <formula>$E$15*0.1</formula>
    </cfRule>
  </conditionalFormatting>
  <conditionalFormatting sqref="C26">
    <cfRule type="cellIs" dxfId="47" priority="12" stopIfTrue="1" operator="greaterThan">
      <formula>$C$28*0.1</formula>
    </cfRule>
  </conditionalFormatting>
  <conditionalFormatting sqref="D26">
    <cfRule type="cellIs" dxfId="46" priority="13" stopIfTrue="1" operator="greaterThan">
      <formula>$D$28*0.1</formula>
    </cfRule>
  </conditionalFormatting>
  <conditionalFormatting sqref="E26">
    <cfRule type="cellIs" dxfId="45" priority="14" stopIfTrue="1" operator="greaterThan">
      <formula>$E$28*0.1</formula>
    </cfRule>
  </conditionalFormatting>
  <conditionalFormatting sqref="E60 C60 E29 C29">
    <cfRule type="cellIs" dxfId="44" priority="15" stopIfTrue="1" operator="lessThan">
      <formula>0</formula>
    </cfRule>
  </conditionalFormatting>
  <conditionalFormatting sqref="D59">
    <cfRule type="cellIs" dxfId="43" priority="16" stopIfTrue="1" operator="greaterThan">
      <formula>$D$61</formula>
    </cfRule>
  </conditionalFormatting>
  <conditionalFormatting sqref="C59">
    <cfRule type="cellIs" dxfId="42" priority="17" stopIfTrue="1" operator="greaterThan">
      <formula>$C$61</formula>
    </cfRule>
  </conditionalFormatting>
  <conditionalFormatting sqref="D28">
    <cfRule type="cellIs" dxfId="41" priority="18" stopIfTrue="1" operator="greaterThan">
      <formula>$D$30</formula>
    </cfRule>
  </conditionalFormatting>
  <conditionalFormatting sqref="C28">
    <cfRule type="cellIs" dxfId="40" priority="19" stopIfTrue="1" operator="greaterThan">
      <formula>$C$30</formula>
    </cfRule>
  </conditionalFormatting>
  <conditionalFormatting sqref="D60">
    <cfRule type="cellIs" dxfId="39" priority="2" stopIfTrue="1" operator="lessThan">
      <formula>0</formula>
    </cfRule>
  </conditionalFormatting>
  <conditionalFormatting sqref="D29">
    <cfRule type="cellIs" dxfId="38"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5"/>
  <sheetViews>
    <sheetView topLeftCell="A30" workbookViewId="0">
      <selection activeCell="E61" sqref="E61"/>
    </sheetView>
  </sheetViews>
  <sheetFormatPr defaultRowHeight="15.75"/>
  <cols>
    <col min="1" max="1" width="2.44140625" style="23" customWidth="1"/>
    <col min="2" max="2" width="31.109375" style="23" customWidth="1"/>
    <col min="3" max="4" width="15.77734375" style="23" customWidth="1"/>
    <col min="5" max="5" width="16.21875" style="23" customWidth="1"/>
    <col min="6" max="16384" width="8.88671875" style="23"/>
  </cols>
  <sheetData>
    <row r="1" spans="2:5">
      <c r="B1" s="151" t="str">
        <f>(inputPrYr!D2)</f>
        <v>City of Grandview Plaza, Kansas</v>
      </c>
      <c r="C1" s="22"/>
      <c r="D1" s="22"/>
      <c r="E1" s="212">
        <f>inputPrYr!C5</f>
        <v>2014</v>
      </c>
    </row>
    <row r="2" spans="2:5">
      <c r="B2" s="22"/>
      <c r="C2" s="22"/>
      <c r="D2" s="22"/>
      <c r="E2" s="147"/>
    </row>
    <row r="3" spans="2:5">
      <c r="B3" s="41" t="s">
        <v>90</v>
      </c>
      <c r="C3" s="257"/>
      <c r="D3" s="257"/>
      <c r="E3" s="257"/>
    </row>
    <row r="4" spans="2:5">
      <c r="B4" s="29" t="s">
        <v>24</v>
      </c>
      <c r="C4" s="632" t="s">
        <v>807</v>
      </c>
      <c r="D4" s="633" t="s">
        <v>808</v>
      </c>
      <c r="E4" s="125" t="s">
        <v>809</v>
      </c>
    </row>
    <row r="5" spans="2:5">
      <c r="B5" s="365" t="str">
        <f>(inputPrYr!B36)</f>
        <v>Water Utility</v>
      </c>
      <c r="C5" s="348" t="str">
        <f>CONCATENATE("Actual for ",E1-2,"")</f>
        <v>Actual for 2012</v>
      </c>
      <c r="D5" s="348" t="str">
        <f>CONCATENATE("Estimate for ",E1-1,"")</f>
        <v>Estimate for 2013</v>
      </c>
      <c r="E5" s="222" t="str">
        <f>CONCATENATE("Year for ",E1,"")</f>
        <v>Year for 2014</v>
      </c>
    </row>
    <row r="6" spans="2:5">
      <c r="B6" s="223" t="s">
        <v>144</v>
      </c>
      <c r="C6" s="50">
        <v>95062</v>
      </c>
      <c r="D6" s="193">
        <f>C35</f>
        <v>100632</v>
      </c>
      <c r="E6" s="193">
        <f>D35</f>
        <v>104332</v>
      </c>
    </row>
    <row r="7" spans="2:5">
      <c r="B7" s="226" t="s">
        <v>146</v>
      </c>
      <c r="C7" s="68"/>
      <c r="D7" s="68"/>
      <c r="E7" s="68"/>
    </row>
    <row r="8" spans="2:5">
      <c r="B8" s="238" t="s">
        <v>1021</v>
      </c>
      <c r="C8" s="50">
        <v>343206</v>
      </c>
      <c r="D8" s="50">
        <v>350000</v>
      </c>
      <c r="E8" s="50">
        <v>350000</v>
      </c>
    </row>
    <row r="9" spans="2:5">
      <c r="B9" s="238" t="s">
        <v>1020</v>
      </c>
      <c r="C9" s="50">
        <v>2101</v>
      </c>
      <c r="D9" s="50"/>
      <c r="E9" s="50"/>
    </row>
    <row r="10" spans="2:5">
      <c r="B10" s="238"/>
      <c r="C10" s="50"/>
      <c r="D10" s="50"/>
      <c r="E10" s="50"/>
    </row>
    <row r="11" spans="2:5">
      <c r="B11" s="238"/>
      <c r="C11" s="50"/>
      <c r="D11" s="50"/>
      <c r="E11" s="50"/>
    </row>
    <row r="12" spans="2:5">
      <c r="B12" s="230" t="s">
        <v>32</v>
      </c>
      <c r="C12" s="50"/>
      <c r="D12" s="50"/>
      <c r="E12" s="50"/>
    </row>
    <row r="13" spans="2:5">
      <c r="B13" s="139" t="s">
        <v>268</v>
      </c>
      <c r="C13" s="50"/>
      <c r="D13" s="225"/>
      <c r="E13" s="225"/>
    </row>
    <row r="14" spans="2:5">
      <c r="B14" s="223" t="s">
        <v>790</v>
      </c>
      <c r="C14" s="366" t="str">
        <f>IF(C15*0.1&lt;C13,"Exceed 10% Rule","")</f>
        <v/>
      </c>
      <c r="D14" s="254" t="str">
        <f>IF(D15*0.1&lt;D13,"Exceed 10% Rule","")</f>
        <v/>
      </c>
      <c r="E14" s="254" t="str">
        <f>IF(E15*0.1&lt;E13,"Exceed 10% Rule","")</f>
        <v/>
      </c>
    </row>
    <row r="15" spans="2:5">
      <c r="B15" s="232" t="s">
        <v>33</v>
      </c>
      <c r="C15" s="258">
        <f>SUM(C8:C13)</f>
        <v>345307</v>
      </c>
      <c r="D15" s="258">
        <f>SUM(D8:D13)</f>
        <v>350000</v>
      </c>
      <c r="E15" s="258">
        <f>SUM(E8:E13)</f>
        <v>350000</v>
      </c>
    </row>
    <row r="16" spans="2:5">
      <c r="B16" s="232" t="s">
        <v>34</v>
      </c>
      <c r="C16" s="258">
        <f>C6+C15</f>
        <v>440369</v>
      </c>
      <c r="D16" s="258">
        <f>D6+D15</f>
        <v>450632</v>
      </c>
      <c r="E16" s="258">
        <f>E6+E15</f>
        <v>454332</v>
      </c>
    </row>
    <row r="17" spans="2:5">
      <c r="B17" s="131" t="s">
        <v>36</v>
      </c>
      <c r="C17" s="193"/>
      <c r="D17" s="193"/>
      <c r="E17" s="193"/>
    </row>
    <row r="18" spans="2:5">
      <c r="B18" s="238" t="s">
        <v>41</v>
      </c>
      <c r="C18" s="50">
        <v>67911</v>
      </c>
      <c r="D18" s="50">
        <v>72100</v>
      </c>
      <c r="E18" s="50">
        <v>72100</v>
      </c>
    </row>
    <row r="19" spans="2:5">
      <c r="B19" s="238" t="s">
        <v>1029</v>
      </c>
      <c r="C19" s="50">
        <v>15197</v>
      </c>
      <c r="D19" s="50">
        <v>12000</v>
      </c>
      <c r="E19" s="50">
        <v>15500</v>
      </c>
    </row>
    <row r="20" spans="2:5">
      <c r="B20" s="238" t="s">
        <v>1018</v>
      </c>
      <c r="C20" s="50">
        <v>3755</v>
      </c>
      <c r="D20" s="50">
        <v>5000</v>
      </c>
      <c r="E20" s="50">
        <v>4000</v>
      </c>
    </row>
    <row r="21" spans="2:5">
      <c r="B21" s="238" t="s">
        <v>1022</v>
      </c>
      <c r="C21" s="50">
        <v>130244</v>
      </c>
      <c r="D21" s="50">
        <v>125000</v>
      </c>
      <c r="E21" s="50">
        <v>135000</v>
      </c>
    </row>
    <row r="22" spans="2:5">
      <c r="B22" s="238" t="s">
        <v>978</v>
      </c>
      <c r="C22" s="50">
        <v>16631</v>
      </c>
      <c r="D22" s="50">
        <v>4000</v>
      </c>
      <c r="E22" s="50">
        <v>16750</v>
      </c>
    </row>
    <row r="23" spans="2:5">
      <c r="B23" s="238" t="s">
        <v>963</v>
      </c>
      <c r="C23" s="50">
        <v>6135</v>
      </c>
      <c r="D23" s="50">
        <v>9200</v>
      </c>
      <c r="E23" s="50">
        <v>6500</v>
      </c>
    </row>
    <row r="24" spans="2:5">
      <c r="B24" s="238" t="s">
        <v>1023</v>
      </c>
      <c r="C24" s="50">
        <v>6802</v>
      </c>
      <c r="D24" s="50">
        <v>6000</v>
      </c>
      <c r="E24" s="50">
        <v>7000</v>
      </c>
    </row>
    <row r="25" spans="2:5">
      <c r="B25" s="238" t="s">
        <v>966</v>
      </c>
      <c r="C25" s="50">
        <v>3403</v>
      </c>
      <c r="D25" s="50">
        <v>25000</v>
      </c>
      <c r="E25" s="50">
        <v>3500</v>
      </c>
    </row>
    <row r="26" spans="2:5">
      <c r="B26" s="238" t="s">
        <v>1024</v>
      </c>
      <c r="C26" s="50">
        <v>5061</v>
      </c>
      <c r="D26" s="50">
        <v>10000</v>
      </c>
      <c r="E26" s="50">
        <v>5100</v>
      </c>
    </row>
    <row r="27" spans="2:5">
      <c r="B27" s="238" t="s">
        <v>1025</v>
      </c>
      <c r="C27" s="50">
        <v>10490</v>
      </c>
      <c r="D27" s="50">
        <v>11000</v>
      </c>
      <c r="E27" s="50">
        <v>10500</v>
      </c>
    </row>
    <row r="28" spans="2:5">
      <c r="B28" s="238" t="s">
        <v>1026</v>
      </c>
      <c r="C28" s="50">
        <v>27602</v>
      </c>
      <c r="D28" s="50">
        <v>27000</v>
      </c>
      <c r="E28" s="50">
        <v>28000</v>
      </c>
    </row>
    <row r="29" spans="2:5">
      <c r="B29" s="238" t="s">
        <v>1027</v>
      </c>
      <c r="C29" s="50">
        <v>45000</v>
      </c>
      <c r="D29" s="50">
        <v>40000</v>
      </c>
      <c r="E29" s="50">
        <v>50000</v>
      </c>
    </row>
    <row r="30" spans="2:5">
      <c r="B30" s="238" t="s">
        <v>980</v>
      </c>
      <c r="C30" s="50">
        <v>423</v>
      </c>
      <c r="D30" s="50"/>
      <c r="E30" s="50">
        <v>500</v>
      </c>
    </row>
    <row r="31" spans="2:5">
      <c r="B31" s="238" t="s">
        <v>1028</v>
      </c>
      <c r="C31" s="50">
        <v>1083</v>
      </c>
      <c r="D31" s="50"/>
      <c r="E31" s="50">
        <v>1000</v>
      </c>
    </row>
    <row r="32" spans="2:5">
      <c r="B32" s="239" t="s">
        <v>268</v>
      </c>
      <c r="C32" s="50"/>
      <c r="D32" s="225"/>
      <c r="E32" s="225"/>
    </row>
    <row r="33" spans="2:5">
      <c r="B33" s="239" t="s">
        <v>791</v>
      </c>
      <c r="C33" s="366" t="str">
        <f>IF(C34*0.1&lt;C32,"Exceed 10% Rule","")</f>
        <v/>
      </c>
      <c r="D33" s="254" t="str">
        <f>IF(D34*0.1&lt;D32,"Exceed 10% Rule","")</f>
        <v/>
      </c>
      <c r="E33" s="254" t="str">
        <f>IF(E34*0.1&lt;E32,"Exceed 10% Rule","")</f>
        <v/>
      </c>
    </row>
    <row r="34" spans="2:5">
      <c r="B34" s="232" t="s">
        <v>37</v>
      </c>
      <c r="C34" s="258">
        <f>SUM(C18:C32)</f>
        <v>339737</v>
      </c>
      <c r="D34" s="258">
        <f>SUM(D18:D32)</f>
        <v>346300</v>
      </c>
      <c r="E34" s="258">
        <f>SUM(E18:E32)</f>
        <v>355450</v>
      </c>
    </row>
    <row r="35" spans="2:5">
      <c r="B35" s="131" t="s">
        <v>145</v>
      </c>
      <c r="C35" s="193">
        <f>C16-C34</f>
        <v>100632</v>
      </c>
      <c r="D35" s="193">
        <f>D16-D34</f>
        <v>104332</v>
      </c>
      <c r="E35" s="193">
        <f>E16-E34</f>
        <v>98882</v>
      </c>
    </row>
    <row r="36" spans="2:5">
      <c r="B36" s="119" t="str">
        <f>CONCATENATE("",$E$1-2,"/",$E$1-1," Budget Authority Amount:")</f>
        <v>2012/2013 Budget Authority Amount:</v>
      </c>
      <c r="C36" s="183">
        <f>inputOth!B76</f>
        <v>329500</v>
      </c>
      <c r="D36" s="183">
        <f>inputPrYr!D36</f>
        <v>329500</v>
      </c>
      <c r="E36" s="408" t="str">
        <f>IF(E35&lt;0,"See Tab E","")</f>
        <v/>
      </c>
    </row>
    <row r="37" spans="2:5">
      <c r="B37" s="119"/>
      <c r="C37" s="243" t="str">
        <f>IF(C34&gt;C36,"See Tab A","")</f>
        <v>See Tab A</v>
      </c>
      <c r="D37" s="243" t="str">
        <f>IF(D34&gt;D36,"See Tab C","")</f>
        <v>See Tab C</v>
      </c>
      <c r="E37" s="51"/>
    </row>
    <row r="38" spans="2:5">
      <c r="B38" s="119"/>
      <c r="C38" s="243" t="str">
        <f>IF(C35&lt;0,"See Tab B","")</f>
        <v/>
      </c>
      <c r="D38" s="243" t="str">
        <f>IF(D35&lt;0,"See Tab D","")</f>
        <v/>
      </c>
      <c r="E38" s="51"/>
    </row>
    <row r="39" spans="2:5">
      <c r="B39" s="22"/>
      <c r="C39" s="51"/>
      <c r="D39" s="51"/>
      <c r="E39" s="51"/>
    </row>
    <row r="40" spans="2:5">
      <c r="B40" s="29" t="s">
        <v>24</v>
      </c>
      <c r="C40" s="262"/>
      <c r="D40" s="262"/>
      <c r="E40" s="262"/>
    </row>
    <row r="41" spans="2:5">
      <c r="B41" s="22"/>
      <c r="C41" s="246" t="str">
        <f t="shared" ref="C41:E42" si="0">C4</f>
        <v xml:space="preserve">Prior Year </v>
      </c>
      <c r="D41" s="125" t="str">
        <f t="shared" si="0"/>
        <v>Current Year</v>
      </c>
      <c r="E41" s="125" t="str">
        <f t="shared" si="0"/>
        <v>Proposed Budget</v>
      </c>
    </row>
    <row r="42" spans="2:5">
      <c r="B42" s="364" t="str">
        <f>(inputPrYr!B37)</f>
        <v>Sewer Utility</v>
      </c>
      <c r="C42" s="222" t="str">
        <f t="shared" si="0"/>
        <v>Actual for 2012</v>
      </c>
      <c r="D42" s="222" t="str">
        <f t="shared" si="0"/>
        <v>Estimate for 2013</v>
      </c>
      <c r="E42" s="222" t="str">
        <f t="shared" si="0"/>
        <v>Year for 2014</v>
      </c>
    </row>
    <row r="43" spans="2:5">
      <c r="B43" s="223" t="s">
        <v>144</v>
      </c>
      <c r="C43" s="50">
        <v>83508</v>
      </c>
      <c r="D43" s="193">
        <f>C70</f>
        <v>95007</v>
      </c>
      <c r="E43" s="193">
        <f>D70</f>
        <v>95047</v>
      </c>
    </row>
    <row r="44" spans="2:5">
      <c r="B44" s="223" t="s">
        <v>146</v>
      </c>
      <c r="C44" s="68"/>
      <c r="D44" s="68"/>
      <c r="E44" s="68"/>
    </row>
    <row r="45" spans="2:5">
      <c r="B45" s="238" t="s">
        <v>1030</v>
      </c>
      <c r="C45" s="50">
        <v>61209</v>
      </c>
      <c r="D45" s="50">
        <v>51000</v>
      </c>
      <c r="E45" s="50">
        <v>61500</v>
      </c>
    </row>
    <row r="46" spans="2:5">
      <c r="B46" s="238" t="s">
        <v>1031</v>
      </c>
      <c r="C46" s="50">
        <v>129229</v>
      </c>
      <c r="D46" s="50">
        <v>143000</v>
      </c>
      <c r="E46" s="50">
        <v>135000</v>
      </c>
    </row>
    <row r="47" spans="2:5">
      <c r="B47" s="238" t="s">
        <v>1032</v>
      </c>
      <c r="C47" s="50">
        <v>4</v>
      </c>
      <c r="D47" s="50">
        <v>1000</v>
      </c>
      <c r="E47" s="50"/>
    </row>
    <row r="48" spans="2:5">
      <c r="B48" s="238"/>
      <c r="C48" s="50"/>
      <c r="D48" s="50"/>
      <c r="E48" s="50"/>
    </row>
    <row r="49" spans="2:5">
      <c r="B49" s="230" t="s">
        <v>32</v>
      </c>
      <c r="C49" s="50"/>
      <c r="D49" s="50"/>
      <c r="E49" s="50"/>
    </row>
    <row r="50" spans="2:5">
      <c r="B50" s="139" t="s">
        <v>268</v>
      </c>
      <c r="C50" s="50"/>
      <c r="D50" s="50"/>
      <c r="E50" s="50"/>
    </row>
    <row r="51" spans="2:5">
      <c r="B51" s="223" t="s">
        <v>790</v>
      </c>
      <c r="C51" s="366" t="str">
        <f>IF(C52*0.1&lt;C50,"Exceed 10% Rule","")</f>
        <v/>
      </c>
      <c r="D51" s="254" t="str">
        <f>IF(D52*0.1&lt;D50,"Exceed 10% Rule","")</f>
        <v/>
      </c>
      <c r="E51" s="254" t="str">
        <f>IF(E52*0.1&lt;E50,"Exceed 10% Rule","")</f>
        <v/>
      </c>
    </row>
    <row r="52" spans="2:5">
      <c r="B52" s="232" t="s">
        <v>33</v>
      </c>
      <c r="C52" s="258">
        <f>SUM(C45:C50)</f>
        <v>190442</v>
      </c>
      <c r="D52" s="258">
        <f>SUM(D45:D50)</f>
        <v>195000</v>
      </c>
      <c r="E52" s="258">
        <f>SUM(E45:E50)</f>
        <v>196500</v>
      </c>
    </row>
    <row r="53" spans="2:5">
      <c r="B53" s="232" t="s">
        <v>34</v>
      </c>
      <c r="C53" s="258">
        <f>C43+C52</f>
        <v>273950</v>
      </c>
      <c r="D53" s="258">
        <f>D43+D52</f>
        <v>290007</v>
      </c>
      <c r="E53" s="258">
        <f>E43+E52</f>
        <v>291547</v>
      </c>
    </row>
    <row r="54" spans="2:5">
      <c r="B54" s="131" t="s">
        <v>36</v>
      </c>
      <c r="C54" s="193"/>
      <c r="D54" s="193"/>
      <c r="E54" s="193"/>
    </row>
    <row r="55" spans="2:5">
      <c r="B55" s="238" t="s">
        <v>41</v>
      </c>
      <c r="C55" s="50">
        <v>37541</v>
      </c>
      <c r="D55" s="50">
        <v>43260</v>
      </c>
      <c r="E55" s="50">
        <v>43260</v>
      </c>
    </row>
    <row r="56" spans="2:5">
      <c r="B56" s="238" t="s">
        <v>978</v>
      </c>
      <c r="C56" s="50">
        <v>814</v>
      </c>
      <c r="D56" s="50">
        <v>3000</v>
      </c>
      <c r="E56" s="50">
        <v>1000</v>
      </c>
    </row>
    <row r="57" spans="2:5">
      <c r="B57" s="238" t="s">
        <v>963</v>
      </c>
      <c r="C57" s="50">
        <v>6111</v>
      </c>
      <c r="D57" s="50">
        <v>6000</v>
      </c>
      <c r="E57" s="50">
        <v>6200</v>
      </c>
    </row>
    <row r="58" spans="2:5">
      <c r="B58" s="238" t="s">
        <v>176</v>
      </c>
      <c r="C58" s="50">
        <v>8444</v>
      </c>
      <c r="D58" s="50">
        <v>4000</v>
      </c>
      <c r="E58" s="50">
        <v>8500</v>
      </c>
    </row>
    <row r="59" spans="2:5">
      <c r="B59" s="238" t="s">
        <v>1023</v>
      </c>
      <c r="C59" s="50">
        <v>5151</v>
      </c>
      <c r="D59" s="50">
        <v>4500</v>
      </c>
      <c r="E59" s="50">
        <v>5000</v>
      </c>
    </row>
    <row r="60" spans="2:5">
      <c r="B60" s="238" t="s">
        <v>966</v>
      </c>
      <c r="C60" s="50">
        <v>20042</v>
      </c>
      <c r="D60" s="50">
        <v>20000</v>
      </c>
      <c r="E60" s="50">
        <v>90000</v>
      </c>
    </row>
    <row r="61" spans="2:5">
      <c r="B61" s="238" t="s">
        <v>1033</v>
      </c>
      <c r="C61" s="50">
        <v>1261</v>
      </c>
      <c r="D61" s="50">
        <v>7000</v>
      </c>
      <c r="E61" s="50">
        <v>1500</v>
      </c>
    </row>
    <row r="62" spans="2:5">
      <c r="B62" s="238" t="s">
        <v>1034</v>
      </c>
      <c r="C62" s="50">
        <v>6302</v>
      </c>
      <c r="D62" s="50">
        <v>8000</v>
      </c>
      <c r="E62" s="50">
        <v>6500</v>
      </c>
    </row>
    <row r="63" spans="2:5">
      <c r="B63" s="238" t="s">
        <v>1025</v>
      </c>
      <c r="C63" s="50">
        <v>9822</v>
      </c>
      <c r="D63" s="50">
        <v>10000</v>
      </c>
      <c r="E63" s="50">
        <v>10000</v>
      </c>
    </row>
    <row r="64" spans="2:5">
      <c r="B64" s="238" t="s">
        <v>980</v>
      </c>
      <c r="C64" s="50">
        <v>455</v>
      </c>
      <c r="D64" s="50">
        <v>200</v>
      </c>
      <c r="E64" s="50">
        <v>500</v>
      </c>
    </row>
    <row r="65" spans="2:5">
      <c r="B65" s="238" t="s">
        <v>1035</v>
      </c>
      <c r="C65" s="50">
        <v>48000</v>
      </c>
      <c r="D65" s="50">
        <v>49000</v>
      </c>
      <c r="E65" s="50">
        <v>49000</v>
      </c>
    </row>
    <row r="66" spans="2:5">
      <c r="B66" s="238" t="s">
        <v>1036</v>
      </c>
      <c r="C66" s="50">
        <v>35000</v>
      </c>
      <c r="D66" s="50">
        <v>40000</v>
      </c>
      <c r="E66" s="50">
        <v>50000</v>
      </c>
    </row>
    <row r="67" spans="2:5">
      <c r="B67" s="239" t="s">
        <v>268</v>
      </c>
      <c r="C67" s="50"/>
      <c r="D67" s="225"/>
      <c r="E67" s="225"/>
    </row>
    <row r="68" spans="2:5">
      <c r="B68" s="239" t="s">
        <v>791</v>
      </c>
      <c r="C68" s="366" t="str">
        <f>IF(C69*0.1&lt;C67,"Exceed 10% Rule","")</f>
        <v/>
      </c>
      <c r="D68" s="254" t="str">
        <f>IF(D69*0.1&lt;D67,"Exceed 10% Rule","")</f>
        <v/>
      </c>
      <c r="E68" s="254" t="str">
        <f>IF(E69*0.1&lt;E67,"Exceed 10% Rule","")</f>
        <v/>
      </c>
    </row>
    <row r="69" spans="2:5">
      <c r="B69" s="232" t="s">
        <v>37</v>
      </c>
      <c r="C69" s="258">
        <f>SUM(C55:C67)</f>
        <v>178943</v>
      </c>
      <c r="D69" s="258">
        <f>SUM(D55:D67)</f>
        <v>194960</v>
      </c>
      <c r="E69" s="258">
        <f>SUM(E55:E67)</f>
        <v>271460</v>
      </c>
    </row>
    <row r="70" spans="2:5">
      <c r="B70" s="131" t="s">
        <v>145</v>
      </c>
      <c r="C70" s="193">
        <f>C53-C69</f>
        <v>95007</v>
      </c>
      <c r="D70" s="193">
        <f>D53-D69</f>
        <v>95047</v>
      </c>
      <c r="E70" s="193">
        <f>E53-E69</f>
        <v>20087</v>
      </c>
    </row>
    <row r="71" spans="2:5">
      <c r="B71" s="119" t="str">
        <f>CONCATENATE("",$E$1-2,"/",$E$1-1," Budget Authority Amount:")</f>
        <v>2012/2013 Budget Authority Amount:</v>
      </c>
      <c r="C71" s="183">
        <f>inputOth!B77</f>
        <v>177200</v>
      </c>
      <c r="D71" s="183">
        <f>inputPrYr!D37</f>
        <v>177200</v>
      </c>
      <c r="E71" s="408" t="str">
        <f>IF(E70&lt;0,"See Tab E","")</f>
        <v/>
      </c>
    </row>
    <row r="72" spans="2:5">
      <c r="B72" s="119"/>
      <c r="C72" s="243" t="str">
        <f>IF(C69&gt;C71,"See Tab A","")</f>
        <v>See Tab A</v>
      </c>
      <c r="D72" s="243" t="str">
        <f>IF(D69&gt;D71,"See Tab C","")</f>
        <v>See Tab C</v>
      </c>
      <c r="E72" s="22"/>
    </row>
    <row r="73" spans="2:5">
      <c r="B73" s="119"/>
      <c r="C73" s="243" t="str">
        <f>IF(C70&lt;0,"See Tab B","")</f>
        <v/>
      </c>
      <c r="D73" s="243" t="str">
        <f>IF(D70&lt;0,"See Tab D","")</f>
        <v/>
      </c>
      <c r="E73" s="22"/>
    </row>
    <row r="74" spans="2:5">
      <c r="B74" s="22"/>
      <c r="C74" s="22"/>
      <c r="D74" s="22"/>
      <c r="E74" s="22"/>
    </row>
    <row r="75" spans="2:5">
      <c r="B75" s="119" t="s">
        <v>40</v>
      </c>
      <c r="C75" s="249">
        <v>12</v>
      </c>
      <c r="D75" s="22"/>
      <c r="E75" s="22"/>
    </row>
  </sheetData>
  <phoneticPr fontId="0" type="noConversion"/>
  <conditionalFormatting sqref="C13">
    <cfRule type="cellIs" dxfId="37" priority="3" stopIfTrue="1" operator="greaterThan">
      <formula>$C$15*0.1</formula>
    </cfRule>
  </conditionalFormatting>
  <conditionalFormatting sqref="D13">
    <cfRule type="cellIs" dxfId="36" priority="4" stopIfTrue="1" operator="greaterThan">
      <formula>$D$15*0.1</formula>
    </cfRule>
  </conditionalFormatting>
  <conditionalFormatting sqref="E13">
    <cfRule type="cellIs" dxfId="35" priority="5" stopIfTrue="1" operator="greaterThan">
      <formula>$E$15*0.1</formula>
    </cfRule>
  </conditionalFormatting>
  <conditionalFormatting sqref="C32">
    <cfRule type="cellIs" dxfId="34" priority="6" stopIfTrue="1" operator="greaterThan">
      <formula>$C$34*0.1</formula>
    </cfRule>
  </conditionalFormatting>
  <conditionalFormatting sqref="D32">
    <cfRule type="cellIs" dxfId="33" priority="7" stopIfTrue="1" operator="greaterThan">
      <formula>$D$34*0.1</formula>
    </cfRule>
  </conditionalFormatting>
  <conditionalFormatting sqref="E32">
    <cfRule type="cellIs" dxfId="32" priority="8" stopIfTrue="1" operator="greaterThan">
      <formula>$E$34*0.1</formula>
    </cfRule>
  </conditionalFormatting>
  <conditionalFormatting sqref="C50">
    <cfRule type="cellIs" dxfId="31" priority="9" stopIfTrue="1" operator="greaterThan">
      <formula>$C$52*0.1</formula>
    </cfRule>
  </conditionalFormatting>
  <conditionalFormatting sqref="D50">
    <cfRule type="cellIs" dxfId="30" priority="10" stopIfTrue="1" operator="greaterThan">
      <formula>$D$52*0.1</formula>
    </cfRule>
  </conditionalFormatting>
  <conditionalFormatting sqref="E50">
    <cfRule type="cellIs" dxfId="29" priority="11" stopIfTrue="1" operator="greaterThan">
      <formula>$E$52*0.1</formula>
    </cfRule>
  </conditionalFormatting>
  <conditionalFormatting sqref="C67">
    <cfRule type="cellIs" dxfId="28" priority="12" stopIfTrue="1" operator="greaterThan">
      <formula>$C$69*0.1</formula>
    </cfRule>
  </conditionalFormatting>
  <conditionalFormatting sqref="D67">
    <cfRule type="cellIs" dxfId="27" priority="13" stopIfTrue="1" operator="greaterThan">
      <formula>$D$69*0.1</formula>
    </cfRule>
  </conditionalFormatting>
  <conditionalFormatting sqref="E67">
    <cfRule type="cellIs" dxfId="26" priority="14" stopIfTrue="1" operator="greaterThan">
      <formula>$E$69*0.1</formula>
    </cfRule>
  </conditionalFormatting>
  <conditionalFormatting sqref="E70 C70 E35 C35">
    <cfRule type="cellIs" dxfId="25" priority="15" stopIfTrue="1" operator="lessThan">
      <formula>0</formula>
    </cfRule>
  </conditionalFormatting>
  <conditionalFormatting sqref="D69">
    <cfRule type="cellIs" dxfId="24" priority="16" stopIfTrue="1" operator="greaterThan">
      <formula>$D$71</formula>
    </cfRule>
  </conditionalFormatting>
  <conditionalFormatting sqref="C69">
    <cfRule type="cellIs" dxfId="23" priority="17" stopIfTrue="1" operator="greaterThan">
      <formula>$C$71</formula>
    </cfRule>
  </conditionalFormatting>
  <conditionalFormatting sqref="D34">
    <cfRule type="cellIs" dxfId="22" priority="18" stopIfTrue="1" operator="greaterThan">
      <formula>$D$36</formula>
    </cfRule>
  </conditionalFormatting>
  <conditionalFormatting sqref="C34">
    <cfRule type="cellIs" dxfId="21" priority="19" stopIfTrue="1" operator="greaterThan">
      <formula>$C$36</formula>
    </cfRule>
  </conditionalFormatting>
  <conditionalFormatting sqref="D70">
    <cfRule type="cellIs" dxfId="20" priority="2" stopIfTrue="1" operator="lessThan">
      <formula>0</formula>
    </cfRule>
  </conditionalFormatting>
  <conditionalFormatting sqref="D35">
    <cfRule type="cellIs" dxfId="19" priority="1" stopIfTrue="1" operator="lessThan">
      <formula>0</formula>
    </cfRule>
  </conditionalFormatting>
  <pageMargins left="0.5" right="0.5" top="1" bottom="0.5" header="0.5" footer="0.5"/>
  <pageSetup scale="58"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topLeftCell="A10" workbookViewId="0">
      <selection activeCell="E21" sqref="E21"/>
    </sheetView>
  </sheetViews>
  <sheetFormatPr defaultRowHeight="15.75"/>
  <cols>
    <col min="1" max="1" width="2.44140625" style="23" customWidth="1"/>
    <col min="2" max="2" width="31.109375" style="23" customWidth="1"/>
    <col min="3" max="4" width="15.77734375" style="23" customWidth="1"/>
    <col min="5" max="5" width="16.33203125" style="23" customWidth="1"/>
    <col min="6" max="16384" width="8.88671875" style="23"/>
  </cols>
  <sheetData>
    <row r="1" spans="2:5">
      <c r="B1" s="151" t="str">
        <f>(inputPrYr!D2)</f>
        <v>City of Grandview Plaza, Kansas</v>
      </c>
      <c r="C1" s="22"/>
      <c r="D1" s="22"/>
      <c r="E1" s="212">
        <f>inputPrYr!C5</f>
        <v>2014</v>
      </c>
    </row>
    <row r="2" spans="2:5">
      <c r="B2" s="22"/>
      <c r="C2" s="22"/>
      <c r="D2" s="22"/>
      <c r="E2" s="147"/>
    </row>
    <row r="3" spans="2:5">
      <c r="B3" s="41" t="s">
        <v>90</v>
      </c>
      <c r="C3" s="257"/>
      <c r="D3" s="257"/>
      <c r="E3" s="257"/>
    </row>
    <row r="4" spans="2:5">
      <c r="B4" s="29" t="s">
        <v>24</v>
      </c>
      <c r="C4" s="632" t="s">
        <v>807</v>
      </c>
      <c r="D4" s="633" t="s">
        <v>808</v>
      </c>
      <c r="E4" s="125" t="s">
        <v>809</v>
      </c>
    </row>
    <row r="5" spans="2:5">
      <c r="B5" s="365" t="str">
        <f>(inputPrYr!B38)</f>
        <v>Refuse Collection</v>
      </c>
      <c r="C5" s="348" t="str">
        <f>CONCATENATE("Actual for ",E1-2,"")</f>
        <v>Actual for 2012</v>
      </c>
      <c r="D5" s="348" t="str">
        <f>CONCATENATE("Estimate for ",E1-1,"")</f>
        <v>Estimate for 2013</v>
      </c>
      <c r="E5" s="222" t="str">
        <f>CONCATENATE("Year for ",E1,"")</f>
        <v>Year for 2014</v>
      </c>
    </row>
    <row r="6" spans="2:5">
      <c r="B6" s="223" t="s">
        <v>144</v>
      </c>
      <c r="C6" s="50">
        <v>2088</v>
      </c>
      <c r="D6" s="193">
        <f>C29</f>
        <v>11668</v>
      </c>
      <c r="E6" s="193">
        <f>D29</f>
        <v>11668</v>
      </c>
    </row>
    <row r="7" spans="2:5">
      <c r="B7" s="226" t="s">
        <v>146</v>
      </c>
      <c r="C7" s="68"/>
      <c r="D7" s="68"/>
      <c r="E7" s="68"/>
    </row>
    <row r="8" spans="2:5">
      <c r="B8" s="238" t="s">
        <v>1037</v>
      </c>
      <c r="C8" s="50">
        <v>86979</v>
      </c>
      <c r="D8" s="50">
        <v>90000</v>
      </c>
      <c r="E8" s="50">
        <v>88000</v>
      </c>
    </row>
    <row r="9" spans="2:5">
      <c r="B9" s="238"/>
      <c r="C9" s="50"/>
      <c r="D9" s="50"/>
      <c r="E9" s="50"/>
    </row>
    <row r="10" spans="2:5">
      <c r="B10" s="238"/>
      <c r="C10" s="50"/>
      <c r="D10" s="50"/>
      <c r="E10" s="50"/>
    </row>
    <row r="11" spans="2:5">
      <c r="B11" s="238"/>
      <c r="C11" s="50"/>
      <c r="D11" s="50"/>
      <c r="E11" s="50"/>
    </row>
    <row r="12" spans="2:5">
      <c r="B12" s="230" t="s">
        <v>32</v>
      </c>
      <c r="C12" s="50"/>
      <c r="D12" s="50"/>
      <c r="E12" s="50"/>
    </row>
    <row r="13" spans="2:5">
      <c r="B13" s="139" t="s">
        <v>268</v>
      </c>
      <c r="C13" s="50"/>
      <c r="D13" s="225"/>
      <c r="E13" s="225"/>
    </row>
    <row r="14" spans="2:5">
      <c r="B14" s="223" t="s">
        <v>790</v>
      </c>
      <c r="C14" s="366" t="str">
        <f>IF(C15*0.1&lt;C13,"Exceed 10% Rule","")</f>
        <v/>
      </c>
      <c r="D14" s="254" t="str">
        <f>IF(D15*0.1&lt;D13,"Exceed 10% Rule","")</f>
        <v/>
      </c>
      <c r="E14" s="254" t="str">
        <f>IF(E15*0.1&lt;E13,"Exceed 10% Rule","")</f>
        <v/>
      </c>
    </row>
    <row r="15" spans="2:5">
      <c r="B15" s="232" t="s">
        <v>33</v>
      </c>
      <c r="C15" s="258">
        <f>SUM(C8:C13)</f>
        <v>86979</v>
      </c>
      <c r="D15" s="258">
        <f>SUM(D8:D13)</f>
        <v>90000</v>
      </c>
      <c r="E15" s="258">
        <f>SUM(E8:E13)</f>
        <v>88000</v>
      </c>
    </row>
    <row r="16" spans="2:5">
      <c r="B16" s="232" t="s">
        <v>34</v>
      </c>
      <c r="C16" s="258">
        <f>C6+C15</f>
        <v>89067</v>
      </c>
      <c r="D16" s="258">
        <f>D6+D15</f>
        <v>101668</v>
      </c>
      <c r="E16" s="258">
        <f>E6+E15</f>
        <v>99668</v>
      </c>
    </row>
    <row r="17" spans="2:5">
      <c r="B17" s="131" t="s">
        <v>36</v>
      </c>
      <c r="C17" s="193"/>
      <c r="D17" s="193"/>
      <c r="E17" s="193"/>
    </row>
    <row r="18" spans="2:5">
      <c r="B18" s="238" t="s">
        <v>1038</v>
      </c>
      <c r="C18" s="50">
        <v>76498</v>
      </c>
      <c r="D18" s="50">
        <v>82000</v>
      </c>
      <c r="E18" s="50">
        <v>78000</v>
      </c>
    </row>
    <row r="19" spans="2:5">
      <c r="B19" s="238" t="s">
        <v>1039</v>
      </c>
      <c r="C19" s="50">
        <v>901</v>
      </c>
      <c r="D19" s="50">
        <v>500</v>
      </c>
      <c r="E19" s="50">
        <v>1000</v>
      </c>
    </row>
    <row r="20" spans="2:5">
      <c r="B20" s="238" t="s">
        <v>1040</v>
      </c>
      <c r="C20" s="50">
        <v>0</v>
      </c>
      <c r="D20" s="50">
        <v>7500</v>
      </c>
      <c r="E20" s="50">
        <v>10000</v>
      </c>
    </row>
    <row r="21" spans="2:5">
      <c r="B21" s="238"/>
      <c r="C21" s="50"/>
      <c r="D21" s="50"/>
      <c r="E21" s="50"/>
    </row>
    <row r="22" spans="2:5">
      <c r="B22" s="238"/>
      <c r="C22" s="50"/>
      <c r="D22" s="50"/>
      <c r="E22" s="50"/>
    </row>
    <row r="23" spans="2:5">
      <c r="B23" s="238"/>
      <c r="C23" s="50"/>
      <c r="D23" s="50"/>
      <c r="E23" s="50"/>
    </row>
    <row r="24" spans="2:5">
      <c r="B24" s="238"/>
      <c r="C24" s="50"/>
      <c r="D24" s="50"/>
      <c r="E24" s="50"/>
    </row>
    <row r="25" spans="2:5">
      <c r="B25" s="238"/>
      <c r="C25" s="50"/>
      <c r="D25" s="50"/>
      <c r="E25" s="50"/>
    </row>
    <row r="26" spans="2:5">
      <c r="B26" s="239" t="s">
        <v>268</v>
      </c>
      <c r="C26" s="50"/>
      <c r="D26" s="225"/>
      <c r="E26" s="225"/>
    </row>
    <row r="27" spans="2:5">
      <c r="B27" s="239" t="s">
        <v>791</v>
      </c>
      <c r="C27" s="366" t="str">
        <f>IF(C28*0.1&lt;C26,"Exceed 10% Rule","")</f>
        <v/>
      </c>
      <c r="D27" s="254" t="str">
        <f>IF(D28*0.1&lt;D26,"Exceed 10% Rule","")</f>
        <v/>
      </c>
      <c r="E27" s="254" t="str">
        <f>IF(E28*0.1&lt;E26,"Exceed 10% Rule","")</f>
        <v/>
      </c>
    </row>
    <row r="28" spans="2:5">
      <c r="B28" s="232" t="s">
        <v>37</v>
      </c>
      <c r="C28" s="258">
        <f>SUM(C18:C26)</f>
        <v>77399</v>
      </c>
      <c r="D28" s="258">
        <f>SUM(D18:D26)</f>
        <v>90000</v>
      </c>
      <c r="E28" s="258">
        <f>SUM(E18:E26)</f>
        <v>89000</v>
      </c>
    </row>
    <row r="29" spans="2:5">
      <c r="B29" s="131" t="s">
        <v>145</v>
      </c>
      <c r="C29" s="193">
        <f>C16-C28</f>
        <v>11668</v>
      </c>
      <c r="D29" s="193">
        <f>D16-D28</f>
        <v>11668</v>
      </c>
      <c r="E29" s="193">
        <f>E16-E28</f>
        <v>10668</v>
      </c>
    </row>
    <row r="30" spans="2:5">
      <c r="B30" s="119" t="str">
        <f>CONCATENATE("",E1-2,"/",E1-1," Budget Authority Amount:")</f>
        <v>2012/2013 Budget Authority Amount:</v>
      </c>
      <c r="C30" s="183">
        <f>inputOth!B78</f>
        <v>90000</v>
      </c>
      <c r="D30" s="183">
        <f>inputPrYr!D38</f>
        <v>90000</v>
      </c>
      <c r="E30" s="408" t="str">
        <f>IF(E29&lt;0,"See Tab E","")</f>
        <v/>
      </c>
    </row>
    <row r="31" spans="2:5">
      <c r="B31" s="119"/>
      <c r="C31" s="243" t="str">
        <f>IF(C28&gt;C30,"See Tab A","")</f>
        <v/>
      </c>
      <c r="D31" s="243" t="str">
        <f>IF(D28&gt;D30,"See Tab C","")</f>
        <v/>
      </c>
      <c r="E31" s="51"/>
    </row>
    <row r="32" spans="2:5">
      <c r="B32" s="119"/>
      <c r="C32" s="243" t="str">
        <f>IF(C29&lt;0,"See Tab B","")</f>
        <v/>
      </c>
      <c r="D32" s="243" t="str">
        <f>IF(D29&lt;0,"See Tab D","")</f>
        <v/>
      </c>
      <c r="E32" s="51"/>
    </row>
    <row r="33" spans="2:5">
      <c r="B33" s="22"/>
      <c r="C33" s="51"/>
      <c r="D33" s="51"/>
      <c r="E33" s="51"/>
    </row>
    <row r="34" spans="2:5">
      <c r="B34" s="29" t="s">
        <v>24</v>
      </c>
      <c r="C34" s="262"/>
      <c r="D34" s="262"/>
      <c r="E34" s="262"/>
    </row>
    <row r="35" spans="2:5">
      <c r="B35" s="22"/>
      <c r="C35" s="246" t="str">
        <f t="shared" ref="C35:E36" si="0">C4</f>
        <v xml:space="preserve">Prior Year </v>
      </c>
      <c r="D35" s="125" t="str">
        <f t="shared" si="0"/>
        <v>Current Year</v>
      </c>
      <c r="E35" s="125" t="str">
        <f t="shared" si="0"/>
        <v>Proposed Budget</v>
      </c>
    </row>
    <row r="36" spans="2:5">
      <c r="B36" s="364">
        <f>(inputPrYr!B39)</f>
        <v>0</v>
      </c>
      <c r="C36" s="222" t="str">
        <f t="shared" si="0"/>
        <v>Actual for 2012</v>
      </c>
      <c r="D36" s="222" t="str">
        <f t="shared" si="0"/>
        <v>Estimate for 2013</v>
      </c>
      <c r="E36" s="222" t="str">
        <f t="shared" si="0"/>
        <v>Year for 2014</v>
      </c>
    </row>
    <row r="37" spans="2:5">
      <c r="B37" s="223" t="s">
        <v>144</v>
      </c>
      <c r="C37" s="50"/>
      <c r="D37" s="193">
        <f>C60</f>
        <v>0</v>
      </c>
      <c r="E37" s="193">
        <f>D60</f>
        <v>0</v>
      </c>
    </row>
    <row r="38" spans="2:5">
      <c r="B38" s="223" t="s">
        <v>146</v>
      </c>
      <c r="C38" s="68"/>
      <c r="D38" s="68"/>
      <c r="E38" s="68"/>
    </row>
    <row r="39" spans="2:5">
      <c r="B39" s="238"/>
      <c r="C39" s="50"/>
      <c r="D39" s="50"/>
      <c r="E39" s="50"/>
    </row>
    <row r="40" spans="2:5">
      <c r="B40" s="238"/>
      <c r="C40" s="50"/>
      <c r="D40" s="50"/>
      <c r="E40" s="50"/>
    </row>
    <row r="41" spans="2:5">
      <c r="B41" s="238"/>
      <c r="C41" s="50"/>
      <c r="D41" s="50"/>
      <c r="E41" s="50"/>
    </row>
    <row r="42" spans="2:5">
      <c r="B42" s="238"/>
      <c r="C42" s="50"/>
      <c r="D42" s="50"/>
      <c r="E42" s="50"/>
    </row>
    <row r="43" spans="2:5">
      <c r="B43" s="230" t="s">
        <v>32</v>
      </c>
      <c r="C43" s="50"/>
      <c r="D43" s="50"/>
      <c r="E43" s="50"/>
    </row>
    <row r="44" spans="2:5">
      <c r="B44" s="139" t="s">
        <v>268</v>
      </c>
      <c r="C44" s="50"/>
      <c r="D44" s="225"/>
      <c r="E44" s="225"/>
    </row>
    <row r="45" spans="2:5">
      <c r="B45" s="223" t="s">
        <v>790</v>
      </c>
      <c r="C45" s="366" t="str">
        <f>IF(C46*0.1&lt;C44,"Exceed 10% Rule","")</f>
        <v/>
      </c>
      <c r="D45" s="254" t="str">
        <f>IF(D46*0.1&lt;D44,"Exceed 10% Rule","")</f>
        <v/>
      </c>
      <c r="E45" s="254" t="str">
        <f>IF(E46*0.1&lt;E44,"Exceed 10% Rule","")</f>
        <v/>
      </c>
    </row>
    <row r="46" spans="2:5">
      <c r="B46" s="232" t="s">
        <v>33</v>
      </c>
      <c r="C46" s="258">
        <f>SUM(C39:C44)</f>
        <v>0</v>
      </c>
      <c r="D46" s="258">
        <f>SUM(D39:D44)</f>
        <v>0</v>
      </c>
      <c r="E46" s="258">
        <f>SUM(E39:E44)</f>
        <v>0</v>
      </c>
    </row>
    <row r="47" spans="2:5">
      <c r="B47" s="232" t="s">
        <v>34</v>
      </c>
      <c r="C47" s="258">
        <f>C37+C46</f>
        <v>0</v>
      </c>
      <c r="D47" s="258">
        <f>D37+D46</f>
        <v>0</v>
      </c>
      <c r="E47" s="258">
        <f>E37+E46</f>
        <v>0</v>
      </c>
    </row>
    <row r="48" spans="2:5">
      <c r="B48" s="131" t="s">
        <v>36</v>
      </c>
      <c r="C48" s="193"/>
      <c r="D48" s="193"/>
      <c r="E48" s="193"/>
    </row>
    <row r="49" spans="2:5">
      <c r="B49" s="238"/>
      <c r="C49" s="50"/>
      <c r="D49" s="50"/>
      <c r="E49" s="50"/>
    </row>
    <row r="50" spans="2:5">
      <c r="B50" s="238"/>
      <c r="C50" s="50"/>
      <c r="D50" s="50"/>
      <c r="E50" s="50"/>
    </row>
    <row r="51" spans="2:5">
      <c r="B51" s="238"/>
      <c r="C51" s="50"/>
      <c r="D51" s="50"/>
      <c r="E51" s="50"/>
    </row>
    <row r="52" spans="2:5">
      <c r="B52" s="238"/>
      <c r="C52" s="50"/>
      <c r="D52" s="50"/>
      <c r="E52" s="50"/>
    </row>
    <row r="53" spans="2:5">
      <c r="B53" s="238"/>
      <c r="C53" s="50"/>
      <c r="D53" s="50"/>
      <c r="E53" s="50"/>
    </row>
    <row r="54" spans="2:5">
      <c r="B54" s="238"/>
      <c r="C54" s="50"/>
      <c r="D54" s="50"/>
      <c r="E54" s="50"/>
    </row>
    <row r="55" spans="2:5">
      <c r="B55" s="238"/>
      <c r="C55" s="50"/>
      <c r="D55" s="50"/>
      <c r="E55" s="50"/>
    </row>
    <row r="56" spans="2:5">
      <c r="B56" s="238"/>
      <c r="C56" s="50"/>
      <c r="D56" s="50"/>
      <c r="E56" s="50"/>
    </row>
    <row r="57" spans="2:5">
      <c r="B57" s="239" t="s">
        <v>268</v>
      </c>
      <c r="C57" s="50"/>
      <c r="D57" s="225"/>
      <c r="E57" s="225"/>
    </row>
    <row r="58" spans="2:5">
      <c r="B58" s="239" t="s">
        <v>791</v>
      </c>
      <c r="C58" s="366" t="str">
        <f>IF(C59*0.1&lt;C57,"Exceed 10% Rule","")</f>
        <v/>
      </c>
      <c r="D58" s="254" t="str">
        <f>IF(D59*0.1&lt;D57,"Exceed 10% Rule","")</f>
        <v/>
      </c>
      <c r="E58" s="254" t="str">
        <f>IF(E59*0.1&lt;E57,"Exceed 10% Rule","")</f>
        <v/>
      </c>
    </row>
    <row r="59" spans="2:5">
      <c r="B59" s="232" t="s">
        <v>37</v>
      </c>
      <c r="C59" s="258">
        <f>SUM(C49:C57)</f>
        <v>0</v>
      </c>
      <c r="D59" s="258">
        <f>SUM(D49:D57)</f>
        <v>0</v>
      </c>
      <c r="E59" s="258">
        <f>SUM(E49:E57)</f>
        <v>0</v>
      </c>
    </row>
    <row r="60" spans="2:5">
      <c r="B60" s="131" t="s">
        <v>145</v>
      </c>
      <c r="C60" s="193">
        <f>C47-C59</f>
        <v>0</v>
      </c>
      <c r="D60" s="193">
        <f>D47-D59</f>
        <v>0</v>
      </c>
      <c r="E60" s="193">
        <f>E47-E59</f>
        <v>0</v>
      </c>
    </row>
    <row r="61" spans="2:5">
      <c r="B61" s="119" t="str">
        <f>CONCATENATE("",E1-2,"/",E1-1," Budget Authority Amount:")</f>
        <v>2012/2013 Budget Authority Amount:</v>
      </c>
      <c r="C61" s="183">
        <f>inputOth!B79</f>
        <v>0</v>
      </c>
      <c r="D61" s="183">
        <f>inputPrYr!D39</f>
        <v>0</v>
      </c>
      <c r="E61" s="408" t="str">
        <f>IF(E60&lt;0,"See Tab E","")</f>
        <v/>
      </c>
    </row>
    <row r="62" spans="2:5">
      <c r="B62" s="119"/>
      <c r="C62" s="243" t="str">
        <f>IF(C59&gt;C61,"See Tab A","")</f>
        <v/>
      </c>
      <c r="D62" s="243" t="str">
        <f>IF(D59&gt;D61,"See Tab C","")</f>
        <v/>
      </c>
      <c r="E62" s="58"/>
    </row>
    <row r="63" spans="2:5">
      <c r="B63" s="119"/>
      <c r="C63" s="243" t="str">
        <f>IF(C60&lt;0,"See Tab B","")</f>
        <v/>
      </c>
      <c r="D63" s="243" t="str">
        <f>IF(D60&lt;0,"See Tab D","")</f>
        <v/>
      </c>
      <c r="E63" s="58"/>
    </row>
    <row r="64" spans="2:5">
      <c r="B64" s="22"/>
      <c r="C64" s="22"/>
      <c r="D64" s="22"/>
      <c r="E64" s="22"/>
    </row>
    <row r="65" spans="2:5">
      <c r="B65" s="119" t="s">
        <v>40</v>
      </c>
      <c r="C65" s="249">
        <v>13</v>
      </c>
      <c r="D65" s="22"/>
      <c r="E65" s="22"/>
    </row>
  </sheetData>
  <sheetProtection sheet="1"/>
  <phoneticPr fontId="0" type="noConversion"/>
  <conditionalFormatting sqref="C13">
    <cfRule type="cellIs" dxfId="18" priority="3" stopIfTrue="1" operator="greaterThan">
      <formula>$C$15*0.1</formula>
    </cfRule>
  </conditionalFormatting>
  <conditionalFormatting sqref="D13">
    <cfRule type="cellIs" dxfId="17" priority="4" stopIfTrue="1" operator="greaterThan">
      <formula>$D$15*0.1</formula>
    </cfRule>
  </conditionalFormatting>
  <conditionalFormatting sqref="E13">
    <cfRule type="cellIs" dxfId="16" priority="5" stopIfTrue="1" operator="greaterThan">
      <formula>$E$15*0.1</formula>
    </cfRule>
  </conditionalFormatting>
  <conditionalFormatting sqref="C26">
    <cfRule type="cellIs" dxfId="15" priority="6" stopIfTrue="1" operator="greaterThan">
      <formula>$C$28*0.1</formula>
    </cfRule>
  </conditionalFormatting>
  <conditionalFormatting sqref="D26">
    <cfRule type="cellIs" dxfId="14" priority="7" stopIfTrue="1" operator="greaterThan">
      <formula>$D$28*0.1</formula>
    </cfRule>
  </conditionalFormatting>
  <conditionalFormatting sqref="E26">
    <cfRule type="cellIs" dxfId="13" priority="8" stopIfTrue="1" operator="greaterThan">
      <formula>$E$28*0.1</formula>
    </cfRule>
  </conditionalFormatting>
  <conditionalFormatting sqref="C44">
    <cfRule type="cellIs" dxfId="12" priority="9" stopIfTrue="1" operator="greaterThan">
      <formula>$C$46*0.1</formula>
    </cfRule>
  </conditionalFormatting>
  <conditionalFormatting sqref="D44">
    <cfRule type="cellIs" dxfId="11" priority="10" stopIfTrue="1" operator="greaterThan">
      <formula>$D$46*0.1</formula>
    </cfRule>
  </conditionalFormatting>
  <conditionalFormatting sqref="E44">
    <cfRule type="cellIs" dxfId="10" priority="11" stopIfTrue="1" operator="greaterThan">
      <formula>$E$46*0.1</formula>
    </cfRule>
  </conditionalFormatting>
  <conditionalFormatting sqref="C57">
    <cfRule type="cellIs" dxfId="9" priority="12" stopIfTrue="1" operator="greaterThan">
      <formula>$C$59*0.1</formula>
    </cfRule>
  </conditionalFormatting>
  <conditionalFormatting sqref="D57">
    <cfRule type="cellIs" dxfId="8" priority="13" stopIfTrue="1" operator="greaterThan">
      <formula>$D$59*0.1</formula>
    </cfRule>
  </conditionalFormatting>
  <conditionalFormatting sqref="E57">
    <cfRule type="cellIs" dxfId="7" priority="14" stopIfTrue="1" operator="greaterThan">
      <formula>$E$59*0.1</formula>
    </cfRule>
  </conditionalFormatting>
  <conditionalFormatting sqref="E60 C60 E29 C29">
    <cfRule type="cellIs" dxfId="6" priority="15" stopIfTrue="1" operator="lessThan">
      <formula>0</formula>
    </cfRule>
  </conditionalFormatting>
  <conditionalFormatting sqref="D59">
    <cfRule type="cellIs" dxfId="5" priority="16" stopIfTrue="1" operator="greaterThan">
      <formula>$D$61</formula>
    </cfRule>
  </conditionalFormatting>
  <conditionalFormatting sqref="C59">
    <cfRule type="cellIs" dxfId="4" priority="17" stopIfTrue="1" operator="greaterThan">
      <formula>$C$61</formula>
    </cfRule>
  </conditionalFormatting>
  <conditionalFormatting sqref="D28">
    <cfRule type="cellIs" dxfId="3" priority="18" stopIfTrue="1" operator="greaterThan">
      <formula>$D$30</formula>
    </cfRule>
  </conditionalFormatting>
  <conditionalFormatting sqref="C28">
    <cfRule type="cellIs" dxfId="2" priority="19" stopIfTrue="1" operator="greaterThan">
      <formula>$C$30</formula>
    </cfRule>
  </conditionalFormatting>
  <conditionalFormatting sqref="D60">
    <cfRule type="cellIs" dxfId="1" priority="2" stopIfTrue="1" operator="lessThan">
      <formula>0</formula>
    </cfRule>
  </conditionalFormatting>
  <conditionalFormatting sqref="D29">
    <cfRule type="cellIs" dxfId="0"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zoomScale="90" zoomScaleNormal="90" workbookViewId="0">
      <selection activeCell="C6" sqref="C6"/>
    </sheetView>
  </sheetViews>
  <sheetFormatPr defaultRowHeight="15.75"/>
  <cols>
    <col min="1" max="1" width="15.77734375" style="23" customWidth="1"/>
    <col min="2" max="2" width="20.77734375" style="23" customWidth="1"/>
    <col min="3" max="3" width="9.77734375" style="23" customWidth="1"/>
    <col min="4" max="4" width="15.109375" style="23" customWidth="1"/>
    <col min="5" max="5" width="15.77734375" style="23" customWidth="1"/>
    <col min="6" max="6" width="1.88671875" style="23" customWidth="1"/>
    <col min="7" max="7" width="18.6640625" style="23" customWidth="1"/>
    <col min="8" max="16384" width="8.88671875" style="23"/>
  </cols>
  <sheetData>
    <row r="1" spans="1:8">
      <c r="A1" s="21" t="s">
        <v>210</v>
      </c>
      <c r="B1" s="22"/>
      <c r="C1" s="22"/>
      <c r="D1" s="22"/>
      <c r="E1" s="22"/>
    </row>
    <row r="2" spans="1:8">
      <c r="A2" s="24" t="s">
        <v>248</v>
      </c>
      <c r="B2" s="22"/>
      <c r="C2" s="22"/>
      <c r="D2" s="25" t="s">
        <v>922</v>
      </c>
      <c r="E2" s="26"/>
    </row>
    <row r="3" spans="1:8">
      <c r="A3" s="24" t="s">
        <v>249</v>
      </c>
      <c r="B3" s="22"/>
      <c r="C3" s="22"/>
      <c r="D3" s="27" t="s">
        <v>923</v>
      </c>
      <c r="E3" s="28"/>
    </row>
    <row r="4" spans="1:8">
      <c r="A4" s="29"/>
      <c r="B4" s="22"/>
      <c r="C4" s="22"/>
      <c r="D4" s="30"/>
      <c r="E4" s="22"/>
    </row>
    <row r="5" spans="1:8">
      <c r="A5" s="24" t="s">
        <v>171</v>
      </c>
      <c r="B5" s="22"/>
      <c r="C5" s="31">
        <v>2014</v>
      </c>
      <c r="D5" s="30"/>
      <c r="E5" s="22"/>
    </row>
    <row r="6" spans="1:8">
      <c r="A6" s="22"/>
      <c r="B6" s="22"/>
      <c r="C6" s="22"/>
      <c r="D6" s="22"/>
      <c r="E6" s="22"/>
    </row>
    <row r="7" spans="1:8">
      <c r="A7" s="32" t="s">
        <v>345</v>
      </c>
      <c r="B7" s="33"/>
      <c r="C7" s="33"/>
      <c r="D7" s="33"/>
      <c r="E7" s="33"/>
    </row>
    <row r="8" spans="1:8" ht="15.75" customHeight="1">
      <c r="A8" s="32" t="s">
        <v>344</v>
      </c>
      <c r="B8" s="33"/>
      <c r="C8" s="33"/>
      <c r="D8" s="33"/>
      <c r="E8" s="33"/>
      <c r="F8" s="548"/>
      <c r="G8" s="728" t="s">
        <v>832</v>
      </c>
      <c r="H8" s="729"/>
    </row>
    <row r="9" spans="1:8">
      <c r="A9" s="34"/>
      <c r="B9" s="33"/>
      <c r="C9" s="33"/>
      <c r="D9" s="33"/>
      <c r="E9" s="33"/>
      <c r="F9" s="548"/>
      <c r="G9" s="730"/>
      <c r="H9" s="729"/>
    </row>
    <row r="10" spans="1:8">
      <c r="A10" s="726" t="s">
        <v>242</v>
      </c>
      <c r="B10" s="727"/>
      <c r="C10" s="727"/>
      <c r="D10" s="727"/>
      <c r="E10" s="727"/>
      <c r="F10" s="548"/>
      <c r="G10" s="730"/>
      <c r="H10" s="729"/>
    </row>
    <row r="11" spans="1:8">
      <c r="A11" s="35"/>
      <c r="B11" s="35"/>
      <c r="C11" s="35"/>
      <c r="D11" s="35"/>
      <c r="E11" s="35"/>
      <c r="F11" s="548"/>
      <c r="G11" s="730"/>
      <c r="H11" s="729"/>
    </row>
    <row r="12" spans="1:8">
      <c r="A12" s="36" t="s">
        <v>243</v>
      </c>
      <c r="B12" s="37"/>
      <c r="C12" s="22"/>
      <c r="D12" s="22"/>
      <c r="E12" s="22"/>
      <c r="F12" s="548"/>
      <c r="G12" s="730"/>
      <c r="H12" s="729"/>
    </row>
    <row r="13" spans="1:8">
      <c r="A13" s="38" t="str">
        <f>CONCATENATE("the ",C5-1," Budget, Certificate Page:")</f>
        <v>the 2013 Budget, Certificate Page:</v>
      </c>
      <c r="B13" s="39"/>
      <c r="C13" s="40"/>
      <c r="D13" s="22"/>
      <c r="E13" s="22"/>
      <c r="F13" s="548"/>
      <c r="G13" s="730"/>
      <c r="H13" s="729"/>
    </row>
    <row r="14" spans="1:8">
      <c r="A14" s="38" t="s">
        <v>347</v>
      </c>
      <c r="B14" s="39"/>
      <c r="C14" s="40"/>
      <c r="D14" s="22"/>
      <c r="E14" s="22"/>
      <c r="F14" s="548"/>
      <c r="G14" s="548"/>
      <c r="H14" s="22"/>
    </row>
    <row r="15" spans="1:8">
      <c r="A15" s="41"/>
      <c r="B15" s="22"/>
      <c r="C15" s="22"/>
      <c r="D15" s="42">
        <f>C5-1</f>
        <v>2013</v>
      </c>
      <c r="E15" s="43">
        <f>$C$5-2</f>
        <v>2012</v>
      </c>
      <c r="G15" s="561" t="s">
        <v>803</v>
      </c>
      <c r="H15" s="137" t="s">
        <v>39</v>
      </c>
    </row>
    <row r="16" spans="1:8">
      <c r="A16" s="29" t="s">
        <v>329</v>
      </c>
      <c r="B16" s="22"/>
      <c r="C16" s="44" t="s">
        <v>330</v>
      </c>
      <c r="D16" s="45" t="s">
        <v>346</v>
      </c>
      <c r="E16" s="46" t="s">
        <v>326</v>
      </c>
      <c r="G16" s="562" t="str">
        <f>CONCATENATE("",E15," Ad Valorem Tax")</f>
        <v>2012 Ad Valorem Tax</v>
      </c>
      <c r="H16" s="723">
        <v>0</v>
      </c>
    </row>
    <row r="17" spans="1:7">
      <c r="A17" s="22"/>
      <c r="B17" s="47" t="s">
        <v>331</v>
      </c>
      <c r="C17" s="137" t="s">
        <v>147</v>
      </c>
      <c r="D17" s="49">
        <v>749080</v>
      </c>
      <c r="E17" s="50">
        <v>152444</v>
      </c>
      <c r="G17" s="560">
        <f>IF(H16&gt;0,ROUND(E17-(E17*H$16),0),0)</f>
        <v>0</v>
      </c>
    </row>
    <row r="18" spans="1:7">
      <c r="A18" s="22"/>
      <c r="B18" s="47" t="s">
        <v>300</v>
      </c>
      <c r="C18" s="137" t="s">
        <v>172</v>
      </c>
      <c r="D18" s="49">
        <v>50543</v>
      </c>
      <c r="E18" s="50">
        <v>10201</v>
      </c>
      <c r="G18" s="560">
        <f>IF(H16&gt;0,ROUND(E18-(E18*H16),0),0)</f>
        <v>0</v>
      </c>
    </row>
    <row r="19" spans="1:7">
      <c r="A19" s="22"/>
      <c r="B19" s="47" t="s">
        <v>802</v>
      </c>
      <c r="C19" s="137" t="s">
        <v>801</v>
      </c>
      <c r="D19" s="49">
        <v>0</v>
      </c>
      <c r="E19" s="50">
        <v>0</v>
      </c>
      <c r="G19" s="560">
        <f>IF(H$16&gt;0,ROUND(E19-(E19*H$16),0),0)</f>
        <v>0</v>
      </c>
    </row>
    <row r="20" spans="1:7">
      <c r="A20" s="29" t="s">
        <v>241</v>
      </c>
      <c r="B20" s="22"/>
      <c r="C20" s="22"/>
      <c r="D20" s="51"/>
      <c r="E20" s="52"/>
    </row>
    <row r="21" spans="1:7">
      <c r="A21" s="22"/>
      <c r="B21" s="651" t="s">
        <v>925</v>
      </c>
      <c r="C21" s="382"/>
      <c r="D21" s="50">
        <v>20000</v>
      </c>
      <c r="E21" s="50">
        <v>18228</v>
      </c>
      <c r="G21" s="560">
        <f t="shared" ref="G21:G30" si="0">IF(H$16&gt;0,ROUND(E21-(E21*H$16),0),0)</f>
        <v>0</v>
      </c>
    </row>
    <row r="22" spans="1:7">
      <c r="A22" s="22"/>
      <c r="B22" s="53" t="s">
        <v>926</v>
      </c>
      <c r="C22" s="383"/>
      <c r="D22" s="50">
        <v>342000</v>
      </c>
      <c r="E22" s="50">
        <v>192489</v>
      </c>
      <c r="G22" s="560">
        <f t="shared" si="0"/>
        <v>0</v>
      </c>
    </row>
    <row r="23" spans="1:7">
      <c r="A23" s="22"/>
      <c r="B23" s="53" t="s">
        <v>975</v>
      </c>
      <c r="C23" s="383"/>
      <c r="D23" s="50">
        <v>76800</v>
      </c>
      <c r="E23" s="50">
        <v>14083</v>
      </c>
      <c r="G23" s="560">
        <f t="shared" si="0"/>
        <v>0</v>
      </c>
    </row>
    <row r="24" spans="1:7">
      <c r="A24" s="22"/>
      <c r="B24" s="53"/>
      <c r="C24" s="383"/>
      <c r="D24" s="50"/>
      <c r="E24" s="50"/>
      <c r="G24" s="560">
        <f t="shared" si="0"/>
        <v>0</v>
      </c>
    </row>
    <row r="25" spans="1:7">
      <c r="A25" s="22"/>
      <c r="B25" s="53"/>
      <c r="C25" s="383"/>
      <c r="D25" s="50"/>
      <c r="E25" s="50"/>
      <c r="G25" s="560">
        <f t="shared" si="0"/>
        <v>0</v>
      </c>
    </row>
    <row r="26" spans="1:7">
      <c r="A26" s="22"/>
      <c r="B26" s="53"/>
      <c r="C26" s="383"/>
      <c r="D26" s="50"/>
      <c r="E26" s="50"/>
      <c r="G26" s="560">
        <f t="shared" si="0"/>
        <v>0</v>
      </c>
    </row>
    <row r="27" spans="1:7">
      <c r="A27" s="22"/>
      <c r="B27" s="53"/>
      <c r="C27" s="383"/>
      <c r="D27" s="50"/>
      <c r="E27" s="50"/>
      <c r="G27" s="560">
        <f t="shared" si="0"/>
        <v>0</v>
      </c>
    </row>
    <row r="28" spans="1:7">
      <c r="A28" s="22"/>
      <c r="B28" s="53"/>
      <c r="C28" s="383"/>
      <c r="D28" s="50"/>
      <c r="E28" s="50"/>
      <c r="G28" s="560">
        <f t="shared" si="0"/>
        <v>0</v>
      </c>
    </row>
    <row r="29" spans="1:7">
      <c r="A29" s="22"/>
      <c r="B29" s="53"/>
      <c r="C29" s="383"/>
      <c r="D29" s="50"/>
      <c r="E29" s="50"/>
      <c r="G29" s="560">
        <f t="shared" si="0"/>
        <v>0</v>
      </c>
    </row>
    <row r="30" spans="1:7">
      <c r="A30" s="22"/>
      <c r="B30" s="53"/>
      <c r="C30" s="383"/>
      <c r="D30" s="50"/>
      <c r="E30" s="50"/>
      <c r="G30" s="560">
        <f t="shared" si="0"/>
        <v>0</v>
      </c>
    </row>
    <row r="31" spans="1:7">
      <c r="A31" s="54" t="str">
        <f>CONCATENATE("Total Tax Levy Funds for ",C5-1," Budgeted Year")</f>
        <v>Total Tax Levy Funds for 2013 Budgeted Year</v>
      </c>
      <c r="B31" s="55"/>
      <c r="C31" s="55"/>
      <c r="D31" s="56"/>
      <c r="E31" s="57">
        <f>SUM(E17:E30)</f>
        <v>387445</v>
      </c>
    </row>
    <row r="32" spans="1:7">
      <c r="A32" s="29"/>
      <c r="B32" s="22"/>
      <c r="C32" s="22"/>
      <c r="D32" s="58"/>
      <c r="E32" s="52"/>
    </row>
    <row r="33" spans="1:5">
      <c r="A33" s="29" t="s">
        <v>173</v>
      </c>
      <c r="B33" s="22"/>
      <c r="C33" s="22"/>
      <c r="D33" s="22"/>
      <c r="E33" s="22"/>
    </row>
    <row r="34" spans="1:5">
      <c r="A34" s="22"/>
      <c r="B34" s="59" t="s">
        <v>123</v>
      </c>
      <c r="C34" s="60"/>
      <c r="D34" s="49"/>
      <c r="E34" s="60"/>
    </row>
    <row r="35" spans="1:5">
      <c r="A35" s="22"/>
      <c r="B35" s="652" t="s">
        <v>927</v>
      </c>
      <c r="C35" s="60"/>
      <c r="D35" s="49">
        <v>5280</v>
      </c>
      <c r="E35" s="60"/>
    </row>
    <row r="36" spans="1:5">
      <c r="A36" s="22"/>
      <c r="B36" s="652" t="s">
        <v>928</v>
      </c>
      <c r="C36" s="60"/>
      <c r="D36" s="49">
        <v>329500</v>
      </c>
      <c r="E36" s="60"/>
    </row>
    <row r="37" spans="1:5">
      <c r="A37" s="22"/>
      <c r="B37" s="652" t="s">
        <v>929</v>
      </c>
      <c r="C37" s="60"/>
      <c r="D37" s="49">
        <v>177200</v>
      </c>
      <c r="E37" s="60"/>
    </row>
    <row r="38" spans="1:5">
      <c r="A38" s="22"/>
      <c r="B38" s="652" t="s">
        <v>930</v>
      </c>
      <c r="C38" s="60"/>
      <c r="D38" s="49">
        <v>90000</v>
      </c>
      <c r="E38" s="60"/>
    </row>
    <row r="39" spans="1:5">
      <c r="A39" s="22"/>
      <c r="B39" s="652"/>
      <c r="C39" s="60"/>
      <c r="D39" s="49"/>
      <c r="E39" s="60"/>
    </row>
    <row r="40" spans="1:5">
      <c r="A40" s="61"/>
      <c r="B40" s="651"/>
      <c r="C40" s="62"/>
      <c r="D40" s="49"/>
      <c r="E40" s="63"/>
    </row>
    <row r="41" spans="1:5">
      <c r="A41" s="61"/>
      <c r="B41" s="651"/>
      <c r="C41" s="60"/>
      <c r="D41" s="49"/>
      <c r="E41" s="63"/>
    </row>
    <row r="42" spans="1:5">
      <c r="A42" s="61"/>
      <c r="B42" s="63"/>
      <c r="C42" s="60"/>
      <c r="D42" s="63"/>
      <c r="E42" s="63"/>
    </row>
    <row r="43" spans="1:5">
      <c r="A43" s="61" t="s">
        <v>216</v>
      </c>
      <c r="B43" s="60"/>
      <c r="C43" s="60"/>
      <c r="D43" s="60"/>
      <c r="E43" s="63"/>
    </row>
    <row r="44" spans="1:5">
      <c r="A44" s="64">
        <v>1</v>
      </c>
      <c r="B44" s="651"/>
      <c r="C44" s="60"/>
      <c r="D44" s="49"/>
      <c r="E44" s="63"/>
    </row>
    <row r="45" spans="1:5">
      <c r="A45" s="64">
        <v>2</v>
      </c>
      <c r="B45" s="651"/>
      <c r="C45" s="60"/>
      <c r="D45" s="49"/>
      <c r="E45" s="63"/>
    </row>
    <row r="46" spans="1:5">
      <c r="A46" s="64">
        <v>3</v>
      </c>
      <c r="B46" s="651"/>
      <c r="C46" s="60"/>
      <c r="D46" s="49"/>
      <c r="E46" s="63"/>
    </row>
    <row r="47" spans="1:5">
      <c r="A47" s="64">
        <v>4</v>
      </c>
      <c r="B47" s="651"/>
      <c r="C47" s="60"/>
      <c r="D47" s="49"/>
      <c r="E47" s="63"/>
    </row>
    <row r="48" spans="1:5">
      <c r="A48" s="54" t="str">
        <f>CONCATENATE("Total Expenditures for ",C5-1," Budgeted Year")</f>
        <v>Total Expenditures for 2013 Budgeted Year</v>
      </c>
      <c r="B48" s="55"/>
      <c r="C48" s="55"/>
      <c r="D48" s="57">
        <f>SUM(D17:D19,D21:D30,D34:D41,D44:D47)</f>
        <v>1840403</v>
      </c>
      <c r="E48" s="22"/>
    </row>
    <row r="49" spans="1:5">
      <c r="A49" s="61"/>
      <c r="B49" s="60"/>
      <c r="C49" s="60"/>
      <c r="D49" s="22"/>
      <c r="E49" s="22"/>
    </row>
    <row r="50" spans="1:5">
      <c r="A50" s="61" t="s">
        <v>217</v>
      </c>
      <c r="B50" s="60"/>
      <c r="C50" s="60"/>
      <c r="D50" s="60"/>
      <c r="E50" s="22"/>
    </row>
    <row r="51" spans="1:5">
      <c r="A51" s="64">
        <v>1</v>
      </c>
      <c r="B51" s="651" t="s">
        <v>931</v>
      </c>
      <c r="C51" s="60"/>
      <c r="D51" s="60"/>
      <c r="E51" s="22"/>
    </row>
    <row r="52" spans="1:5">
      <c r="A52" s="64">
        <v>2</v>
      </c>
      <c r="B52" s="651" t="s">
        <v>932</v>
      </c>
      <c r="C52" s="60"/>
      <c r="D52" s="60"/>
      <c r="E52" s="22"/>
    </row>
    <row r="53" spans="1:5">
      <c r="A53" s="64">
        <v>3</v>
      </c>
      <c r="B53" s="651" t="s">
        <v>934</v>
      </c>
      <c r="C53" s="60"/>
      <c r="D53" s="60"/>
      <c r="E53" s="22"/>
    </row>
    <row r="54" spans="1:5">
      <c r="A54" s="64">
        <v>4</v>
      </c>
      <c r="B54" s="651" t="s">
        <v>933</v>
      </c>
      <c r="C54" s="60"/>
      <c r="D54" s="60"/>
      <c r="E54" s="22"/>
    </row>
    <row r="55" spans="1:5">
      <c r="A55" s="64">
        <v>5</v>
      </c>
      <c r="B55" s="651" t="s">
        <v>935</v>
      </c>
      <c r="C55" s="60"/>
      <c r="D55" s="60"/>
      <c r="E55" s="22"/>
    </row>
    <row r="56" spans="1:5">
      <c r="A56" s="61" t="s">
        <v>189</v>
      </c>
      <c r="B56" s="60"/>
      <c r="C56" s="60"/>
      <c r="D56" s="60"/>
      <c r="E56" s="22"/>
    </row>
    <row r="57" spans="1:5">
      <c r="A57" s="64">
        <v>1</v>
      </c>
      <c r="B57" s="651" t="s">
        <v>936</v>
      </c>
      <c r="C57" s="60"/>
      <c r="D57" s="60"/>
      <c r="E57" s="22"/>
    </row>
    <row r="58" spans="1:5">
      <c r="A58" s="64">
        <v>2</v>
      </c>
      <c r="B58" s="651" t="s">
        <v>937</v>
      </c>
      <c r="C58" s="60"/>
      <c r="D58" s="60"/>
      <c r="E58" s="22"/>
    </row>
    <row r="59" spans="1:5">
      <c r="A59" s="64">
        <v>3</v>
      </c>
      <c r="B59" s="651"/>
      <c r="C59" s="60"/>
      <c r="D59" s="60"/>
      <c r="E59" s="22"/>
    </row>
    <row r="60" spans="1:5">
      <c r="A60" s="64">
        <v>4</v>
      </c>
      <c r="B60" s="651"/>
      <c r="C60" s="60"/>
      <c r="D60" s="60"/>
      <c r="E60" s="22"/>
    </row>
    <row r="61" spans="1:5" ht="18" customHeight="1">
      <c r="A61" s="64">
        <v>5</v>
      </c>
      <c r="B61" s="651"/>
      <c r="C61" s="22"/>
      <c r="D61" s="22"/>
      <c r="E61" s="22"/>
    </row>
    <row r="62" spans="1:5">
      <c r="A62" s="22"/>
      <c r="B62" s="22"/>
      <c r="C62" s="22"/>
      <c r="D62" s="65" t="str">
        <f>CONCATENATE("",C5-3," Tax Rate")</f>
        <v>2011 Tax Rate</v>
      </c>
      <c r="E62" s="22"/>
    </row>
    <row r="63" spans="1:5">
      <c r="A63" s="66" t="str">
        <f>CONCATENATE("From the ",C5-1," Budget, Budget Summary Page")</f>
        <v>From the 2013 Budget, Budget Summary Page</v>
      </c>
      <c r="B63" s="37"/>
      <c r="C63" s="22"/>
      <c r="D63" s="67" t="str">
        <f>CONCATENATE("(",C5-2," Column)")</f>
        <v>(2012 Column)</v>
      </c>
      <c r="E63" s="22"/>
    </row>
    <row r="64" spans="1:5">
      <c r="A64" s="22"/>
      <c r="B64" s="68" t="str">
        <f>B17</f>
        <v>General</v>
      </c>
      <c r="C64" s="69"/>
      <c r="D64" s="70">
        <v>16.414000000000001</v>
      </c>
      <c r="E64" s="22"/>
    </row>
    <row r="65" spans="1:5">
      <c r="A65" s="22"/>
      <c r="B65" s="68" t="str">
        <f>B18</f>
        <v>Debt Service</v>
      </c>
      <c r="C65" s="69"/>
      <c r="D65" s="70">
        <v>0.88700000000000001</v>
      </c>
      <c r="E65" s="22"/>
    </row>
    <row r="66" spans="1:5">
      <c r="A66" s="22"/>
      <c r="B66" s="68" t="str">
        <f>B19</f>
        <v>Library</v>
      </c>
      <c r="C66" s="48"/>
      <c r="D66" s="70">
        <v>0</v>
      </c>
      <c r="E66" s="22"/>
    </row>
    <row r="67" spans="1:5">
      <c r="A67" s="22"/>
      <c r="B67" s="68" t="str">
        <f t="shared" ref="B67:B76" si="1">B21</f>
        <v>Street Lighting</v>
      </c>
      <c r="C67" s="48"/>
      <c r="D67" s="70">
        <v>2.7040000000000002</v>
      </c>
      <c r="E67" s="22"/>
    </row>
    <row r="68" spans="1:5">
      <c r="A68" s="22"/>
      <c r="B68" s="68" t="str">
        <f t="shared" si="1"/>
        <v>Employee Benefits</v>
      </c>
      <c r="C68" s="48"/>
      <c r="D68" s="70">
        <v>26.596</v>
      </c>
      <c r="E68" s="22"/>
    </row>
    <row r="69" spans="1:5">
      <c r="A69" s="22"/>
      <c r="B69" s="68" t="str">
        <f t="shared" si="1"/>
        <v>Street Maintenance</v>
      </c>
      <c r="C69" s="48"/>
      <c r="D69" s="70">
        <v>2.8580000000000001</v>
      </c>
      <c r="E69" s="22"/>
    </row>
    <row r="70" spans="1:5">
      <c r="A70" s="22"/>
      <c r="B70" s="68">
        <f t="shared" si="1"/>
        <v>0</v>
      </c>
      <c r="C70" s="48"/>
      <c r="D70" s="70"/>
      <c r="E70" s="22"/>
    </row>
    <row r="71" spans="1:5">
      <c r="A71" s="22"/>
      <c r="B71" s="68">
        <f t="shared" si="1"/>
        <v>0</v>
      </c>
      <c r="C71" s="48"/>
      <c r="D71" s="70"/>
      <c r="E71" s="22"/>
    </row>
    <row r="72" spans="1:5">
      <c r="A72" s="22"/>
      <c r="B72" s="68">
        <f t="shared" si="1"/>
        <v>0</v>
      </c>
      <c r="C72" s="48"/>
      <c r="D72" s="70"/>
      <c r="E72" s="22"/>
    </row>
    <row r="73" spans="1:5">
      <c r="A73" s="22"/>
      <c r="B73" s="68">
        <f t="shared" si="1"/>
        <v>0</v>
      </c>
      <c r="C73" s="48"/>
      <c r="D73" s="70"/>
      <c r="E73" s="22"/>
    </row>
    <row r="74" spans="1:5">
      <c r="A74" s="22"/>
      <c r="B74" s="68">
        <f t="shared" si="1"/>
        <v>0</v>
      </c>
      <c r="C74" s="48"/>
      <c r="D74" s="70"/>
      <c r="E74" s="22"/>
    </row>
    <row r="75" spans="1:5">
      <c r="A75" s="22"/>
      <c r="B75" s="68">
        <f t="shared" si="1"/>
        <v>0</v>
      </c>
      <c r="C75" s="48"/>
      <c r="D75" s="70"/>
      <c r="E75" s="22"/>
    </row>
    <row r="76" spans="1:5">
      <c r="A76" s="22"/>
      <c r="B76" s="68">
        <f t="shared" si="1"/>
        <v>0</v>
      </c>
      <c r="C76" s="48"/>
      <c r="D76" s="70"/>
      <c r="E76" s="22"/>
    </row>
    <row r="77" spans="1:5">
      <c r="A77" s="29" t="s">
        <v>332</v>
      </c>
      <c r="B77" s="22"/>
      <c r="C77" s="22"/>
      <c r="D77" s="71">
        <f>SUM(D64:D76)</f>
        <v>49.458999999999996</v>
      </c>
      <c r="E77" s="22"/>
    </row>
    <row r="78" spans="1:5">
      <c r="A78" s="22"/>
      <c r="B78" s="22"/>
      <c r="C78" s="22"/>
      <c r="D78" s="22"/>
      <c r="E78" s="22"/>
    </row>
    <row r="79" spans="1:5">
      <c r="A79" s="72" t="str">
        <f>CONCATENATE("Total Tax Levied (",C5-2," budget column)")</f>
        <v>Total Tax Levied (2012 budget column)</v>
      </c>
      <c r="B79" s="73"/>
      <c r="C79" s="55"/>
      <c r="D79" s="74"/>
      <c r="E79" s="50">
        <v>307267</v>
      </c>
    </row>
    <row r="80" spans="1:5">
      <c r="A80" s="72" t="str">
        <f>CONCATENATE("Assessed Valuation  (",C5-2," budget column)")</f>
        <v>Assessed Valuation  (2012 budget column)</v>
      </c>
      <c r="B80" s="75"/>
      <c r="C80" s="76"/>
      <c r="D80" s="77"/>
      <c r="E80" s="50">
        <v>6212626</v>
      </c>
    </row>
    <row r="81" spans="1:5">
      <c r="A81" s="22"/>
      <c r="B81" s="22"/>
      <c r="C81" s="22"/>
      <c r="D81" s="40"/>
      <c r="E81" s="51"/>
    </row>
    <row r="82" spans="1:5">
      <c r="A82" s="37" t="s">
        <v>259</v>
      </c>
      <c r="B82" s="37"/>
      <c r="C82" s="78"/>
      <c r="D82" s="79">
        <f>C5-3</f>
        <v>2011</v>
      </c>
      <c r="E82" s="80">
        <f>C5-2</f>
        <v>2012</v>
      </c>
    </row>
    <row r="83" spans="1:5">
      <c r="A83" s="73" t="s">
        <v>174</v>
      </c>
      <c r="B83" s="73"/>
      <c r="C83" s="81"/>
      <c r="D83" s="49">
        <v>445000</v>
      </c>
      <c r="E83" s="49">
        <v>420000</v>
      </c>
    </row>
    <row r="84" spans="1:5">
      <c r="A84" s="75" t="s">
        <v>175</v>
      </c>
      <c r="B84" s="75"/>
      <c r="C84" s="82"/>
      <c r="D84" s="49">
        <v>0</v>
      </c>
      <c r="E84" s="49">
        <v>0</v>
      </c>
    </row>
    <row r="85" spans="1:5">
      <c r="A85" s="75" t="s">
        <v>176</v>
      </c>
      <c r="B85" s="75"/>
      <c r="C85" s="82"/>
      <c r="D85" s="49">
        <v>90449</v>
      </c>
      <c r="E85" s="49">
        <v>83295</v>
      </c>
    </row>
    <row r="86" spans="1:5">
      <c r="A86" s="75" t="s">
        <v>177</v>
      </c>
      <c r="B86" s="75"/>
      <c r="C86" s="82"/>
      <c r="D86" s="49">
        <v>519941</v>
      </c>
      <c r="E86" s="49">
        <v>435381</v>
      </c>
    </row>
    <row r="93" spans="1:5" s="83" customFormat="1">
      <c r="A93" s="23"/>
      <c r="B93" s="23"/>
      <c r="C93" s="23"/>
      <c r="D93" s="23"/>
      <c r="E93" s="23"/>
    </row>
  </sheetData>
  <sheetProtection sheet="1"/>
  <mergeCells count="2">
    <mergeCell ref="A10:E10"/>
    <mergeCell ref="G8:H13"/>
  </mergeCells>
  <phoneticPr fontId="0" type="noConversion"/>
  <pageMargins left="0.5" right="0.5" top="1" bottom="0.5" header="0.5" footer="0.25"/>
  <pageSetup scale="74"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J21" sqref="J21"/>
    </sheetView>
  </sheetViews>
  <sheetFormatPr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6">
        <f>inputPrYr!$C$2</f>
        <v>0</v>
      </c>
      <c r="B1" s="264"/>
      <c r="C1" s="86"/>
      <c r="D1" s="86"/>
      <c r="E1" s="86"/>
      <c r="F1" s="265" t="s">
        <v>182</v>
      </c>
      <c r="G1" s="86"/>
      <c r="H1" s="86"/>
      <c r="I1" s="86"/>
      <c r="J1" s="86"/>
      <c r="K1" s="86">
        <f>inputPrYr!$C$5</f>
        <v>2014</v>
      </c>
    </row>
    <row r="2" spans="1:11">
      <c r="A2" s="86"/>
      <c r="B2" s="86"/>
      <c r="C2" s="86"/>
      <c r="D2" s="86"/>
      <c r="E2" s="86"/>
      <c r="F2" s="266" t="str">
        <f>CONCATENATE("(Only the actual budget year for ",K1-2," is to be shown)")</f>
        <v>(Only the actual budget year for 2012 is to be shown)</v>
      </c>
      <c r="G2" s="86"/>
      <c r="H2" s="86"/>
      <c r="I2" s="86"/>
      <c r="J2" s="86"/>
      <c r="K2" s="86"/>
    </row>
    <row r="3" spans="1:11">
      <c r="A3" s="86" t="s">
        <v>213</v>
      </c>
      <c r="B3" s="86"/>
      <c r="C3" s="86"/>
      <c r="D3" s="86"/>
      <c r="E3" s="86"/>
      <c r="F3" s="264"/>
      <c r="G3" s="86"/>
      <c r="H3" s="86"/>
      <c r="I3" s="86"/>
      <c r="J3" s="86"/>
      <c r="K3" s="86"/>
    </row>
    <row r="4" spans="1:11">
      <c r="A4" s="86" t="s">
        <v>190</v>
      </c>
      <c r="B4" s="86"/>
      <c r="C4" s="86" t="s">
        <v>191</v>
      </c>
      <c r="D4" s="86"/>
      <c r="E4" s="86" t="s">
        <v>192</v>
      </c>
      <c r="F4" s="264"/>
      <c r="G4" s="86" t="s">
        <v>193</v>
      </c>
      <c r="H4" s="86"/>
      <c r="I4" s="86" t="s">
        <v>194</v>
      </c>
      <c r="J4" s="86"/>
      <c r="K4" s="86"/>
    </row>
    <row r="5" spans="1:11">
      <c r="A5" s="787" t="str">
        <f>inputPrYr!$B51</f>
        <v>Fire Grant and Donation</v>
      </c>
      <c r="B5" s="788"/>
      <c r="C5" s="787" t="str">
        <f>inputPrYr!$B52</f>
        <v>Drug Seizure Fund</v>
      </c>
      <c r="D5" s="788"/>
      <c r="E5" s="787" t="str">
        <f>inputPrYr!$B53</f>
        <v>Police Grant and Donation</v>
      </c>
      <c r="F5" s="788"/>
      <c r="G5" s="787" t="str">
        <f>inputPrYr!$B54</f>
        <v>Meter Deposits</v>
      </c>
      <c r="H5" s="788"/>
      <c r="I5" s="787" t="str">
        <f>inputPrYr!$B55</f>
        <v>Sewer Revolving Credit Fund</v>
      </c>
      <c r="J5" s="788"/>
      <c r="K5" s="107"/>
    </row>
    <row r="6" spans="1:11">
      <c r="A6" s="268" t="s">
        <v>179</v>
      </c>
      <c r="B6" s="269"/>
      <c r="C6" s="270" t="s">
        <v>179</v>
      </c>
      <c r="D6" s="271"/>
      <c r="E6" s="270" t="s">
        <v>179</v>
      </c>
      <c r="F6" s="272"/>
      <c r="G6" s="270" t="s">
        <v>179</v>
      </c>
      <c r="H6" s="267"/>
      <c r="I6" s="270" t="s">
        <v>179</v>
      </c>
      <c r="J6" s="86"/>
      <c r="K6" s="273" t="s">
        <v>332</v>
      </c>
    </row>
    <row r="7" spans="1:11">
      <c r="A7" s="274" t="s">
        <v>276</v>
      </c>
      <c r="B7" s="275">
        <v>2688</v>
      </c>
      <c r="C7" s="276" t="s">
        <v>276</v>
      </c>
      <c r="D7" s="275">
        <v>10657</v>
      </c>
      <c r="E7" s="276" t="s">
        <v>276</v>
      </c>
      <c r="F7" s="275">
        <v>0</v>
      </c>
      <c r="G7" s="276" t="s">
        <v>276</v>
      </c>
      <c r="H7" s="275">
        <v>66707</v>
      </c>
      <c r="I7" s="276" t="s">
        <v>276</v>
      </c>
      <c r="J7" s="275">
        <v>-5289</v>
      </c>
      <c r="K7" s="277">
        <f>SUM(B7+D7+F7+H7+J7)</f>
        <v>74763</v>
      </c>
    </row>
    <row r="8" spans="1:11">
      <c r="A8" s="278" t="s">
        <v>146</v>
      </c>
      <c r="B8" s="279"/>
      <c r="C8" s="278" t="s">
        <v>146</v>
      </c>
      <c r="D8" s="280"/>
      <c r="E8" s="278" t="s">
        <v>146</v>
      </c>
      <c r="F8" s="264"/>
      <c r="G8" s="278" t="s">
        <v>146</v>
      </c>
      <c r="H8" s="86"/>
      <c r="I8" s="278" t="s">
        <v>146</v>
      </c>
      <c r="J8" s="86"/>
      <c r="K8" s="264"/>
    </row>
    <row r="9" spans="1:11">
      <c r="A9" s="281" t="s">
        <v>991</v>
      </c>
      <c r="B9" s="275">
        <v>3650</v>
      </c>
      <c r="C9" s="281" t="s">
        <v>993</v>
      </c>
      <c r="D9" s="275">
        <v>3584</v>
      </c>
      <c r="E9" s="281"/>
      <c r="F9" s="275"/>
      <c r="G9" s="281" t="s">
        <v>995</v>
      </c>
      <c r="H9" s="275">
        <v>18900</v>
      </c>
      <c r="I9" s="281" t="s">
        <v>997</v>
      </c>
      <c r="J9" s="275"/>
      <c r="K9" s="264"/>
    </row>
    <row r="10" spans="1:11">
      <c r="A10" s="281"/>
      <c r="B10" s="275"/>
      <c r="C10" s="281"/>
      <c r="D10" s="275"/>
      <c r="E10" s="281"/>
      <c r="F10" s="275"/>
      <c r="G10" s="281"/>
      <c r="H10" s="275"/>
      <c r="I10" s="281" t="s">
        <v>998</v>
      </c>
      <c r="J10" s="275">
        <v>48000</v>
      </c>
      <c r="K10" s="264"/>
    </row>
    <row r="11" spans="1:11">
      <c r="A11" s="281"/>
      <c r="B11" s="275"/>
      <c r="C11" s="282"/>
      <c r="D11" s="283"/>
      <c r="E11" s="282"/>
      <c r="F11" s="283"/>
      <c r="G11" s="282"/>
      <c r="H11" s="283"/>
      <c r="I11" s="284"/>
      <c r="J11" s="275"/>
      <c r="K11" s="264"/>
    </row>
    <row r="12" spans="1:11">
      <c r="A12" s="281"/>
      <c r="B12" s="285"/>
      <c r="C12" s="281"/>
      <c r="D12" s="286"/>
      <c r="E12" s="287"/>
      <c r="F12" s="286"/>
      <c r="G12" s="287"/>
      <c r="H12" s="286"/>
      <c r="I12" s="287"/>
      <c r="J12" s="275"/>
      <c r="K12" s="264"/>
    </row>
    <row r="13" spans="1:11">
      <c r="A13" s="288"/>
      <c r="B13" s="289"/>
      <c r="C13" s="290"/>
      <c r="D13" s="289"/>
      <c r="E13" s="290"/>
      <c r="F13" s="289"/>
      <c r="G13" s="290"/>
      <c r="H13" s="289"/>
      <c r="I13" s="284"/>
      <c r="J13" s="275"/>
      <c r="K13" s="264"/>
    </row>
    <row r="14" spans="1:11">
      <c r="A14" s="281"/>
      <c r="B14" s="275"/>
      <c r="C14" s="287"/>
      <c r="D14" s="286"/>
      <c r="E14" s="287"/>
      <c r="F14" s="286"/>
      <c r="G14" s="287"/>
      <c r="H14" s="286"/>
      <c r="I14" s="287"/>
      <c r="J14" s="275"/>
      <c r="K14" s="264"/>
    </row>
    <row r="15" spans="1:11">
      <c r="A15" s="281"/>
      <c r="B15" s="275"/>
      <c r="C15" s="287"/>
      <c r="D15" s="286"/>
      <c r="E15" s="287"/>
      <c r="F15" s="286"/>
      <c r="G15" s="287"/>
      <c r="H15" s="286"/>
      <c r="I15" s="287"/>
      <c r="J15" s="275"/>
      <c r="K15" s="264"/>
    </row>
    <row r="16" spans="1:11">
      <c r="A16" s="281"/>
      <c r="B16" s="289"/>
      <c r="C16" s="281"/>
      <c r="D16" s="289"/>
      <c r="E16" s="281"/>
      <c r="F16" s="275"/>
      <c r="G16" s="287"/>
      <c r="H16" s="289"/>
      <c r="I16" s="281"/>
      <c r="J16" s="286"/>
      <c r="K16" s="264"/>
    </row>
    <row r="17" spans="1:12">
      <c r="A17" s="278" t="s">
        <v>33</v>
      </c>
      <c r="B17" s="277">
        <f>SUM(B9:B16)</f>
        <v>3650</v>
      </c>
      <c r="C17" s="278" t="s">
        <v>33</v>
      </c>
      <c r="D17" s="291">
        <f>SUM(D9:D16)</f>
        <v>3584</v>
      </c>
      <c r="E17" s="278" t="s">
        <v>33</v>
      </c>
      <c r="F17" s="292">
        <f>SUM(F9:F16)</f>
        <v>0</v>
      </c>
      <c r="G17" s="278" t="s">
        <v>33</v>
      </c>
      <c r="H17" s="291">
        <f>SUM(H9:H16)</f>
        <v>18900</v>
      </c>
      <c r="I17" s="278" t="s">
        <v>33</v>
      </c>
      <c r="J17" s="291">
        <f>SUM(J9:J16)</f>
        <v>48000</v>
      </c>
      <c r="K17" s="277">
        <f>SUM(B17+D17+F17+H17+J17)</f>
        <v>74134</v>
      </c>
    </row>
    <row r="18" spans="1:12">
      <c r="A18" s="278" t="s">
        <v>34</v>
      </c>
      <c r="B18" s="277">
        <f>SUM(B7+B17)</f>
        <v>6338</v>
      </c>
      <c r="C18" s="278" t="s">
        <v>34</v>
      </c>
      <c r="D18" s="277">
        <f>SUM(D7+D17)</f>
        <v>14241</v>
      </c>
      <c r="E18" s="278" t="s">
        <v>34</v>
      </c>
      <c r="F18" s="277">
        <f>SUM(F7+F17)</f>
        <v>0</v>
      </c>
      <c r="G18" s="278" t="s">
        <v>34</v>
      </c>
      <c r="H18" s="277">
        <f>SUM(H7+H17)</f>
        <v>85607</v>
      </c>
      <c r="I18" s="278" t="s">
        <v>34</v>
      </c>
      <c r="J18" s="277">
        <f>SUM(J7+J17)</f>
        <v>42711</v>
      </c>
      <c r="K18" s="277">
        <f>SUM(B18+D18+F18+H18+J18)</f>
        <v>148897</v>
      </c>
    </row>
    <row r="19" spans="1:12">
      <c r="A19" s="278" t="s">
        <v>36</v>
      </c>
      <c r="B19" s="279"/>
      <c r="C19" s="278" t="s">
        <v>36</v>
      </c>
      <c r="D19" s="280"/>
      <c r="E19" s="278" t="s">
        <v>36</v>
      </c>
      <c r="F19" s="264"/>
      <c r="G19" s="278" t="s">
        <v>36</v>
      </c>
      <c r="H19" s="86"/>
      <c r="I19" s="278" t="s">
        <v>36</v>
      </c>
      <c r="J19" s="86"/>
      <c r="K19" s="264"/>
    </row>
    <row r="20" spans="1:12">
      <c r="A20" s="281" t="s">
        <v>992</v>
      </c>
      <c r="B20" s="275">
        <v>4975</v>
      </c>
      <c r="C20" s="287" t="s">
        <v>994</v>
      </c>
      <c r="D20" s="275">
        <v>11135</v>
      </c>
      <c r="E20" s="287"/>
      <c r="F20" s="275"/>
      <c r="G20" s="287" t="s">
        <v>996</v>
      </c>
      <c r="H20" s="275">
        <v>14400</v>
      </c>
      <c r="I20" s="287" t="s">
        <v>999</v>
      </c>
      <c r="J20" s="275">
        <v>25548</v>
      </c>
      <c r="K20" s="264"/>
    </row>
    <row r="21" spans="1:12">
      <c r="A21" s="281"/>
      <c r="B21" s="275"/>
      <c r="C21" s="287"/>
      <c r="D21" s="286"/>
      <c r="E21" s="287"/>
      <c r="F21" s="286"/>
      <c r="G21" s="287"/>
      <c r="H21" s="286"/>
      <c r="I21" s="287"/>
      <c r="J21" s="293"/>
      <c r="K21" s="264"/>
    </row>
    <row r="22" spans="1:12">
      <c r="A22" s="281"/>
      <c r="B22" s="294"/>
      <c r="C22" s="290"/>
      <c r="D22" s="289"/>
      <c r="E22" s="290"/>
      <c r="F22" s="289"/>
      <c r="G22" s="290"/>
      <c r="H22" s="289"/>
      <c r="I22" s="284"/>
      <c r="J22" s="275"/>
      <c r="K22" s="264"/>
    </row>
    <row r="23" spans="1:12">
      <c r="A23" s="281"/>
      <c r="B23" s="275"/>
      <c r="C23" s="287"/>
      <c r="D23" s="286"/>
      <c r="E23" s="287"/>
      <c r="F23" s="286"/>
      <c r="G23" s="287"/>
      <c r="H23" s="286"/>
      <c r="I23" s="287"/>
      <c r="J23" s="275"/>
      <c r="K23" s="264"/>
    </row>
    <row r="24" spans="1:12">
      <c r="A24" s="281"/>
      <c r="B24" s="294"/>
      <c r="C24" s="290"/>
      <c r="D24" s="289"/>
      <c r="E24" s="290"/>
      <c r="F24" s="289"/>
      <c r="G24" s="290"/>
      <c r="H24" s="289"/>
      <c r="I24" s="284"/>
      <c r="J24" s="275"/>
      <c r="K24" s="264"/>
    </row>
    <row r="25" spans="1:12">
      <c r="A25" s="281"/>
      <c r="B25" s="275"/>
      <c r="C25" s="287"/>
      <c r="D25" s="286"/>
      <c r="E25" s="287"/>
      <c r="F25" s="286"/>
      <c r="G25" s="287"/>
      <c r="H25" s="286"/>
      <c r="I25" s="287"/>
      <c r="J25" s="275"/>
      <c r="K25" s="264"/>
    </row>
    <row r="26" spans="1:12">
      <c r="A26" s="281"/>
      <c r="B26" s="275"/>
      <c r="C26" s="287"/>
      <c r="D26" s="286"/>
      <c r="E26" s="287"/>
      <c r="F26" s="286"/>
      <c r="G26" s="287"/>
      <c r="H26" s="286"/>
      <c r="I26" s="287"/>
      <c r="J26" s="275"/>
      <c r="K26" s="264"/>
    </row>
    <row r="27" spans="1:12">
      <c r="A27" s="281"/>
      <c r="B27" s="293"/>
      <c r="C27" s="281"/>
      <c r="D27" s="285"/>
      <c r="E27" s="281"/>
      <c r="F27" s="286"/>
      <c r="G27" s="287"/>
      <c r="H27" s="286"/>
      <c r="I27" s="287"/>
      <c r="J27" s="275"/>
      <c r="K27" s="264"/>
    </row>
    <row r="28" spans="1:12">
      <c r="A28" s="278" t="s">
        <v>37</v>
      </c>
      <c r="B28" s="277">
        <f>SUM(B20:B27)</f>
        <v>4975</v>
      </c>
      <c r="C28" s="278" t="s">
        <v>37</v>
      </c>
      <c r="D28" s="277">
        <f>SUM(D20:D27)</f>
        <v>11135</v>
      </c>
      <c r="E28" s="278" t="s">
        <v>37</v>
      </c>
      <c r="F28" s="380">
        <f>SUM(F20:F27)</f>
        <v>0</v>
      </c>
      <c r="G28" s="278" t="s">
        <v>37</v>
      </c>
      <c r="H28" s="380">
        <f>SUM(H20:H27)</f>
        <v>14400</v>
      </c>
      <c r="I28" s="278" t="s">
        <v>37</v>
      </c>
      <c r="J28" s="277">
        <f>SUM(J20:J27)</f>
        <v>25548</v>
      </c>
      <c r="K28" s="277">
        <f>SUM(B28+D28+F28+H28+J28)</f>
        <v>56058</v>
      </c>
    </row>
    <row r="29" spans="1:12">
      <c r="A29" s="278" t="s">
        <v>178</v>
      </c>
      <c r="B29" s="277">
        <f>SUM(B18-B28)</f>
        <v>1363</v>
      </c>
      <c r="C29" s="278" t="s">
        <v>178</v>
      </c>
      <c r="D29" s="277">
        <f>SUM(D18-D28)</f>
        <v>3106</v>
      </c>
      <c r="E29" s="278" t="s">
        <v>178</v>
      </c>
      <c r="F29" s="277">
        <f>SUM(F18-F28)</f>
        <v>0</v>
      </c>
      <c r="G29" s="278" t="s">
        <v>178</v>
      </c>
      <c r="H29" s="277">
        <f>SUM(H18-H28)</f>
        <v>71207</v>
      </c>
      <c r="I29" s="278" t="s">
        <v>178</v>
      </c>
      <c r="J29" s="277">
        <f>SUM(J18-J28)</f>
        <v>17163</v>
      </c>
      <c r="K29" s="295">
        <f>SUM(B29+D29+F29+H29+J29)</f>
        <v>92839</v>
      </c>
      <c r="L29" s="296" t="s">
        <v>250</v>
      </c>
    </row>
    <row r="30" spans="1:12">
      <c r="A30" s="278"/>
      <c r="B30" s="319" t="str">
        <f>IF(B29&lt;0,"See Tab B","")</f>
        <v/>
      </c>
      <c r="C30" s="278"/>
      <c r="D30" s="319" t="str">
        <f>IF(D29&lt;0,"See Tab B","")</f>
        <v/>
      </c>
      <c r="E30" s="278"/>
      <c r="F30" s="319" t="str">
        <f>IF(F29&lt;0,"See Tab B","")</f>
        <v/>
      </c>
      <c r="G30" s="86"/>
      <c r="H30" s="319" t="str">
        <f>IF(H29&lt;0,"See Tab B","")</f>
        <v/>
      </c>
      <c r="I30" s="86"/>
      <c r="J30" s="319" t="str">
        <f>IF(J29&lt;0,"See Tab B","")</f>
        <v/>
      </c>
      <c r="K30" s="295">
        <f>SUM(K7+K17-K28)</f>
        <v>92839</v>
      </c>
      <c r="L30" s="296" t="s">
        <v>250</v>
      </c>
    </row>
    <row r="31" spans="1:12">
      <c r="A31" s="86"/>
      <c r="B31" s="297"/>
      <c r="C31" s="86"/>
      <c r="D31" s="264"/>
      <c r="E31" s="86"/>
      <c r="F31" s="86"/>
      <c r="G31" s="19" t="s">
        <v>251</v>
      </c>
      <c r="H31" s="19"/>
      <c r="I31" s="19"/>
      <c r="J31" s="19"/>
      <c r="K31" s="86"/>
    </row>
    <row r="32" spans="1:12">
      <c r="A32" s="86"/>
      <c r="B32" s="297"/>
      <c r="C32" s="86"/>
      <c r="D32" s="86"/>
      <c r="E32" s="86"/>
      <c r="F32" s="86"/>
      <c r="G32" s="86"/>
      <c r="H32" s="86"/>
      <c r="I32" s="86"/>
      <c r="J32" s="86"/>
      <c r="K32" s="86"/>
    </row>
    <row r="33" spans="1:11">
      <c r="A33" s="86"/>
      <c r="B33" s="297"/>
      <c r="C33" s="86"/>
      <c r="D33" s="86"/>
      <c r="E33" s="244" t="s">
        <v>40</v>
      </c>
      <c r="F33" s="249">
        <v>14</v>
      </c>
      <c r="G33" s="86"/>
      <c r="H33" s="86"/>
      <c r="I33" s="86"/>
      <c r="J33" s="86"/>
      <c r="K33" s="86"/>
    </row>
    <row r="34" spans="1:11">
      <c r="B34" s="298"/>
    </row>
    <row r="35" spans="1:11">
      <c r="B35" s="298"/>
    </row>
    <row r="36" spans="1:11">
      <c r="B36" s="298"/>
    </row>
    <row r="37" spans="1:11">
      <c r="B37" s="298"/>
    </row>
    <row r="38" spans="1:11">
      <c r="B38" s="298"/>
    </row>
    <row r="39" spans="1:11">
      <c r="B39" s="298"/>
    </row>
    <row r="40" spans="1:11">
      <c r="B40" s="298"/>
    </row>
    <row r="41" spans="1:11">
      <c r="B41" s="298"/>
    </row>
  </sheetData>
  <sheetProtection sheet="1"/>
  <mergeCells count="5">
    <mergeCell ref="I5:J5"/>
    <mergeCell ref="A5:B5"/>
    <mergeCell ref="C5:D5"/>
    <mergeCell ref="E5:F5"/>
    <mergeCell ref="G5:H5"/>
  </mergeCells>
  <phoneticPr fontId="11" type="noConversion"/>
  <pageMargins left="0" right="0" top="1" bottom="1" header="0.5" footer="0.5"/>
  <pageSetup scale="91" orientation="landscape" blackAndWhite="1"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B8" sqref="B8"/>
    </sheetView>
  </sheetViews>
  <sheetFormatPr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6">
        <f>inputPrYr!$C$2</f>
        <v>0</v>
      </c>
      <c r="B1" s="264"/>
      <c r="C1" s="86"/>
      <c r="D1" s="86"/>
      <c r="E1" s="86"/>
      <c r="F1" s="265" t="s">
        <v>183</v>
      </c>
      <c r="G1" s="86"/>
      <c r="H1" s="86"/>
      <c r="I1" s="86"/>
      <c r="J1" s="86"/>
      <c r="K1" s="86">
        <f>inputPrYr!$C$5</f>
        <v>2014</v>
      </c>
    </row>
    <row r="2" spans="1:11">
      <c r="A2" s="86"/>
      <c r="B2" s="86"/>
      <c r="C2" s="86"/>
      <c r="D2" s="86"/>
      <c r="E2" s="86"/>
      <c r="F2" s="264" t="str">
        <f>CONCATENATE("(Only the actual budget year for ",K1-2," is to be shown)")</f>
        <v>(Only the actual budget year for 2012 is to be shown)</v>
      </c>
      <c r="G2" s="86"/>
      <c r="H2" s="86"/>
      <c r="I2" s="86"/>
      <c r="J2" s="86"/>
      <c r="K2" s="86"/>
    </row>
    <row r="3" spans="1:11">
      <c r="A3" s="86" t="s">
        <v>214</v>
      </c>
      <c r="B3" s="86"/>
      <c r="C3" s="86"/>
      <c r="D3" s="86"/>
      <c r="E3" s="86"/>
      <c r="F3" s="264"/>
      <c r="G3" s="86"/>
      <c r="H3" s="86"/>
      <c r="I3" s="86"/>
      <c r="J3" s="86"/>
      <c r="K3" s="86"/>
    </row>
    <row r="4" spans="1:11">
      <c r="A4" s="86" t="s">
        <v>190</v>
      </c>
      <c r="B4" s="86"/>
      <c r="C4" s="86" t="s">
        <v>191</v>
      </c>
      <c r="D4" s="86"/>
      <c r="E4" s="86" t="s">
        <v>192</v>
      </c>
      <c r="F4" s="264"/>
      <c r="G4" s="86" t="s">
        <v>193</v>
      </c>
      <c r="H4" s="86"/>
      <c r="I4" s="86" t="s">
        <v>194</v>
      </c>
      <c r="J4" s="86"/>
      <c r="K4" s="86"/>
    </row>
    <row r="5" spans="1:11">
      <c r="A5" s="787" t="str">
        <f>inputPrYr!$B57</f>
        <v>Water Tower Maintenance</v>
      </c>
      <c r="B5" s="788"/>
      <c r="C5" s="787" t="str">
        <f>inputPrYr!$B58</f>
        <v>Victory Valley Fund</v>
      </c>
      <c r="D5" s="788"/>
      <c r="E5" s="787">
        <f>inputPrYr!$B59</f>
        <v>0</v>
      </c>
      <c r="F5" s="788"/>
      <c r="G5" s="787">
        <f>inputPrYr!$B60</f>
        <v>0</v>
      </c>
      <c r="H5" s="788"/>
      <c r="I5" s="787">
        <f>inputPrYr!$B61</f>
        <v>0</v>
      </c>
      <c r="J5" s="788"/>
      <c r="K5" s="107"/>
    </row>
    <row r="6" spans="1:11">
      <c r="A6" s="268" t="s">
        <v>179</v>
      </c>
      <c r="B6" s="269"/>
      <c r="C6" s="270" t="s">
        <v>179</v>
      </c>
      <c r="D6" s="271"/>
      <c r="E6" s="270" t="s">
        <v>179</v>
      </c>
      <c r="F6" s="272"/>
      <c r="G6" s="270" t="s">
        <v>179</v>
      </c>
      <c r="H6" s="267"/>
      <c r="I6" s="270" t="s">
        <v>179</v>
      </c>
      <c r="J6" s="86"/>
      <c r="K6" s="273" t="s">
        <v>332</v>
      </c>
    </row>
    <row r="7" spans="1:11">
      <c r="A7" s="274" t="s">
        <v>178</v>
      </c>
      <c r="B7" s="275">
        <v>37</v>
      </c>
      <c r="C7" s="276" t="s">
        <v>178</v>
      </c>
      <c r="D7" s="275">
        <v>10236</v>
      </c>
      <c r="E7" s="276" t="s">
        <v>178</v>
      </c>
      <c r="F7" s="275"/>
      <c r="G7" s="276" t="s">
        <v>178</v>
      </c>
      <c r="H7" s="275"/>
      <c r="I7" s="276" t="s">
        <v>178</v>
      </c>
      <c r="J7" s="275"/>
      <c r="K7" s="277">
        <f>SUM(B7+D7+F7+H7+J7)</f>
        <v>10273</v>
      </c>
    </row>
    <row r="8" spans="1:11">
      <c r="A8" s="278" t="s">
        <v>146</v>
      </c>
      <c r="B8" s="279"/>
      <c r="C8" s="278" t="s">
        <v>146</v>
      </c>
      <c r="D8" s="280"/>
      <c r="E8" s="278" t="s">
        <v>146</v>
      </c>
      <c r="F8" s="264"/>
      <c r="G8" s="278" t="s">
        <v>146</v>
      </c>
      <c r="H8" s="86"/>
      <c r="I8" s="278" t="s">
        <v>146</v>
      </c>
      <c r="J8" s="86"/>
      <c r="K8" s="264"/>
    </row>
    <row r="9" spans="1:11">
      <c r="A9" s="281"/>
      <c r="B9" s="275"/>
      <c r="C9" s="281"/>
      <c r="D9" s="275"/>
      <c r="E9" s="281"/>
      <c r="F9" s="275"/>
      <c r="G9" s="281"/>
      <c r="H9" s="275"/>
      <c r="I9" s="281"/>
      <c r="J9" s="275"/>
      <c r="K9" s="264"/>
    </row>
    <row r="10" spans="1:11">
      <c r="A10" s="281"/>
      <c r="B10" s="275"/>
      <c r="C10" s="281"/>
      <c r="D10" s="275"/>
      <c r="E10" s="281"/>
      <c r="F10" s="275"/>
      <c r="G10" s="281"/>
      <c r="H10" s="275"/>
      <c r="I10" s="281"/>
      <c r="J10" s="275"/>
      <c r="K10" s="264"/>
    </row>
    <row r="11" spans="1:11">
      <c r="A11" s="281"/>
      <c r="B11" s="275"/>
      <c r="C11" s="282"/>
      <c r="D11" s="283"/>
      <c r="E11" s="282"/>
      <c r="F11" s="283"/>
      <c r="G11" s="282"/>
      <c r="H11" s="283"/>
      <c r="I11" s="284"/>
      <c r="J11" s="275"/>
      <c r="K11" s="264"/>
    </row>
    <row r="12" spans="1:11">
      <c r="A12" s="281"/>
      <c r="B12" s="285"/>
      <c r="C12" s="281"/>
      <c r="D12" s="286"/>
      <c r="E12" s="287"/>
      <c r="F12" s="286"/>
      <c r="G12" s="287"/>
      <c r="H12" s="286"/>
      <c r="I12" s="287"/>
      <c r="J12" s="275"/>
      <c r="K12" s="264"/>
    </row>
    <row r="13" spans="1:11">
      <c r="A13" s="288"/>
      <c r="B13" s="289"/>
      <c r="C13" s="290"/>
      <c r="D13" s="289"/>
      <c r="E13" s="290"/>
      <c r="F13" s="289"/>
      <c r="G13" s="290"/>
      <c r="H13" s="289"/>
      <c r="I13" s="284"/>
      <c r="J13" s="275"/>
      <c r="K13" s="264"/>
    </row>
    <row r="14" spans="1:11">
      <c r="A14" s="281"/>
      <c r="B14" s="275"/>
      <c r="C14" s="287"/>
      <c r="D14" s="286"/>
      <c r="E14" s="287"/>
      <c r="F14" s="286"/>
      <c r="G14" s="287"/>
      <c r="H14" s="286"/>
      <c r="I14" s="287"/>
      <c r="J14" s="275"/>
      <c r="K14" s="264"/>
    </row>
    <row r="15" spans="1:11">
      <c r="A15" s="281"/>
      <c r="B15" s="275"/>
      <c r="C15" s="287"/>
      <c r="D15" s="286"/>
      <c r="E15" s="287"/>
      <c r="F15" s="286"/>
      <c r="G15" s="287"/>
      <c r="H15" s="286"/>
      <c r="I15" s="287"/>
      <c r="J15" s="275"/>
      <c r="K15" s="264"/>
    </row>
    <row r="16" spans="1:11">
      <c r="A16" s="281"/>
      <c r="B16" s="289"/>
      <c r="C16" s="281"/>
      <c r="D16" s="289"/>
      <c r="E16" s="281"/>
      <c r="F16" s="275"/>
      <c r="G16" s="287"/>
      <c r="H16" s="289"/>
      <c r="I16" s="281"/>
      <c r="J16" s="286"/>
      <c r="K16" s="264"/>
    </row>
    <row r="17" spans="1:12">
      <c r="A17" s="278" t="s">
        <v>33</v>
      </c>
      <c r="B17" s="277">
        <f>SUM(B9:B16)</f>
        <v>0</v>
      </c>
      <c r="C17" s="278" t="s">
        <v>33</v>
      </c>
      <c r="D17" s="291">
        <f>SUM(D9:D16)</f>
        <v>0</v>
      </c>
      <c r="E17" s="278" t="s">
        <v>33</v>
      </c>
      <c r="F17" s="292">
        <f>SUM(F9:F16)</f>
        <v>0</v>
      </c>
      <c r="G17" s="278" t="s">
        <v>33</v>
      </c>
      <c r="H17" s="291">
        <f>SUM(H9:H16)</f>
        <v>0</v>
      </c>
      <c r="I17" s="278" t="s">
        <v>33</v>
      </c>
      <c r="J17" s="291">
        <f>SUM(J9:J16)</f>
        <v>0</v>
      </c>
      <c r="K17" s="277">
        <f>SUM(B17+D17+F17+H17+J17)</f>
        <v>0</v>
      </c>
    </row>
    <row r="18" spans="1:12">
      <c r="A18" s="278" t="s">
        <v>34</v>
      </c>
      <c r="B18" s="277">
        <f>SUM(B7+B17)</f>
        <v>37</v>
      </c>
      <c r="C18" s="278" t="s">
        <v>34</v>
      </c>
      <c r="D18" s="277">
        <f>SUM(D7+D17)</f>
        <v>10236</v>
      </c>
      <c r="E18" s="278" t="s">
        <v>34</v>
      </c>
      <c r="F18" s="277">
        <f>SUM(F7+F17)</f>
        <v>0</v>
      </c>
      <c r="G18" s="278" t="s">
        <v>34</v>
      </c>
      <c r="H18" s="277">
        <f>SUM(H7+H17)</f>
        <v>0</v>
      </c>
      <c r="I18" s="278" t="s">
        <v>34</v>
      </c>
      <c r="J18" s="277">
        <f>SUM(J7+J17)</f>
        <v>0</v>
      </c>
      <c r="K18" s="277">
        <f>SUM(B18+D18+F18+H18+J18)</f>
        <v>10273</v>
      </c>
    </row>
    <row r="19" spans="1:12">
      <c r="A19" s="278" t="s">
        <v>36</v>
      </c>
      <c r="B19" s="279"/>
      <c r="C19" s="278" t="s">
        <v>36</v>
      </c>
      <c r="D19" s="280"/>
      <c r="E19" s="278" t="s">
        <v>36</v>
      </c>
      <c r="F19" s="264"/>
      <c r="G19" s="278" t="s">
        <v>36</v>
      </c>
      <c r="H19" s="86"/>
      <c r="I19" s="278" t="s">
        <v>36</v>
      </c>
      <c r="J19" s="86"/>
      <c r="K19" s="264"/>
    </row>
    <row r="20" spans="1:12">
      <c r="A20" s="281"/>
      <c r="B20" s="275"/>
      <c r="C20" s="287"/>
      <c r="D20" s="275"/>
      <c r="E20" s="287"/>
      <c r="F20" s="275"/>
      <c r="G20" s="287"/>
      <c r="H20" s="275"/>
      <c r="I20" s="287"/>
      <c r="J20" s="275"/>
      <c r="K20" s="264"/>
    </row>
    <row r="21" spans="1:12">
      <c r="A21" s="281"/>
      <c r="B21" s="275"/>
      <c r="C21" s="287"/>
      <c r="D21" s="286"/>
      <c r="E21" s="287"/>
      <c r="F21" s="286"/>
      <c r="G21" s="287"/>
      <c r="H21" s="286"/>
      <c r="I21" s="287"/>
      <c r="J21" s="293"/>
      <c r="K21" s="264"/>
    </row>
    <row r="22" spans="1:12">
      <c r="A22" s="281"/>
      <c r="B22" s="294"/>
      <c r="C22" s="290"/>
      <c r="D22" s="289"/>
      <c r="E22" s="290"/>
      <c r="F22" s="289"/>
      <c r="G22" s="290"/>
      <c r="H22" s="289"/>
      <c r="I22" s="284"/>
      <c r="J22" s="275"/>
      <c r="K22" s="264"/>
    </row>
    <row r="23" spans="1:12">
      <c r="A23" s="281"/>
      <c r="B23" s="275"/>
      <c r="C23" s="287"/>
      <c r="D23" s="286"/>
      <c r="E23" s="287"/>
      <c r="F23" s="286"/>
      <c r="G23" s="287"/>
      <c r="H23" s="286"/>
      <c r="I23" s="287"/>
      <c r="J23" s="275"/>
      <c r="K23" s="264"/>
    </row>
    <row r="24" spans="1:12">
      <c r="A24" s="281"/>
      <c r="B24" s="294"/>
      <c r="C24" s="290"/>
      <c r="D24" s="289"/>
      <c r="E24" s="290"/>
      <c r="F24" s="289"/>
      <c r="G24" s="290"/>
      <c r="H24" s="289"/>
      <c r="I24" s="284"/>
      <c r="J24" s="275"/>
      <c r="K24" s="264"/>
    </row>
    <row r="25" spans="1:12">
      <c r="A25" s="281"/>
      <c r="B25" s="275"/>
      <c r="C25" s="287"/>
      <c r="D25" s="286"/>
      <c r="E25" s="287"/>
      <c r="F25" s="286"/>
      <c r="G25" s="287"/>
      <c r="H25" s="286"/>
      <c r="I25" s="287"/>
      <c r="J25" s="275"/>
      <c r="K25" s="264"/>
    </row>
    <row r="26" spans="1:12">
      <c r="A26" s="281"/>
      <c r="B26" s="275"/>
      <c r="C26" s="287"/>
      <c r="D26" s="286"/>
      <c r="E26" s="287"/>
      <c r="F26" s="286"/>
      <c r="G26" s="287"/>
      <c r="H26" s="286"/>
      <c r="I26" s="287"/>
      <c r="J26" s="275"/>
      <c r="K26" s="264"/>
    </row>
    <row r="27" spans="1:12">
      <c r="A27" s="281"/>
      <c r="B27" s="293"/>
      <c r="C27" s="281"/>
      <c r="D27" s="285"/>
      <c r="E27" s="281"/>
      <c r="F27" s="286"/>
      <c r="G27" s="287"/>
      <c r="H27" s="286"/>
      <c r="I27" s="287"/>
      <c r="J27" s="275"/>
      <c r="K27" s="264"/>
    </row>
    <row r="28" spans="1:12">
      <c r="A28" s="278" t="s">
        <v>37</v>
      </c>
      <c r="B28" s="277">
        <f>SUM(B20:B27)</f>
        <v>0</v>
      </c>
      <c r="C28" s="278" t="s">
        <v>37</v>
      </c>
      <c r="D28" s="277">
        <f>SUM(D20:D27)</f>
        <v>0</v>
      </c>
      <c r="E28" s="278" t="s">
        <v>37</v>
      </c>
      <c r="F28" s="380">
        <f>SUM(F20:F27)</f>
        <v>0</v>
      </c>
      <c r="G28" s="278" t="s">
        <v>37</v>
      </c>
      <c r="H28" s="380">
        <f>SUM(H20:H27)</f>
        <v>0</v>
      </c>
      <c r="I28" s="278" t="s">
        <v>37</v>
      </c>
      <c r="J28" s="277">
        <f>SUM(J20:J27)</f>
        <v>0</v>
      </c>
      <c r="K28" s="277">
        <f>SUM(B28+D28+F28+H28+J28)</f>
        <v>0</v>
      </c>
    </row>
    <row r="29" spans="1:12">
      <c r="A29" s="278" t="s">
        <v>178</v>
      </c>
      <c r="B29" s="277">
        <f>SUM(B18-B28)</f>
        <v>37</v>
      </c>
      <c r="C29" s="278" t="s">
        <v>178</v>
      </c>
      <c r="D29" s="277">
        <f>SUM(D18-D28)</f>
        <v>10236</v>
      </c>
      <c r="E29" s="278" t="s">
        <v>178</v>
      </c>
      <c r="F29" s="277">
        <f>SUM(F18-F28)</f>
        <v>0</v>
      </c>
      <c r="G29" s="278" t="s">
        <v>178</v>
      </c>
      <c r="H29" s="277">
        <f>SUM(H18-H28)</f>
        <v>0</v>
      </c>
      <c r="I29" s="278" t="s">
        <v>178</v>
      </c>
      <c r="J29" s="277">
        <f>SUM(J18-J28)</f>
        <v>0</v>
      </c>
      <c r="K29" s="295">
        <f>SUM(B29+D29+F29+H29+J29)</f>
        <v>10273</v>
      </c>
      <c r="L29" s="296" t="s">
        <v>250</v>
      </c>
    </row>
    <row r="30" spans="1:12">
      <c r="A30" s="278"/>
      <c r="B30" s="319" t="str">
        <f>IF(B29&lt;0,"See Tab B","")</f>
        <v/>
      </c>
      <c r="C30" s="278"/>
      <c r="D30" s="319" t="str">
        <f>IF(D29&lt;0,"See Tab B","")</f>
        <v/>
      </c>
      <c r="E30" s="278"/>
      <c r="F30" s="319" t="str">
        <f>IF(F29&lt;0,"See Tab B","")</f>
        <v/>
      </c>
      <c r="G30" s="86"/>
      <c r="H30" s="319" t="str">
        <f>IF(H29&lt;0,"See Tab B","")</f>
        <v/>
      </c>
      <c r="I30" s="86"/>
      <c r="J30" s="319" t="str">
        <f>IF(J29&lt;0,"See Tab B","")</f>
        <v/>
      </c>
      <c r="K30" s="295">
        <f>SUM(K7+K17-K28)</f>
        <v>10273</v>
      </c>
      <c r="L30" s="296" t="s">
        <v>250</v>
      </c>
    </row>
    <row r="31" spans="1:12">
      <c r="A31" s="86"/>
      <c r="B31" s="297"/>
      <c r="C31" s="86"/>
      <c r="D31" s="264"/>
      <c r="E31" s="86"/>
      <c r="F31" s="86"/>
      <c r="G31" s="19" t="s">
        <v>251</v>
      </c>
      <c r="H31" s="19"/>
      <c r="I31" s="19"/>
      <c r="J31" s="19"/>
      <c r="K31" s="86"/>
    </row>
    <row r="32" spans="1:12">
      <c r="A32" s="86"/>
      <c r="B32" s="297"/>
      <c r="C32" s="86"/>
      <c r="D32" s="86"/>
      <c r="E32" s="86"/>
      <c r="F32" s="86"/>
      <c r="G32" s="86"/>
      <c r="H32" s="86"/>
      <c r="I32" s="86"/>
      <c r="J32" s="86"/>
      <c r="K32" s="86"/>
    </row>
    <row r="33" spans="1:11">
      <c r="A33" s="86"/>
      <c r="B33" s="297"/>
      <c r="C33" s="86"/>
      <c r="D33" s="86"/>
      <c r="E33" s="244" t="s">
        <v>40</v>
      </c>
      <c r="F33" s="249">
        <v>15</v>
      </c>
      <c r="G33" s="86"/>
      <c r="H33" s="86"/>
      <c r="I33" s="86"/>
      <c r="J33" s="86"/>
      <c r="K33" s="86"/>
    </row>
    <row r="34" spans="1:11">
      <c r="B34" s="298"/>
    </row>
    <row r="35" spans="1:11">
      <c r="B35" s="298"/>
    </row>
    <row r="36" spans="1:11">
      <c r="B36" s="298"/>
    </row>
    <row r="37" spans="1:11">
      <c r="B37" s="298"/>
    </row>
    <row r="38" spans="1:11">
      <c r="B38" s="298"/>
    </row>
    <row r="39" spans="1:11">
      <c r="B39" s="298"/>
    </row>
    <row r="40" spans="1:11">
      <c r="B40" s="298"/>
    </row>
    <row r="41" spans="1:11">
      <c r="B41" s="298"/>
    </row>
  </sheetData>
  <sheetProtection sheet="1"/>
  <mergeCells count="5">
    <mergeCell ref="I5:J5"/>
    <mergeCell ref="A5:B5"/>
    <mergeCell ref="C5:D5"/>
    <mergeCell ref="E5:F5"/>
    <mergeCell ref="G5:H5"/>
  </mergeCells>
  <phoneticPr fontId="11" type="noConversion"/>
  <pageMargins left="0.75" right="0.75" top="1" bottom="1" header="0.5" footer="0.5"/>
  <pageSetup scale="88" orientation="landscape"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topLeftCell="A28" workbookViewId="0">
      <selection activeCell="B2" sqref="B2"/>
    </sheetView>
  </sheetViews>
  <sheetFormatPr defaultRowHeight="15"/>
  <cols>
    <col min="1" max="1" width="70.5546875" style="83" customWidth="1"/>
    <col min="2" max="16384" width="8.88671875" style="83"/>
  </cols>
  <sheetData>
    <row r="1" spans="1:1" ht="18.75">
      <c r="A1" s="462" t="s">
        <v>369</v>
      </c>
    </row>
    <row r="2" spans="1:1" ht="15.75">
      <c r="A2" s="1"/>
    </row>
    <row r="3" spans="1:1" ht="57" customHeight="1">
      <c r="A3" s="463" t="s">
        <v>718</v>
      </c>
    </row>
    <row r="4" spans="1:1" ht="15.75">
      <c r="A4" s="464"/>
    </row>
    <row r="5" spans="1:1" ht="15.75">
      <c r="A5" s="1"/>
    </row>
    <row r="6" spans="1:1" ht="44.25" customHeight="1">
      <c r="A6" s="463" t="s">
        <v>719</v>
      </c>
    </row>
    <row r="7" spans="1:1" ht="15.75">
      <c r="A7" s="1"/>
    </row>
    <row r="8" spans="1:1" ht="15.75">
      <c r="A8" s="464"/>
    </row>
    <row r="9" spans="1:1" ht="46.5" customHeight="1">
      <c r="A9" s="463" t="s">
        <v>720</v>
      </c>
    </row>
    <row r="10" spans="1:1" ht="15.75">
      <c r="A10" s="1"/>
    </row>
    <row r="11" spans="1:1" ht="15.75">
      <c r="A11" s="464"/>
    </row>
    <row r="12" spans="1:1" ht="60" customHeight="1">
      <c r="A12" s="463" t="s">
        <v>721</v>
      </c>
    </row>
    <row r="13" spans="1:1" ht="15.75">
      <c r="A13" s="1"/>
    </row>
    <row r="14" spans="1:1" ht="15.75">
      <c r="A14" s="1"/>
    </row>
    <row r="15" spans="1:1" ht="61.5" customHeight="1">
      <c r="A15" s="463" t="s">
        <v>722</v>
      </c>
    </row>
    <row r="16" spans="1:1" ht="15.75">
      <c r="A16" s="1"/>
    </row>
    <row r="17" spans="1:1" ht="15.75">
      <c r="A17" s="1"/>
    </row>
    <row r="18" spans="1:1" ht="59.25" customHeight="1">
      <c r="A18" s="463" t="s">
        <v>723</v>
      </c>
    </row>
    <row r="19" spans="1:1" ht="15.75">
      <c r="A19" s="1"/>
    </row>
    <row r="20" spans="1:1" ht="15.75">
      <c r="A20" s="1"/>
    </row>
    <row r="21" spans="1:1" ht="61.5" customHeight="1">
      <c r="A21" s="463" t="s">
        <v>724</v>
      </c>
    </row>
    <row r="22" spans="1:1" ht="15.75">
      <c r="A22" s="464"/>
    </row>
    <row r="23" spans="1:1" ht="15.75">
      <c r="A23" s="464"/>
    </row>
    <row r="24" spans="1:1" ht="63" customHeight="1">
      <c r="A24" s="463" t="s">
        <v>725</v>
      </c>
    </row>
    <row r="25" spans="1:1" ht="15.75">
      <c r="A25" s="1"/>
    </row>
    <row r="26" spans="1:1" ht="15.75">
      <c r="A26" s="1"/>
    </row>
    <row r="27" spans="1:1" ht="52.5" customHeight="1">
      <c r="A27" s="465" t="s">
        <v>726</v>
      </c>
    </row>
    <row r="28" spans="1:1" ht="15.75">
      <c r="A28" s="1"/>
    </row>
    <row r="29" spans="1:1" ht="15.75">
      <c r="A29" s="1"/>
    </row>
    <row r="30" spans="1:1" ht="44.25" customHeight="1">
      <c r="A30" s="463" t="s">
        <v>727</v>
      </c>
    </row>
    <row r="31" spans="1:1" ht="15.75">
      <c r="A31" s="1"/>
    </row>
    <row r="32" spans="1:1" ht="15.75">
      <c r="A32" s="1"/>
    </row>
    <row r="33" spans="1:1" ht="42.75" customHeight="1">
      <c r="A33" s="463" t="s">
        <v>728</v>
      </c>
    </row>
    <row r="34" spans="1:1" ht="15.75">
      <c r="A34" s="464"/>
    </row>
    <row r="35" spans="1:1" ht="15.75">
      <c r="A35" s="464"/>
    </row>
    <row r="36" spans="1:1" ht="38.25" customHeight="1">
      <c r="A36" s="463" t="s">
        <v>729</v>
      </c>
    </row>
    <row r="37" spans="1:1" ht="15.75">
      <c r="A37" s="464"/>
    </row>
    <row r="38" spans="1:1" ht="15.75">
      <c r="A38" s="1"/>
    </row>
    <row r="39" spans="1:1" ht="75.75" customHeight="1">
      <c r="A39" s="463" t="s">
        <v>730</v>
      </c>
    </row>
    <row r="40" spans="1:1" ht="15.75">
      <c r="A40" s="1"/>
    </row>
    <row r="41" spans="1:1" ht="15.75">
      <c r="A41" s="1"/>
    </row>
    <row r="42" spans="1:1" ht="57.75" customHeight="1">
      <c r="A42" s="463" t="s">
        <v>731</v>
      </c>
    </row>
    <row r="43" spans="1:1" ht="15.75">
      <c r="A43" s="464"/>
    </row>
    <row r="44" spans="1:1" ht="15.75">
      <c r="A44" s="1"/>
    </row>
    <row r="45" spans="1:1" ht="57.75" customHeight="1">
      <c r="A45" s="463" t="s">
        <v>732</v>
      </c>
    </row>
    <row r="46" spans="1:1" ht="15.75">
      <c r="A46" s="1"/>
    </row>
    <row r="47" spans="1:1" ht="15.75">
      <c r="A47" s="1"/>
    </row>
    <row r="48" spans="1:1" ht="41.25" customHeight="1">
      <c r="A48" s="463" t="s">
        <v>733</v>
      </c>
    </row>
    <row r="49" spans="1:1" ht="15.75">
      <c r="A49" s="1"/>
    </row>
    <row r="50" spans="1:1" ht="15.75">
      <c r="A50" s="1"/>
    </row>
    <row r="51" spans="1:1" ht="75" customHeight="1">
      <c r="A51" s="463" t="s">
        <v>734</v>
      </c>
    </row>
    <row r="52" spans="1:1" ht="15.75">
      <c r="A52" s="464"/>
    </row>
    <row r="53" spans="1:1" ht="15.75">
      <c r="A53" s="464"/>
    </row>
    <row r="54" spans="1:1" ht="57.75" customHeight="1">
      <c r="A54" s="463" t="s">
        <v>735</v>
      </c>
    </row>
    <row r="55" spans="1:1" ht="15.75">
      <c r="A55" s="1"/>
    </row>
    <row r="56" spans="1:1" ht="15.75">
      <c r="A56" s="1"/>
    </row>
    <row r="57" spans="1:1" ht="44.25" customHeight="1">
      <c r="A57" s="463" t="s">
        <v>736</v>
      </c>
    </row>
    <row r="58" spans="1:1" ht="15.75">
      <c r="A58" s="1"/>
    </row>
    <row r="59" spans="1:1" ht="15.75">
      <c r="A59" s="1"/>
    </row>
    <row r="60" spans="1:1" ht="60" customHeight="1">
      <c r="A60" s="463" t="s">
        <v>737</v>
      </c>
    </row>
    <row r="61" spans="1:1" ht="15.75">
      <c r="A61" s="464"/>
    </row>
    <row r="62" spans="1:1" ht="15.75">
      <c r="A62" s="464"/>
    </row>
    <row r="63" spans="1:1" ht="57.75" customHeight="1">
      <c r="A63" s="463" t="s">
        <v>738</v>
      </c>
    </row>
    <row r="64" spans="1:1" ht="15.75">
      <c r="A64" s="1"/>
    </row>
    <row r="65" spans="1:1" ht="15.75">
      <c r="A65" s="1"/>
    </row>
    <row r="66" spans="1:1" ht="60" customHeight="1">
      <c r="A66" s="463" t="s">
        <v>739</v>
      </c>
    </row>
  </sheetData>
  <sheetProtection sheet="1" objects="1" scenarios="1"/>
  <pageMargins left="0.7" right="0.7" top="0.75" bottom="0.75" header="0.3" footer="0.3"/>
  <pageSetup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opLeftCell="A4" zoomScale="75" workbookViewId="0">
      <selection activeCell="B44" sqref="B44"/>
    </sheetView>
  </sheetViews>
  <sheetFormatPr defaultRowHeight="15.75"/>
  <cols>
    <col min="1" max="1" width="20.77734375" style="8" customWidth="1"/>
    <col min="2" max="2" width="15.77734375" style="8" customWidth="1"/>
    <col min="3" max="3" width="10.77734375" style="8" customWidth="1"/>
    <col min="4" max="4" width="15.77734375" style="8" customWidth="1"/>
    <col min="5" max="5" width="10.77734375" style="8" customWidth="1"/>
    <col min="6" max="6" width="15.77734375" style="8" customWidth="1"/>
    <col min="7" max="7" width="12.77734375" style="8" customWidth="1"/>
    <col min="8" max="8" width="10.77734375" style="8" customWidth="1"/>
    <col min="9" max="9" width="8.88671875" style="8" customWidth="1"/>
    <col min="10" max="10" width="12.44140625" style="8" customWidth="1"/>
    <col min="11" max="11" width="12.33203125" style="8" customWidth="1"/>
    <col min="12" max="12" width="10.5546875" style="8" customWidth="1"/>
    <col min="13" max="13" width="12.109375" style="8" customWidth="1"/>
    <col min="14" max="16384" width="8.88671875" style="8"/>
  </cols>
  <sheetData>
    <row r="1" spans="1:9">
      <c r="A1" s="86"/>
      <c r="B1" s="86"/>
      <c r="C1" s="86"/>
      <c r="D1" s="86"/>
      <c r="E1" s="86"/>
      <c r="F1" s="86"/>
      <c r="G1" s="86"/>
      <c r="H1" s="86">
        <f>inputPrYr!$C$5</f>
        <v>2014</v>
      </c>
    </row>
    <row r="2" spans="1:9">
      <c r="A2" s="752" t="s">
        <v>86</v>
      </c>
      <c r="B2" s="752"/>
      <c r="C2" s="752"/>
      <c r="D2" s="752"/>
      <c r="E2" s="752"/>
      <c r="F2" s="752"/>
      <c r="G2" s="752"/>
      <c r="H2" s="752"/>
      <c r="I2" s="299"/>
    </row>
    <row r="3" spans="1:9">
      <c r="A3" s="22"/>
      <c r="B3" s="22"/>
      <c r="C3" s="22"/>
      <c r="D3" s="22"/>
      <c r="E3" s="22"/>
      <c r="F3" s="22"/>
      <c r="G3" s="22"/>
      <c r="H3" s="22"/>
    </row>
    <row r="4" spans="1:9">
      <c r="A4" s="744" t="s">
        <v>43</v>
      </c>
      <c r="B4" s="744"/>
      <c r="C4" s="744"/>
      <c r="D4" s="744"/>
      <c r="E4" s="744"/>
      <c r="F4" s="744"/>
      <c r="G4" s="744"/>
      <c r="H4" s="744"/>
    </row>
    <row r="5" spans="1:9">
      <c r="A5" s="742" t="str">
        <f>inputPrYr!D2</f>
        <v>City of Grandview Plaza, Kansas</v>
      </c>
      <c r="B5" s="742"/>
      <c r="C5" s="742"/>
      <c r="D5" s="742"/>
      <c r="E5" s="742"/>
      <c r="F5" s="742"/>
      <c r="G5" s="742"/>
      <c r="H5" s="742"/>
    </row>
    <row r="6" spans="1:9">
      <c r="A6" s="789" t="str">
        <f>CONCATENATE("will meet on ",inputBudSum!B7," at ",inputBudSum!B9," at ",inputBudSum!B11," for the purpose of")</f>
        <v>will meet on 8/20/13 at 6:30pm at City Hall for the purpose of</v>
      </c>
      <c r="B6" s="789"/>
      <c r="C6" s="789"/>
      <c r="D6" s="789"/>
      <c r="E6" s="789"/>
      <c r="F6" s="789"/>
      <c r="G6" s="789"/>
      <c r="H6" s="789"/>
    </row>
    <row r="7" spans="1:9">
      <c r="A7" s="744" t="s">
        <v>609</v>
      </c>
      <c r="B7" s="744"/>
      <c r="C7" s="744"/>
      <c r="D7" s="744"/>
      <c r="E7" s="744"/>
      <c r="F7" s="744"/>
      <c r="G7" s="744"/>
      <c r="H7" s="744"/>
    </row>
    <row r="8" spans="1:9">
      <c r="A8" s="799" t="str">
        <f>CONCATENATE("Detailed budget information is available at ",inputBudSum!B14," and will be available at this hearing.")</f>
        <v>Detailed budget information is available at City Hall and will be available at this hearing.</v>
      </c>
      <c r="B8" s="799"/>
      <c r="C8" s="799"/>
      <c r="D8" s="799"/>
      <c r="E8" s="799"/>
      <c r="F8" s="799"/>
      <c r="G8" s="799"/>
      <c r="H8" s="799"/>
    </row>
    <row r="9" spans="1:9">
      <c r="A9" s="32" t="s">
        <v>87</v>
      </c>
      <c r="B9" s="33"/>
      <c r="C9" s="33"/>
      <c r="D9" s="33"/>
      <c r="E9" s="33"/>
      <c r="F9" s="33"/>
      <c r="G9" s="33"/>
      <c r="H9" s="33"/>
    </row>
    <row r="10" spans="1:9">
      <c r="A10" s="34" t="str">
        <f>CONCATENATE("Proposed Budget ",H1," Expenditures and Amount of  ",H1-1," Ad Valorem Tax establish the maximum limits of the ",H1," budget.")</f>
        <v>Proposed Budget 2014 Expenditures and Amount of  2013 Ad Valorem Tax establish the maximum limits of the 2014 budget.</v>
      </c>
      <c r="B10" s="33"/>
      <c r="C10" s="33"/>
      <c r="D10" s="33"/>
      <c r="E10" s="33"/>
      <c r="F10" s="33"/>
      <c r="G10" s="33"/>
      <c r="H10" s="33"/>
    </row>
    <row r="11" spans="1:9">
      <c r="A11" s="34" t="s">
        <v>150</v>
      </c>
      <c r="B11" s="33"/>
      <c r="C11" s="33"/>
      <c r="D11" s="33"/>
      <c r="E11" s="33"/>
      <c r="F11" s="33"/>
      <c r="G11" s="33"/>
      <c r="H11" s="33"/>
    </row>
    <row r="12" spans="1:9">
      <c r="A12" s="22"/>
      <c r="B12" s="257"/>
      <c r="C12" s="257"/>
      <c r="D12" s="257"/>
      <c r="E12" s="257"/>
      <c r="F12" s="257"/>
      <c r="G12" s="257"/>
      <c r="H12" s="257"/>
    </row>
    <row r="13" spans="1:9">
      <c r="A13" s="22"/>
      <c r="B13" s="300" t="str">
        <f>CONCATENATE("Prior Year Actual for ",H1-2,"")</f>
        <v>Prior Year Actual for 2012</v>
      </c>
      <c r="C13" s="122"/>
      <c r="D13" s="300" t="str">
        <f>CONCATENATE("Current Year Estimate for ",H1-1,"")</f>
        <v>Current Year Estimate for 2013</v>
      </c>
      <c r="E13" s="122"/>
      <c r="F13" s="120" t="str">
        <f>CONCATENATE("Proposed Budget for ",H1,"")</f>
        <v>Proposed Budget for 2014</v>
      </c>
      <c r="G13" s="121"/>
      <c r="H13" s="122"/>
    </row>
    <row r="14" spans="1:9" ht="21" customHeight="1">
      <c r="A14" s="22"/>
      <c r="B14" s="246"/>
      <c r="C14" s="125" t="s">
        <v>44</v>
      </c>
      <c r="D14" s="125"/>
      <c r="E14" s="125" t="s">
        <v>44</v>
      </c>
      <c r="F14" s="387" t="s">
        <v>265</v>
      </c>
      <c r="G14" s="125" t="str">
        <f>CONCATENATE("Amount of ",H1-1,"")</f>
        <v>Amount of 2013</v>
      </c>
      <c r="H14" s="125" t="s">
        <v>212</v>
      </c>
    </row>
    <row r="15" spans="1:9">
      <c r="A15" s="47" t="s">
        <v>45</v>
      </c>
      <c r="B15" s="129" t="s">
        <v>46</v>
      </c>
      <c r="C15" s="129" t="s">
        <v>47</v>
      </c>
      <c r="D15" s="129" t="s">
        <v>46</v>
      </c>
      <c r="E15" s="129" t="s">
        <v>47</v>
      </c>
      <c r="F15" s="388" t="s">
        <v>633</v>
      </c>
      <c r="G15" s="130" t="s">
        <v>25</v>
      </c>
      <c r="H15" s="129" t="s">
        <v>47</v>
      </c>
    </row>
    <row r="16" spans="1:9">
      <c r="A16" s="68" t="str">
        <f>inputPrYr!B17</f>
        <v>General</v>
      </c>
      <c r="B16" s="193">
        <f>IF(general!$C$108&lt;&gt;0,general!$C$108,"  ")</f>
        <v>909825</v>
      </c>
      <c r="C16" s="59">
        <f>IF(inputPrYr!D64&gt;0,inputPrYr!D64,"  ")</f>
        <v>16.414000000000001</v>
      </c>
      <c r="D16" s="193">
        <f>IF(general!$D$108&lt;&gt;0,general!$D$108,"  ")</f>
        <v>880620</v>
      </c>
      <c r="E16" s="59">
        <f>IF(inputOth!D21&gt;0,inputOth!D21,"  ")</f>
        <v>14.801</v>
      </c>
      <c r="F16" s="193">
        <f>IF(general!$E$108&lt;&gt;0,general!$E$108,"  ")</f>
        <v>1012550</v>
      </c>
      <c r="G16" s="193">
        <f>IF(general!$E$115&lt;&gt;0,general!$E$115,"  ")</f>
        <v>79441</v>
      </c>
      <c r="H16" s="59">
        <f>IF(general!E115&gt;0,ROUND(G16/$F$48*1000,3),"  ")</f>
        <v>10.722</v>
      </c>
    </row>
    <row r="17" spans="1:13">
      <c r="A17" s="68" t="str">
        <f>IF(inputPrYr!$B18&gt;"  ",(inputPrYr!$B18),"  ")</f>
        <v>Debt Service</v>
      </c>
      <c r="B17" s="193">
        <f>IF('DebtSvs-Library'!C33&lt;&gt;0,'DebtSvs-Library'!C33,"  ")</f>
        <v>40542</v>
      </c>
      <c r="C17" s="59">
        <f>IF(inputPrYr!D65&gt;0,inputPrYr!D65,"  ")</f>
        <v>0.88700000000000001</v>
      </c>
      <c r="D17" s="193">
        <f>IF('DebtSvs-Library'!D33&lt;&gt;0,'DebtSvs-Library'!D33,"  ")</f>
        <v>39418</v>
      </c>
      <c r="E17" s="59" t="str">
        <f>IF(inputOth!D22&gt;0,inputOth!D22,"  ")</f>
        <v xml:space="preserve">  </v>
      </c>
      <c r="F17" s="193">
        <f>IF('DebtSvs-Library'!E33&lt;&gt;0,'DebtSvs-Library'!E33,"  ")</f>
        <v>98418</v>
      </c>
      <c r="G17" s="193">
        <f>IF('DebtSvs-Library'!E40&lt;&gt;0,'DebtSvs-Library'!E40," ")</f>
        <v>29360</v>
      </c>
      <c r="H17" s="59">
        <f>IF('DebtSvs-Library'!E40&gt;0,ROUND(G17/$F$48*1000,3)," ")</f>
        <v>3.9630000000000001</v>
      </c>
    </row>
    <row r="18" spans="1:13">
      <c r="A18" s="68" t="str">
        <f>IF(inputPrYr!$B19&gt;"  ",(inputPrYr!$B19),"  ")</f>
        <v>Library</v>
      </c>
      <c r="B18" s="193" t="str">
        <f>IF('DebtSvs-Library'!C73&lt;&gt;0,'DebtSvs-Library'!C73,"  ")</f>
        <v xml:space="preserve">  </v>
      </c>
      <c r="C18" s="59" t="str">
        <f>IF(inputPrYr!D66&gt;0,inputPrYr!D66,"  ")</f>
        <v xml:space="preserve">  </v>
      </c>
      <c r="D18" s="193" t="str">
        <f>IF('DebtSvs-Library'!D73&lt;&gt;0,'DebtSvs-Library'!D73,"  ")</f>
        <v xml:space="preserve">  </v>
      </c>
      <c r="E18" s="59" t="str">
        <f>IF(inputOth!D23&gt;0,inputOth!D23,"  ")</f>
        <v xml:space="preserve">  </v>
      </c>
      <c r="F18" s="193" t="str">
        <f>IF('DebtSvs-Library'!E73&lt;&gt;0,'DebtSvs-Library'!E73,"  ")</f>
        <v xml:space="preserve">  </v>
      </c>
      <c r="G18" s="193" t="str">
        <f>IF('DebtSvs-Library'!E80&lt;&gt;0,'DebtSvs-Library'!E80," ")</f>
        <v xml:space="preserve"> </v>
      </c>
      <c r="H18" s="59" t="str">
        <f>IF('DebtSvs-Library'!E80&gt;0,ROUND(G18/$F$48*1000,3)," ")</f>
        <v xml:space="preserve"> </v>
      </c>
    </row>
    <row r="19" spans="1:13">
      <c r="A19" s="68" t="str">
        <f>IF(inputPrYr!$B21&gt;"  ",(inputPrYr!$B21),"  ")</f>
        <v>Street Lighting</v>
      </c>
      <c r="B19" s="193">
        <f>IF('levy page9'!$C$33&gt;0,'levy page9'!$C$33,"  ")</f>
        <v>19622</v>
      </c>
      <c r="C19" s="59">
        <f>IF(inputPrYr!D67&gt;0,inputPrYr!D67,"  ")</f>
        <v>2.7040000000000002</v>
      </c>
      <c r="D19" s="193">
        <f>IF('levy page9'!$D$33&gt;0,'levy page9'!$D$33,"  ")</f>
        <v>20000</v>
      </c>
      <c r="E19" s="59">
        <f>IF(inputOth!D24&gt;0,inputOth!D24,"  ")</f>
        <v>2.665</v>
      </c>
      <c r="F19" s="193">
        <f>IF('levy page9'!$E$33&gt;0,'levy page9'!$E$33,"  ")</f>
        <v>20000</v>
      </c>
      <c r="G19" s="193">
        <f>IF('levy page9'!$E$40&lt;&gt;0,'levy page9'!$E$40,"  ")</f>
        <v>18507</v>
      </c>
      <c r="H19" s="59">
        <f>IF('levy page9'!E40&lt;&gt;0,ROUND(G19/$F$48*1000,3),"  ")</f>
        <v>2.4980000000000002</v>
      </c>
    </row>
    <row r="20" spans="1:13">
      <c r="A20" s="68" t="str">
        <f>IF(inputPrYr!$B22&gt;"  ",(inputPrYr!$B22),"  ")</f>
        <v>Employee Benefits</v>
      </c>
      <c r="B20" s="193">
        <f>IF('levy page9'!$C$73&gt;0,'levy page9'!$C$73,"  ")</f>
        <v>359586</v>
      </c>
      <c r="C20" s="59">
        <f>IF(inputPrYr!D68&gt;0,inputPrYr!D68,"  ")</f>
        <v>26.596</v>
      </c>
      <c r="D20" s="193">
        <f>IF('levy page9'!$D$73&gt;0,'levy page9'!$D$73,"  ")</f>
        <v>362200</v>
      </c>
      <c r="E20" s="59">
        <f>IF(inputOth!D25&gt;0,inputOth!D25,"  ")</f>
        <v>30.646000000000001</v>
      </c>
      <c r="F20" s="193">
        <f>IF('levy page9'!$E$73&gt;0,'levy page9'!$E$73,"  ")</f>
        <v>405500</v>
      </c>
      <c r="G20" s="193">
        <f>IF('levy page9'!$E$80&lt;&gt;0,'levy page9'!$E$80,"  ")</f>
        <v>230653</v>
      </c>
      <c r="H20" s="59">
        <f>IF('levy page9'!E80&lt;&gt;0,ROUND(G20/$F$48*1000,3),"  ")</f>
        <v>31.132000000000001</v>
      </c>
    </row>
    <row r="21" spans="1:13">
      <c r="A21" s="68" t="str">
        <f>IF(inputPrYr!$B23&gt;"  ",(inputPrYr!$B23),"  ")</f>
        <v>Street Maintenance</v>
      </c>
      <c r="B21" s="193">
        <f>IF('levy page10'!$C$34&gt;0,'levy page10'!$C$34,"  ")</f>
        <v>90503</v>
      </c>
      <c r="C21" s="59">
        <f>IF(inputPrYr!D69&gt;0,inputPrYr!D69,"  ")</f>
        <v>2.8580000000000001</v>
      </c>
      <c r="D21" s="193">
        <f>IF('levy page10'!$D$34&gt;0,'levy page10'!$D$34,"  ")</f>
        <v>93200</v>
      </c>
      <c r="E21" s="59">
        <f>IF(inputOth!D26&gt;0,inputOth!D26,"  ")</f>
        <v>0.64200000000000002</v>
      </c>
      <c r="F21" s="193">
        <f>IF('levy page10'!$E$34&gt;0,'levy page10'!$E$34,"  ")</f>
        <v>176700</v>
      </c>
      <c r="G21" s="193" t="str">
        <f>IF('levy page10'!$E$41&lt;&gt;0,'levy page10'!$E$41,"  ")</f>
        <v xml:space="preserve">  </v>
      </c>
      <c r="H21" s="59" t="str">
        <f>IF('levy page10'!E41&lt;&gt;0,ROUND(G21/$F$48*1000,3),"  ")</f>
        <v xml:space="preserve">  </v>
      </c>
    </row>
    <row r="22" spans="1:13">
      <c r="A22" s="68" t="str">
        <f>IF(inputPrYr!$B24&gt;"  ",(inputPrYr!$B24),"  ")</f>
        <v xml:space="preserve">  </v>
      </c>
      <c r="B22" s="193" t="str">
        <f>IF('levy page10'!$C$74&gt;0,'levy page10'!$C$74,"  ")</f>
        <v xml:space="preserve">  </v>
      </c>
      <c r="C22" s="59" t="str">
        <f>IF(inputPrYr!D70&gt;0,inputPrYr!D70,"  ")</f>
        <v xml:space="preserve">  </v>
      </c>
      <c r="D22" s="193" t="str">
        <f>IF('levy page10'!$D$74&gt;0,'levy page10'!$D$74,"  ")</f>
        <v xml:space="preserve">  </v>
      </c>
      <c r="E22" s="59" t="str">
        <f>IF(inputOth!D27&gt;0,inputOth!D27,"  ")</f>
        <v xml:space="preserve">  </v>
      </c>
      <c r="F22" s="193" t="str">
        <f>IF('levy page10'!$E$74&gt;0,'levy page10'!$E$74,"  ")</f>
        <v xml:space="preserve">  </v>
      </c>
      <c r="G22" s="193" t="str">
        <f>IF('levy page10'!$E$81&lt;&gt;0,'levy page10'!$E$81,"  ")</f>
        <v xml:space="preserve">  </v>
      </c>
      <c r="H22" s="59" t="str">
        <f>IF('levy page10'!E81&lt;&gt;0,ROUND(G22/$F$48*1000,3),"  ")</f>
        <v xml:space="preserve">  </v>
      </c>
    </row>
    <row r="23" spans="1:13">
      <c r="A23" s="68"/>
      <c r="B23" s="193"/>
      <c r="C23" s="59"/>
      <c r="D23" s="193"/>
      <c r="E23" s="59"/>
      <c r="F23" s="193"/>
      <c r="G23" s="193"/>
      <c r="H23" s="59"/>
    </row>
    <row r="24" spans="1:13">
      <c r="A24" s="68"/>
      <c r="B24" s="193"/>
      <c r="C24" s="59"/>
      <c r="D24" s="193"/>
      <c r="E24" s="59"/>
      <c r="F24" s="193"/>
      <c r="G24" s="193"/>
      <c r="H24" s="59"/>
    </row>
    <row r="25" spans="1:13">
      <c r="A25" s="68"/>
      <c r="B25" s="193"/>
      <c r="C25" s="59"/>
      <c r="D25" s="193"/>
      <c r="E25" s="59"/>
      <c r="F25" s="193"/>
      <c r="G25" s="193"/>
      <c r="H25" s="59"/>
    </row>
    <row r="26" spans="1:13">
      <c r="A26" s="68"/>
      <c r="B26" s="193"/>
      <c r="C26" s="59"/>
      <c r="D26" s="193"/>
      <c r="E26" s="59"/>
      <c r="F26" s="193"/>
      <c r="G26" s="193"/>
      <c r="H26" s="59"/>
    </row>
    <row r="27" spans="1:13">
      <c r="A27" s="68"/>
      <c r="B27" s="193"/>
      <c r="C27" s="59"/>
      <c r="D27" s="193"/>
      <c r="E27" s="59"/>
      <c r="F27" s="193"/>
      <c r="G27" s="193"/>
      <c r="H27" s="59"/>
    </row>
    <row r="28" spans="1:13">
      <c r="A28" s="68"/>
      <c r="B28" s="193"/>
      <c r="C28" s="59"/>
      <c r="D28" s="193"/>
      <c r="E28" s="59"/>
      <c r="F28" s="193"/>
      <c r="G28" s="193"/>
      <c r="H28" s="59"/>
    </row>
    <row r="29" spans="1:13">
      <c r="A29" s="68" t="str">
        <f>IF(inputPrYr!$B34&gt;"  ",(inputPrYr!$B34),"  ")</f>
        <v>Special Highway</v>
      </c>
      <c r="B29" s="193" t="str">
        <f>IF('Sp Hiway'!$C$28&gt;0,'Sp Hiway'!$C$28,"  ")</f>
        <v xml:space="preserve">  </v>
      </c>
      <c r="C29" s="48"/>
      <c r="D29" s="193">
        <f>IF('Sp Hiway'!$D$28&gt;0,'Sp Hiway'!$D$28,"  ")</f>
        <v>40310</v>
      </c>
      <c r="E29" s="48"/>
      <c r="F29" s="193">
        <f>IF('Sp Hiway'!$E$28&gt;0,'Sp Hiway'!$E$28,"  ")</f>
        <v>41760</v>
      </c>
      <c r="G29" s="193"/>
      <c r="H29" s="48"/>
    </row>
    <row r="30" spans="1:13">
      <c r="A30" s="68" t="str">
        <f>IF(inputPrYr!$B35&gt;"  ",(inputPrYr!$B35),"  ")</f>
        <v>Parks and Recreation</v>
      </c>
      <c r="B30" s="193">
        <f>IF('Sp Hiway'!$C$59&gt;0,'Sp Hiway'!$C$59,"  ")</f>
        <v>2592</v>
      </c>
      <c r="C30" s="48"/>
      <c r="D30" s="193">
        <f>IF('Sp Hiway'!$D$59&gt;0,'Sp Hiway'!$D$59,"  ")</f>
        <v>4000</v>
      </c>
      <c r="E30" s="48"/>
      <c r="F30" s="193">
        <f>IF('Sp Hiway'!$E$59&gt;0,'Sp Hiway'!$E$59,"  ")</f>
        <v>3914</v>
      </c>
      <c r="G30" s="193"/>
      <c r="H30" s="48"/>
    </row>
    <row r="31" spans="1:13">
      <c r="A31" s="68" t="str">
        <f>IF(inputPrYr!$B36&gt;"  ",(inputPrYr!$B36),"  ")</f>
        <v>Water Utility</v>
      </c>
      <c r="B31" s="193">
        <f>IF(nolevypage15!$C$34&gt;0,nolevypage15!$C$34,"  ")</f>
        <v>339737</v>
      </c>
      <c r="C31" s="48"/>
      <c r="D31" s="193">
        <f>IF(nolevypage15!$D$34&gt;0,nolevypage15!$D$34,"  ")</f>
        <v>346300</v>
      </c>
      <c r="E31" s="48"/>
      <c r="F31" s="193">
        <f>IF(nolevypage15!$E$34&gt;0,nolevypage15!$E$34,"  ")</f>
        <v>355450</v>
      </c>
      <c r="G31" s="193"/>
      <c r="H31" s="48"/>
    </row>
    <row r="32" spans="1:13">
      <c r="A32" s="68" t="str">
        <f>IF(inputPrYr!$B37&gt;"  ",(inputPrYr!$B37),"  ")</f>
        <v>Sewer Utility</v>
      </c>
      <c r="B32" s="193">
        <f>IF(nolevypage15!$C$69&gt;0,nolevypage15!$C$69,"  ")</f>
        <v>178943</v>
      </c>
      <c r="C32" s="48"/>
      <c r="D32" s="193">
        <f>IF(nolevypage15!$D$69&gt;0,nolevypage15!$D$69,"  ")</f>
        <v>194960</v>
      </c>
      <c r="E32" s="48"/>
      <c r="F32" s="193">
        <f>IF(nolevypage15!$E$69&gt;0,nolevypage15!$E$69,"  ")</f>
        <v>271460</v>
      </c>
      <c r="G32" s="193"/>
      <c r="H32" s="48"/>
      <c r="J32" s="790" t="str">
        <f>CONCATENATE("Estimated Value Of One Mill For ",H1,"")</f>
        <v>Estimated Value Of One Mill For 2014</v>
      </c>
      <c r="K32" s="791"/>
      <c r="L32" s="791"/>
      <c r="M32" s="792"/>
    </row>
    <row r="33" spans="1:13">
      <c r="A33" s="68" t="str">
        <f>IF(inputPrYr!$B38&gt;"  ",(inputPrYr!$B38),"  ")</f>
        <v>Refuse Collection</v>
      </c>
      <c r="B33" s="193">
        <f>IF(nolevypage16!$C$28&gt;0,nolevypage16!$C$28,"  ")</f>
        <v>77399</v>
      </c>
      <c r="C33" s="48"/>
      <c r="D33" s="193">
        <f>IF(nolevypage16!$D$28&gt;0,nolevypage16!$D$28,"  ")</f>
        <v>90000</v>
      </c>
      <c r="E33" s="48"/>
      <c r="F33" s="193">
        <f>IF(nolevypage16!$E$28&gt;0,nolevypage16!$E$28,"  ")</f>
        <v>89000</v>
      </c>
      <c r="G33" s="193"/>
      <c r="H33" s="48"/>
      <c r="J33" s="492"/>
      <c r="K33" s="493"/>
      <c r="L33" s="493"/>
      <c r="M33" s="494"/>
    </row>
    <row r="34" spans="1:13">
      <c r="A34" s="68" t="str">
        <f>IF(inputPrYr!$B39&gt;"  ",(inputPrYr!$B39),"  ")</f>
        <v xml:space="preserve">  </v>
      </c>
      <c r="B34" s="193" t="str">
        <f>IF(nolevypage16!$C$59&gt;0,nolevypage16!$C$59,"  ")</f>
        <v xml:space="preserve">  </v>
      </c>
      <c r="C34" s="48"/>
      <c r="D34" s="193" t="str">
        <f>IF(nolevypage16!$D$59&gt;0,nolevypage16!$D$59,"  ")</f>
        <v xml:space="preserve">  </v>
      </c>
      <c r="E34" s="48"/>
      <c r="F34" s="193" t="str">
        <f>IF(nolevypage16!$E$59&gt;0,nolevypage16!$E$59,"  ")</f>
        <v xml:space="preserve">  </v>
      </c>
      <c r="G34" s="193"/>
      <c r="H34" s="48"/>
      <c r="J34" s="495" t="s">
        <v>747</v>
      </c>
      <c r="K34" s="496"/>
      <c r="L34" s="496"/>
      <c r="M34" s="497">
        <f>ROUND(F48/1000,0)</f>
        <v>7409</v>
      </c>
    </row>
    <row r="35" spans="1:13">
      <c r="A35" s="68"/>
      <c r="B35" s="193"/>
      <c r="C35" s="48"/>
      <c r="D35" s="193"/>
      <c r="E35" s="48"/>
      <c r="F35" s="193"/>
      <c r="G35" s="193"/>
      <c r="H35" s="48"/>
    </row>
    <row r="36" spans="1:13">
      <c r="A36" s="68"/>
      <c r="B36" s="193"/>
      <c r="C36" s="48"/>
      <c r="D36" s="193"/>
      <c r="E36" s="48"/>
      <c r="F36" s="193"/>
      <c r="G36" s="193"/>
      <c r="H36" s="48"/>
      <c r="J36" s="790"/>
      <c r="K36" s="791"/>
      <c r="L36" s="791"/>
      <c r="M36" s="792"/>
    </row>
    <row r="37" spans="1:13">
      <c r="A37" s="68"/>
      <c r="B37" s="193"/>
      <c r="C37" s="48"/>
      <c r="D37" s="193"/>
      <c r="E37" s="48"/>
      <c r="F37" s="193"/>
      <c r="G37" s="193"/>
      <c r="H37" s="48"/>
      <c r="J37" s="499"/>
      <c r="K37" s="493"/>
      <c r="L37" s="493"/>
      <c r="M37" s="500"/>
    </row>
    <row r="38" spans="1:13">
      <c r="A38" s="68"/>
      <c r="B38" s="193"/>
      <c r="C38" s="48"/>
      <c r="D38" s="193"/>
      <c r="E38" s="48"/>
      <c r="F38" s="193"/>
      <c r="G38" s="193"/>
      <c r="H38" s="48"/>
      <c r="J38" s="499"/>
      <c r="K38" s="493"/>
      <c r="L38" s="493"/>
      <c r="M38" s="501"/>
    </row>
    <row r="39" spans="1:13">
      <c r="A39" s="68"/>
      <c r="B39" s="193"/>
      <c r="C39" s="48"/>
      <c r="D39" s="193"/>
      <c r="E39" s="48"/>
      <c r="F39" s="193"/>
      <c r="G39" s="193"/>
      <c r="H39" s="48"/>
      <c r="J39" s="502"/>
      <c r="K39" s="503"/>
      <c r="L39" s="503"/>
      <c r="M39" s="500"/>
    </row>
    <row r="40" spans="1:13">
      <c r="A40" s="68"/>
      <c r="B40" s="193"/>
      <c r="C40" s="48"/>
      <c r="D40" s="193"/>
      <c r="E40" s="48"/>
      <c r="F40" s="193"/>
      <c r="G40" s="193"/>
      <c r="H40" s="48"/>
      <c r="J40" s="502"/>
      <c r="K40" s="503"/>
      <c r="L40" s="503"/>
      <c r="M40" s="543"/>
    </row>
    <row r="41" spans="1:13">
      <c r="A41" s="68" t="str">
        <f>IF(inputPrYr!$B51&gt;" ",(NonBudA!$A3),"  ")</f>
        <v>Non-Budgeted Funds-A</v>
      </c>
      <c r="B41" s="193">
        <f>IF(NonBudA!$K$28&gt;0,NonBudA!$K$28,"  ")</f>
        <v>56058</v>
      </c>
      <c r="C41" s="48"/>
      <c r="D41" s="193"/>
      <c r="E41" s="48"/>
      <c r="F41" s="193"/>
      <c r="G41" s="193"/>
      <c r="H41" s="48"/>
      <c r="J41" s="544" t="str">
        <f>IF(M41&lt;0,"Reduced By:","")</f>
        <v>Reduced By:</v>
      </c>
      <c r="K41" s="545"/>
      <c r="L41" s="545"/>
      <c r="M41" s="546">
        <f>IF(M47&gt;0,M47*-1,0)</f>
        <v>-357961</v>
      </c>
    </row>
    <row r="42" spans="1:13">
      <c r="A42" s="68" t="str">
        <f>IF(inputPrYr!$B57&gt;" ",(NonBudB!$A3),"  ")</f>
        <v>Non-Budgeted Funds-B</v>
      </c>
      <c r="B42" s="411" t="str">
        <f>IF(NonBudB!$K$28&gt;0,NonBudB!$K$28,"  ")</f>
        <v xml:space="preserve">  </v>
      </c>
      <c r="C42" s="133"/>
      <c r="D42" s="411"/>
      <c r="E42" s="133"/>
      <c r="F42" s="411"/>
      <c r="G42" s="411"/>
      <c r="H42" s="133"/>
      <c r="J42" s="506"/>
      <c r="K42" s="506"/>
      <c r="L42" s="506"/>
      <c r="M42" s="506"/>
    </row>
    <row r="43" spans="1:13">
      <c r="A43" s="124" t="s">
        <v>755</v>
      </c>
      <c r="B43" s="377">
        <f>SUM(B16:B42)</f>
        <v>2074807</v>
      </c>
      <c r="C43" s="381">
        <f>SUM(C16:C28)</f>
        <v>49.458999999999996</v>
      </c>
      <c r="D43" s="377">
        <f>SUM(D16:D42)</f>
        <v>2071008</v>
      </c>
      <c r="E43" s="381">
        <f>SUM(E16:E28)</f>
        <v>48.754000000000005</v>
      </c>
      <c r="F43" s="377">
        <f>SUM(F16:F42)</f>
        <v>2474752</v>
      </c>
      <c r="G43" s="377">
        <f>SUM(G16:G42)</f>
        <v>357961</v>
      </c>
      <c r="H43" s="404">
        <f>SUM(H16:H28)</f>
        <v>48.314999999999998</v>
      </c>
      <c r="J43" s="790" t="str">
        <f>CONCATENATE("Impact On Keeping The Same Mill Rate As For ",H1-1,"")</f>
        <v>Impact On Keeping The Same Mill Rate As For 2013</v>
      </c>
      <c r="K43" s="795"/>
      <c r="L43" s="795"/>
      <c r="M43" s="796"/>
    </row>
    <row r="44" spans="1:13">
      <c r="A44" s="29" t="s">
        <v>48</v>
      </c>
      <c r="B44" s="410">
        <f>transfers!C28</f>
        <v>56000</v>
      </c>
      <c r="C44" s="515"/>
      <c r="D44" s="410">
        <f>transfers!D28</f>
        <v>96790</v>
      </c>
      <c r="E44" s="515"/>
      <c r="F44" s="410">
        <f>transfers!E28</f>
        <v>97100</v>
      </c>
      <c r="G44" s="58"/>
      <c r="H44" s="52"/>
      <c r="I44" s="490"/>
      <c r="J44" s="499"/>
      <c r="K44" s="493"/>
      <c r="L44" s="493"/>
      <c r="M44" s="500"/>
    </row>
    <row r="45" spans="1:13" ht="16.5" thickBot="1">
      <c r="A45" s="29" t="s">
        <v>49</v>
      </c>
      <c r="B45" s="378">
        <f>B43-B44</f>
        <v>2018807</v>
      </c>
      <c r="C45" s="22"/>
      <c r="D45" s="378">
        <f>D43-D44</f>
        <v>1974218</v>
      </c>
      <c r="E45" s="22"/>
      <c r="F45" s="378">
        <f>F43-F44</f>
        <v>2377652</v>
      </c>
      <c r="G45" s="22"/>
      <c r="H45" s="22"/>
      <c r="J45" s="499" t="str">
        <f>CONCATENATE("",H1," Ad Valorem Tax Revenue:")</f>
        <v>2014 Ad Valorem Tax Revenue:</v>
      </c>
      <c r="K45" s="493"/>
      <c r="L45" s="493"/>
      <c r="M45" s="494">
        <f>G43</f>
        <v>357961</v>
      </c>
    </row>
    <row r="46" spans="1:13" ht="16.5" thickTop="1">
      <c r="A46" s="29" t="s">
        <v>50</v>
      </c>
      <c r="B46" s="410">
        <f>inputPrYr!E79</f>
        <v>307267</v>
      </c>
      <c r="C46" s="151"/>
      <c r="D46" s="410">
        <f>inputPrYr!E31</f>
        <v>387445</v>
      </c>
      <c r="E46" s="151"/>
      <c r="F46" s="301" t="s">
        <v>13</v>
      </c>
      <c r="G46" s="22"/>
      <c r="H46" s="22"/>
      <c r="J46" s="499" t="str">
        <f>CONCATENATE("",H1-1," Ad Valorem Tax Revenue:")</f>
        <v>2013 Ad Valorem Tax Revenue:</v>
      </c>
      <c r="K46" s="493"/>
      <c r="L46" s="493"/>
      <c r="M46" s="507">
        <f>ROUND(F48*M38/1000,0)</f>
        <v>0</v>
      </c>
    </row>
    <row r="47" spans="1:13">
      <c r="A47" s="29" t="s">
        <v>51</v>
      </c>
      <c r="B47" s="411"/>
      <c r="C47" s="22"/>
      <c r="D47" s="411"/>
      <c r="E47" s="169"/>
      <c r="F47" s="133"/>
      <c r="G47" s="22"/>
      <c r="H47" s="22"/>
      <c r="J47" s="504" t="s">
        <v>748</v>
      </c>
      <c r="K47" s="505"/>
      <c r="L47" s="505"/>
      <c r="M47" s="497">
        <f>SUM(M45-M46)</f>
        <v>357961</v>
      </c>
    </row>
    <row r="48" spans="1:13">
      <c r="A48" s="29" t="s">
        <v>52</v>
      </c>
      <c r="B48" s="410">
        <f>inputPrYr!E80</f>
        <v>6212626</v>
      </c>
      <c r="C48" s="60"/>
      <c r="D48" s="410">
        <f>inputOth!E36</f>
        <v>7889034</v>
      </c>
      <c r="E48" s="60"/>
      <c r="F48" s="410">
        <f>inputOth!E7</f>
        <v>7408980</v>
      </c>
      <c r="G48" s="22"/>
      <c r="H48" s="22"/>
      <c r="J48" s="498"/>
      <c r="K48" s="498"/>
      <c r="L48" s="498"/>
      <c r="M48" s="506"/>
    </row>
    <row r="49" spans="1:13">
      <c r="A49" s="29" t="s">
        <v>53</v>
      </c>
      <c r="B49" s="22"/>
      <c r="C49" s="22"/>
      <c r="D49" s="22"/>
      <c r="E49" s="22"/>
      <c r="F49" s="22"/>
      <c r="G49" s="22"/>
      <c r="H49" s="22"/>
      <c r="J49" s="790" t="s">
        <v>749</v>
      </c>
      <c r="K49" s="793"/>
      <c r="L49" s="793"/>
      <c r="M49" s="794"/>
    </row>
    <row r="50" spans="1:13">
      <c r="A50" s="29" t="s">
        <v>54</v>
      </c>
      <c r="B50" s="302">
        <f>$H$1-3</f>
        <v>2011</v>
      </c>
      <c r="C50" s="22"/>
      <c r="D50" s="302">
        <f>$H$1-2</f>
        <v>2012</v>
      </c>
      <c r="E50" s="22"/>
      <c r="F50" s="302">
        <f>$H$1-1</f>
        <v>2013</v>
      </c>
      <c r="G50" s="22"/>
      <c r="H50" s="22"/>
      <c r="J50" s="499"/>
      <c r="K50" s="493"/>
      <c r="L50" s="493"/>
      <c r="M50" s="500"/>
    </row>
    <row r="51" spans="1:13">
      <c r="A51" s="29" t="s">
        <v>55</v>
      </c>
      <c r="B51" s="183">
        <f>inputPrYr!D83</f>
        <v>445000</v>
      </c>
      <c r="C51" s="22"/>
      <c r="D51" s="183">
        <f>inputPrYr!E83</f>
        <v>420000</v>
      </c>
      <c r="E51" s="22"/>
      <c r="F51" s="183">
        <f>debt!G20</f>
        <v>395000</v>
      </c>
      <c r="G51" s="22"/>
      <c r="H51" s="22"/>
      <c r="J51" s="499" t="str">
        <f>CONCATENATE("Current ",H1," Estimated Mill Rate:")</f>
        <v>Current 2014 Estimated Mill Rate:</v>
      </c>
      <c r="K51" s="493"/>
      <c r="L51" s="493"/>
      <c r="M51" s="501">
        <f>H43</f>
        <v>48.314999999999998</v>
      </c>
    </row>
    <row r="52" spans="1:13">
      <c r="A52" s="29" t="s">
        <v>56</v>
      </c>
      <c r="B52" s="183">
        <f>inputPrYr!D84</f>
        <v>0</v>
      </c>
      <c r="C52" s="22"/>
      <c r="D52" s="183">
        <f>inputPrYr!E84</f>
        <v>0</v>
      </c>
      <c r="E52" s="22"/>
      <c r="F52" s="183">
        <f>debt!G32</f>
        <v>0</v>
      </c>
      <c r="G52" s="22"/>
      <c r="H52" s="22"/>
      <c r="J52" s="499" t="str">
        <f>CONCATENATE("Desired ",H1," Mill Rate:")</f>
        <v>Desired 2014 Mill Rate:</v>
      </c>
      <c r="K52" s="493"/>
      <c r="L52" s="493"/>
      <c r="M52" s="491">
        <v>0</v>
      </c>
    </row>
    <row r="53" spans="1:13">
      <c r="A53" s="22" t="s">
        <v>74</v>
      </c>
      <c r="B53" s="183">
        <f>inputPrYr!D85</f>
        <v>90449</v>
      </c>
      <c r="C53" s="22"/>
      <c r="D53" s="183">
        <f>inputPrYr!E85</f>
        <v>83295</v>
      </c>
      <c r="E53" s="22"/>
      <c r="F53" s="183">
        <f>debt!G42</f>
        <v>75900</v>
      </c>
      <c r="G53" s="22"/>
      <c r="H53" s="22"/>
      <c r="J53" s="499" t="s">
        <v>750</v>
      </c>
      <c r="K53" s="493"/>
      <c r="L53" s="493"/>
      <c r="M53" s="507">
        <f>ROUND(F48*M52/1000,0)</f>
        <v>0</v>
      </c>
    </row>
    <row r="54" spans="1:13">
      <c r="A54" s="29" t="s">
        <v>151</v>
      </c>
      <c r="B54" s="183">
        <f>inputPrYr!D86</f>
        <v>519941</v>
      </c>
      <c r="C54" s="22"/>
      <c r="D54" s="183">
        <f>inputPrYr!E86</f>
        <v>435381</v>
      </c>
      <c r="E54" s="22"/>
      <c r="F54" s="183">
        <f>lpform!G28</f>
        <v>425446</v>
      </c>
      <c r="G54" s="22"/>
      <c r="H54" s="22"/>
      <c r="J54" s="504" t="str">
        <f>CONCATENATE("",H1," Tax Levy Fund Exp. Changed By:")</f>
        <v>2014 Tax Levy Fund Exp. Changed By:</v>
      </c>
      <c r="K54" s="505"/>
      <c r="L54" s="505"/>
      <c r="M54" s="497">
        <f>IF(M52=0,0,(M53-G43))</f>
        <v>0</v>
      </c>
    </row>
    <row r="55" spans="1:13" ht="16.5" thickBot="1">
      <c r="A55" s="29" t="s">
        <v>57</v>
      </c>
      <c r="B55" s="508">
        <f>SUM(B51:B54)</f>
        <v>1055390</v>
      </c>
      <c r="C55" s="22"/>
      <c r="D55" s="508">
        <f>SUM(D51:D54)</f>
        <v>938676</v>
      </c>
      <c r="E55" s="22"/>
      <c r="F55" s="508">
        <f>SUM(F51:F54)</f>
        <v>896346</v>
      </c>
      <c r="G55" s="22"/>
      <c r="H55" s="22"/>
    </row>
    <row r="56" spans="1:13" ht="16.5" thickTop="1">
      <c r="A56" s="29" t="s">
        <v>58</v>
      </c>
      <c r="B56" s="22"/>
      <c r="C56" s="22"/>
      <c r="D56" s="22"/>
      <c r="E56" s="22"/>
      <c r="F56" s="22"/>
      <c r="G56" s="22"/>
      <c r="H56" s="22"/>
    </row>
    <row r="57" spans="1:13">
      <c r="A57" s="22"/>
      <c r="B57" s="22"/>
      <c r="C57" s="22"/>
      <c r="D57" s="22"/>
      <c r="E57" s="22"/>
      <c r="F57" s="22"/>
      <c r="G57" s="22"/>
      <c r="H57" s="22"/>
    </row>
    <row r="58" spans="1:13">
      <c r="A58" s="797" t="str">
        <f>inputBudSum!B3</f>
        <v>Shirley Bowers</v>
      </c>
      <c r="B58" s="798"/>
      <c r="C58" s="22"/>
      <c r="D58" s="22"/>
      <c r="E58" s="22"/>
      <c r="F58" s="22"/>
      <c r="G58" s="22"/>
      <c r="H58" s="22"/>
    </row>
    <row r="59" spans="1:13">
      <c r="A59" s="147" t="s">
        <v>211</v>
      </c>
      <c r="B59" s="645" t="str">
        <f>inputBudSum!B5</f>
        <v>City Clerk</v>
      </c>
      <c r="C59" s="385"/>
      <c r="D59" s="22"/>
      <c r="E59" s="22"/>
      <c r="F59" s="22"/>
      <c r="G59" s="22"/>
      <c r="H59" s="22"/>
    </row>
    <row r="60" spans="1:13">
      <c r="A60" s="22"/>
      <c r="B60" s="22"/>
      <c r="C60" s="22"/>
      <c r="D60" s="22"/>
      <c r="E60" s="22"/>
      <c r="F60" s="22"/>
      <c r="G60" s="22"/>
      <c r="H60" s="22"/>
    </row>
    <row r="61" spans="1:13">
      <c r="A61" s="22"/>
      <c r="B61" s="22"/>
      <c r="C61" s="119" t="s">
        <v>35</v>
      </c>
      <c r="D61" s="249">
        <v>16</v>
      </c>
      <c r="E61" s="22"/>
      <c r="F61" s="22"/>
      <c r="G61" s="22"/>
      <c r="H61" s="22"/>
    </row>
  </sheetData>
  <mergeCells count="11">
    <mergeCell ref="A2:H2"/>
    <mergeCell ref="A5:H5"/>
    <mergeCell ref="A7:H7"/>
    <mergeCell ref="A8:H8"/>
    <mergeCell ref="A4:H4"/>
    <mergeCell ref="A6:H6"/>
    <mergeCell ref="J32:M32"/>
    <mergeCell ref="J36:M36"/>
    <mergeCell ref="J49:M49"/>
    <mergeCell ref="J43:M43"/>
    <mergeCell ref="A58:B58"/>
  </mergeCells>
  <phoneticPr fontId="0" type="noConversion"/>
  <pageMargins left="0.5" right="0.5" top="1" bottom="0.5" header="0.5" footer="0.5"/>
  <pageSetup scale="70" orientation="portrait" blackAndWhite="1" horizontalDpi="120" verticalDpi="144" r:id="rId1"/>
  <headerFooter alignWithMargins="0">
    <oddHeader xml:space="preserve">&amp;RState of Kansas
City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selection activeCell="A33" sqref="A33"/>
    </sheetView>
  </sheetViews>
  <sheetFormatPr defaultRowHeight="15"/>
  <cols>
    <col min="1" max="1" width="10.77734375" style="83" customWidth="1"/>
    <col min="2" max="2" width="15.5546875" style="83" customWidth="1"/>
    <col min="3" max="4" width="12.77734375" style="83" customWidth="1"/>
    <col min="5" max="5" width="11.77734375" style="83" customWidth="1"/>
    <col min="6" max="16384" width="8.88671875" style="83"/>
  </cols>
  <sheetData>
    <row r="1" spans="1:6" ht="15.75">
      <c r="A1" s="151" t="str">
        <f>inputPrYr!D2</f>
        <v>City of Grandview Plaza, Kansas</v>
      </c>
      <c r="B1" s="22"/>
      <c r="C1" s="22"/>
      <c r="D1" s="22"/>
      <c r="E1" s="22"/>
      <c r="F1" s="22">
        <f>inputPrYr!C5</f>
        <v>2014</v>
      </c>
    </row>
    <row r="2" spans="1:6" ht="15.75">
      <c r="A2" s="22"/>
      <c r="B2" s="22"/>
      <c r="C2" s="22"/>
      <c r="D2" s="22"/>
      <c r="E2" s="22"/>
      <c r="F2" s="22"/>
    </row>
    <row r="3" spans="1:6" ht="15.75">
      <c r="A3" s="22"/>
      <c r="B3" s="753" t="str">
        <f>CONCATENATE("",F1," Neighborhood Revitalization Rebate")</f>
        <v>2014 Neighborhood Revitalization Rebate</v>
      </c>
      <c r="C3" s="801"/>
      <c r="D3" s="801"/>
      <c r="E3" s="801"/>
      <c r="F3" s="22"/>
    </row>
    <row r="4" spans="1:6" ht="15.75">
      <c r="A4" s="22"/>
      <c r="B4" s="22"/>
      <c r="C4" s="22"/>
      <c r="D4" s="22"/>
      <c r="E4" s="22"/>
      <c r="F4" s="78"/>
    </row>
    <row r="5" spans="1:6" ht="51.75" customHeight="1">
      <c r="A5" s="22"/>
      <c r="B5" s="304" t="str">
        <f>CONCATENATE("Budgeted Funds          for ",F1,"")</f>
        <v>Budgeted Funds          for 2014</v>
      </c>
      <c r="C5" s="304" t="str">
        <f>CONCATENATE("",F1-1," Ad Valorem before Rebate**")</f>
        <v>2013 Ad Valorem before Rebate**</v>
      </c>
      <c r="D5" s="305" t="str">
        <f>CONCATENATE("",F1-1," Mil Rate before Rebate")</f>
        <v>2013 Mil Rate before Rebate</v>
      </c>
      <c r="E5" s="306" t="str">
        <f>CONCATENATE("Estimate ",F1," NR Rebate")</f>
        <v>Estimate 2014 NR Rebate</v>
      </c>
      <c r="F5" s="78"/>
    </row>
    <row r="6" spans="1:6" ht="18" customHeight="1">
      <c r="A6" s="22"/>
      <c r="B6" s="47" t="s">
        <v>331</v>
      </c>
      <c r="C6" s="307"/>
      <c r="D6" s="308" t="str">
        <f>IF(C6&gt;0,C6/$D$24,"")</f>
        <v/>
      </c>
      <c r="E6" s="183" t="str">
        <f t="shared" ref="E6:E17" si="0">IF(C6&gt;0,ROUND(D6*$D$28,0),"")</f>
        <v/>
      </c>
      <c r="F6" s="78"/>
    </row>
    <row r="7" spans="1:6" ht="15.75">
      <c r="A7" s="22"/>
      <c r="B7" s="47" t="str">
        <f>inputPrYr!B18</f>
        <v>Debt Service</v>
      </c>
      <c r="C7" s="307"/>
      <c r="D7" s="308" t="str">
        <f t="shared" ref="D7:D17" si="1">IF(C7&gt;0,C7/$D$24,"")</f>
        <v/>
      </c>
      <c r="E7" s="183" t="str">
        <f t="shared" si="0"/>
        <v/>
      </c>
      <c r="F7" s="78"/>
    </row>
    <row r="8" spans="1:6" ht="15.75">
      <c r="A8" s="22"/>
      <c r="B8" s="68" t="str">
        <f>IF((inputPrYr!$B19&gt;"  "),(inputPrYr!$B19),"  ")</f>
        <v>Library</v>
      </c>
      <c r="C8" s="307"/>
      <c r="D8" s="308" t="str">
        <f t="shared" si="1"/>
        <v/>
      </c>
      <c r="E8" s="183" t="str">
        <f t="shared" si="0"/>
        <v/>
      </c>
      <c r="F8" s="78"/>
    </row>
    <row r="9" spans="1:6" ht="15.75">
      <c r="A9" s="22"/>
      <c r="B9" s="68" t="str">
        <f>IF((inputPrYr!$B21&gt;"  "),(inputPrYr!$B21),"  ")</f>
        <v>Street Lighting</v>
      </c>
      <c r="C9" s="307"/>
      <c r="D9" s="308" t="str">
        <f t="shared" si="1"/>
        <v/>
      </c>
      <c r="E9" s="183" t="str">
        <f t="shared" si="0"/>
        <v/>
      </c>
      <c r="F9" s="78"/>
    </row>
    <row r="10" spans="1:6" ht="15.75">
      <c r="A10" s="22"/>
      <c r="B10" s="68" t="str">
        <f>IF((inputPrYr!$B22&gt;"  "),(inputPrYr!$B22),"  ")</f>
        <v>Employee Benefits</v>
      </c>
      <c r="C10" s="307"/>
      <c r="D10" s="308" t="str">
        <f t="shared" si="1"/>
        <v/>
      </c>
      <c r="E10" s="183" t="str">
        <f t="shared" si="0"/>
        <v/>
      </c>
      <c r="F10" s="78"/>
    </row>
    <row r="11" spans="1:6" ht="15.75">
      <c r="A11" s="22"/>
      <c r="B11" s="68" t="str">
        <f>IF((inputPrYr!$B23&gt;"  "),(inputPrYr!$B23),"  ")</f>
        <v>Street Maintenance</v>
      </c>
      <c r="C11" s="307"/>
      <c r="D11" s="308" t="str">
        <f t="shared" si="1"/>
        <v/>
      </c>
      <c r="E11" s="183" t="str">
        <f t="shared" si="0"/>
        <v/>
      </c>
      <c r="F11" s="78"/>
    </row>
    <row r="12" spans="1:6" ht="15.75">
      <c r="A12" s="22"/>
      <c r="B12" s="68" t="str">
        <f>IF((inputPrYr!$B24&gt;"  "),(inputPrYr!$B24),"  ")</f>
        <v xml:space="preserve">  </v>
      </c>
      <c r="C12" s="309"/>
      <c r="D12" s="308" t="str">
        <f t="shared" si="1"/>
        <v/>
      </c>
      <c r="E12" s="183" t="str">
        <f t="shared" si="0"/>
        <v/>
      </c>
      <c r="F12" s="78"/>
    </row>
    <row r="13" spans="1:6" ht="15.75">
      <c r="A13" s="22"/>
      <c r="B13" s="68" t="str">
        <f>IF((inputPrYr!$B25&gt;"  "),(inputPrYr!$B25),"  ")</f>
        <v xml:space="preserve">  </v>
      </c>
      <c r="C13" s="309"/>
      <c r="D13" s="308" t="str">
        <f t="shared" si="1"/>
        <v/>
      </c>
      <c r="E13" s="183" t="str">
        <f t="shared" si="0"/>
        <v/>
      </c>
      <c r="F13" s="78"/>
    </row>
    <row r="14" spans="1:6" ht="15.75">
      <c r="A14" s="22"/>
      <c r="B14" s="68" t="str">
        <f>IF((inputPrYr!$B26&gt;"  "),(inputPrYr!$B26),"  ")</f>
        <v xml:space="preserve">  </v>
      </c>
      <c r="C14" s="309"/>
      <c r="D14" s="308" t="str">
        <f t="shared" si="1"/>
        <v/>
      </c>
      <c r="E14" s="183" t="str">
        <f t="shared" si="0"/>
        <v/>
      </c>
      <c r="F14" s="78"/>
    </row>
    <row r="15" spans="1:6" ht="15.75">
      <c r="A15" s="22"/>
      <c r="B15" s="68" t="str">
        <f>IF((inputPrYr!$B27&gt;"  "),(inputPrYr!$B27),"  ")</f>
        <v xml:space="preserve">  </v>
      </c>
      <c r="C15" s="309"/>
      <c r="D15" s="308" t="str">
        <f t="shared" si="1"/>
        <v/>
      </c>
      <c r="E15" s="183" t="str">
        <f t="shared" si="0"/>
        <v/>
      </c>
      <c r="F15" s="78"/>
    </row>
    <row r="16" spans="1:6" ht="15.75">
      <c r="A16" s="22"/>
      <c r="B16" s="68" t="str">
        <f>IF((inputPrYr!$B28&gt;"  "),(inputPrYr!$B28),"  ")</f>
        <v xml:space="preserve">  </v>
      </c>
      <c r="C16" s="309"/>
      <c r="D16" s="308" t="str">
        <f t="shared" si="1"/>
        <v/>
      </c>
      <c r="E16" s="183" t="str">
        <f t="shared" si="0"/>
        <v/>
      </c>
      <c r="F16" s="78"/>
    </row>
    <row r="17" spans="1:6" ht="15.75">
      <c r="A17" s="22"/>
      <c r="B17" s="68" t="str">
        <f>IF((inputPrYr!$B29&gt;"  "),(inputPrYr!$B29),"  ")</f>
        <v xml:space="preserve">  </v>
      </c>
      <c r="C17" s="309"/>
      <c r="D17" s="308" t="str">
        <f t="shared" si="1"/>
        <v/>
      </c>
      <c r="E17" s="183" t="str">
        <f t="shared" si="0"/>
        <v/>
      </c>
      <c r="F17" s="78"/>
    </row>
    <row r="18" spans="1:6" ht="15.75">
      <c r="A18" s="22"/>
      <c r="B18" s="68" t="str">
        <f>IF((inputPrYr!$B30&gt;"  "),(inputPrYr!$B30),"  ")</f>
        <v xml:space="preserve">  </v>
      </c>
      <c r="C18" s="309"/>
      <c r="D18" s="308" t="str">
        <f>IF(C18&gt;0,C18/$D$24,"")</f>
        <v/>
      </c>
      <c r="E18" s="183" t="str">
        <f>IF(C18&gt;0,ROUND(D18*$D$28,0),"")</f>
        <v/>
      </c>
      <c r="F18" s="78"/>
    </row>
    <row r="19" spans="1:6" ht="17.25" customHeight="1" thickBot="1">
      <c r="A19" s="22"/>
      <c r="B19" s="48" t="s">
        <v>19</v>
      </c>
      <c r="C19" s="310">
        <f>SUM(C6:C18)</f>
        <v>0</v>
      </c>
      <c r="D19" s="311">
        <f>SUM(D6:D18)</f>
        <v>0</v>
      </c>
      <c r="E19" s="310">
        <f>SUM(E6:E18)</f>
        <v>0</v>
      </c>
      <c r="F19" s="78"/>
    </row>
    <row r="20" spans="1:6" ht="16.5" thickTop="1">
      <c r="A20" s="22"/>
      <c r="B20" s="22"/>
      <c r="C20" s="22"/>
      <c r="D20" s="22"/>
      <c r="E20" s="22"/>
      <c r="F20" s="78"/>
    </row>
    <row r="21" spans="1:6" ht="15.75">
      <c r="A21" s="22"/>
      <c r="B21" s="22"/>
      <c r="C21" s="22"/>
      <c r="D21" s="22"/>
      <c r="E21" s="22"/>
      <c r="F21" s="78"/>
    </row>
    <row r="22" spans="1:6" ht="18.75" customHeight="1">
      <c r="A22" s="802" t="str">
        <f>CONCATENATE("",F1-1," July 1 Valuation:")</f>
        <v>2013 July 1 Valuation:</v>
      </c>
      <c r="B22" s="769"/>
      <c r="C22" s="802"/>
      <c r="D22" s="303">
        <f>inputOth!E7</f>
        <v>7408980</v>
      </c>
      <c r="E22" s="22"/>
      <c r="F22" s="78"/>
    </row>
    <row r="23" spans="1:6" ht="15.75">
      <c r="A23" s="22"/>
      <c r="B23" s="22"/>
      <c r="C23" s="22"/>
      <c r="D23" s="22"/>
      <c r="E23" s="22"/>
      <c r="F23" s="78"/>
    </row>
    <row r="24" spans="1:6" ht="15.75">
      <c r="A24" s="22"/>
      <c r="B24" s="802" t="s">
        <v>365</v>
      </c>
      <c r="C24" s="802"/>
      <c r="D24" s="312">
        <f>IF(D22&gt;0,(D22*0.001),"")</f>
        <v>7408.9800000000005</v>
      </c>
      <c r="E24" s="22"/>
      <c r="F24" s="78"/>
    </row>
    <row r="25" spans="1:6" ht="15.75">
      <c r="A25" s="22"/>
      <c r="B25" s="119"/>
      <c r="C25" s="119"/>
      <c r="D25" s="313"/>
      <c r="E25" s="22"/>
      <c r="F25" s="78"/>
    </row>
    <row r="26" spans="1:6" ht="15.75">
      <c r="A26" s="800" t="s">
        <v>366</v>
      </c>
      <c r="B26" s="746"/>
      <c r="C26" s="746"/>
      <c r="D26" s="314">
        <f>inputOth!E17</f>
        <v>0</v>
      </c>
      <c r="E26" s="85"/>
      <c r="F26" s="85"/>
    </row>
    <row r="27" spans="1:6">
      <c r="A27" s="85"/>
      <c r="B27" s="85"/>
      <c r="C27" s="85"/>
      <c r="D27" s="315"/>
      <c r="E27" s="85"/>
      <c r="F27" s="85"/>
    </row>
    <row r="28" spans="1:6" ht="15.75">
      <c r="A28" s="85"/>
      <c r="B28" s="800" t="s">
        <v>367</v>
      </c>
      <c r="C28" s="769"/>
      <c r="D28" s="316" t="str">
        <f>IF(D26&gt;0,(D26*0.001),"")</f>
        <v/>
      </c>
      <c r="E28" s="85"/>
      <c r="F28" s="85"/>
    </row>
    <row r="29" spans="1:6">
      <c r="A29" s="85"/>
      <c r="B29" s="85"/>
      <c r="C29" s="85"/>
      <c r="D29" s="85"/>
      <c r="E29" s="85"/>
      <c r="F29" s="85"/>
    </row>
    <row r="30" spans="1:6">
      <c r="A30" s="85"/>
      <c r="B30" s="85"/>
      <c r="C30" s="85"/>
      <c r="D30" s="85"/>
      <c r="E30" s="85"/>
      <c r="F30" s="85"/>
    </row>
    <row r="31" spans="1:6">
      <c r="A31" s="85"/>
      <c r="B31" s="85"/>
      <c r="C31" s="85"/>
      <c r="D31" s="85"/>
      <c r="E31" s="85"/>
      <c r="F31" s="85"/>
    </row>
    <row r="32" spans="1:6" ht="15.75">
      <c r="A32" s="342" t="str">
        <f>CONCATENATE("**This information comes from the ",F1," Budget Summary page.  See instructions tab #13 for completing")</f>
        <v>**This information comes from the 2014 Budget Summary page.  See instructions tab #13 for completing</v>
      </c>
      <c r="B32" s="85"/>
      <c r="C32" s="85"/>
      <c r="D32" s="85"/>
      <c r="E32" s="85"/>
      <c r="F32" s="85"/>
    </row>
    <row r="33" spans="1:6" ht="15.75">
      <c r="A33" s="342" t="s">
        <v>610</v>
      </c>
      <c r="B33" s="85"/>
      <c r="C33" s="85"/>
      <c r="D33" s="85"/>
      <c r="E33" s="85"/>
      <c r="F33" s="85"/>
    </row>
    <row r="34" spans="1:6" ht="15.75">
      <c r="A34" s="342"/>
      <c r="B34" s="85"/>
      <c r="C34" s="85"/>
      <c r="D34" s="85"/>
      <c r="E34" s="85"/>
      <c r="F34" s="85"/>
    </row>
    <row r="35" spans="1:6" ht="15.75">
      <c r="A35" s="342"/>
      <c r="B35" s="85"/>
      <c r="C35" s="85"/>
      <c r="D35" s="85"/>
      <c r="E35" s="85"/>
      <c r="F35" s="85"/>
    </row>
    <row r="36" spans="1:6" ht="15.75">
      <c r="A36" s="342"/>
      <c r="B36" s="85"/>
      <c r="C36" s="85"/>
      <c r="D36" s="85"/>
      <c r="E36" s="85"/>
      <c r="F36" s="85"/>
    </row>
    <row r="37" spans="1:6" ht="15.75">
      <c r="A37" s="342"/>
      <c r="B37" s="85"/>
      <c r="C37" s="85"/>
      <c r="D37" s="85"/>
      <c r="E37" s="85"/>
      <c r="F37" s="85"/>
    </row>
    <row r="38" spans="1:6" ht="15.75">
      <c r="A38" s="342"/>
      <c r="B38" s="85"/>
      <c r="C38" s="85"/>
      <c r="D38" s="85"/>
      <c r="E38" s="85"/>
      <c r="F38" s="85"/>
    </row>
    <row r="39" spans="1:6">
      <c r="A39" s="85"/>
      <c r="B39" s="85"/>
      <c r="C39" s="85"/>
      <c r="D39" s="85"/>
      <c r="E39" s="85"/>
      <c r="F39" s="85"/>
    </row>
    <row r="40" spans="1:6" ht="15.75">
      <c r="A40" s="85"/>
      <c r="B40" s="244" t="s">
        <v>40</v>
      </c>
      <c r="C40" s="249"/>
      <c r="D40" s="85"/>
      <c r="E40" s="85"/>
      <c r="F40" s="85"/>
    </row>
    <row r="41" spans="1:6" ht="15.75">
      <c r="A41" s="78"/>
      <c r="B41" s="22"/>
      <c r="C41" s="22"/>
      <c r="D41" s="52"/>
      <c r="E41" s="78"/>
      <c r="F41" s="78"/>
    </row>
  </sheetData>
  <sheetProtection sheet="1"/>
  <mergeCells count="5">
    <mergeCell ref="A26:C26"/>
    <mergeCell ref="B28:C28"/>
    <mergeCell ref="B3:E3"/>
    <mergeCell ref="A22:C22"/>
    <mergeCell ref="B24:C24"/>
  </mergeCells>
  <phoneticPr fontId="11" type="noConversion"/>
  <pageMargins left="0.75" right="0.75" top="1" bottom="1" header="0.5" footer="0.5"/>
  <pageSetup scale="96" orientation="portrait" blackAndWhite="1"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activeCell="A6" sqref="A6:G6"/>
    </sheetView>
  </sheetViews>
  <sheetFormatPr defaultRowHeight="15"/>
  <sheetData>
    <row r="1" spans="1:14" ht="16.5" customHeight="1">
      <c r="A1" s="803" t="s">
        <v>153</v>
      </c>
      <c r="B1" s="803"/>
      <c r="C1" s="803"/>
      <c r="D1" s="803"/>
      <c r="E1" s="803"/>
      <c r="F1" s="803"/>
      <c r="G1" s="803"/>
    </row>
    <row r="2" spans="1:14" ht="16.5" customHeight="1">
      <c r="A2" s="803"/>
      <c r="B2" s="803"/>
      <c r="C2" s="803"/>
      <c r="D2" s="803"/>
      <c r="E2" s="803"/>
      <c r="F2" s="803"/>
      <c r="G2" s="803"/>
    </row>
    <row r="3" spans="1:14" ht="16.5" customHeight="1">
      <c r="A3" s="804"/>
      <c r="B3" s="804"/>
      <c r="C3" s="804"/>
      <c r="D3" s="804"/>
      <c r="E3" s="804"/>
      <c r="F3" s="804"/>
      <c r="G3" s="804"/>
    </row>
    <row r="4" spans="1:14" ht="16.5" customHeight="1">
      <c r="A4" s="805" t="str">
        <f>CONCATENATE("AN ORDINANCE ATTESTING TO AN INCREASE IN TAX REVENUES FOR BUDGET YEAR ",(inputPrYr!C5)," FOR THE  ",(inputPrYr!$D$2),".")</f>
        <v>AN ORDINANCE ATTESTING TO AN INCREASE IN TAX REVENUES FOR BUDGET YEAR 2014 FOR THE  City of Grandview Plaza, Kansas.</v>
      </c>
      <c r="B4" s="805"/>
      <c r="C4" s="805"/>
      <c r="D4" s="805"/>
      <c r="E4" s="805"/>
      <c r="F4" s="805"/>
      <c r="G4" s="805"/>
    </row>
    <row r="5" spans="1:14" ht="16.5" customHeight="1">
      <c r="A5" s="805"/>
      <c r="B5" s="805"/>
      <c r="C5" s="805"/>
      <c r="D5" s="805"/>
      <c r="E5" s="805"/>
      <c r="F5" s="805"/>
      <c r="G5" s="805"/>
    </row>
    <row r="6" spans="1:14" ht="16.5" customHeight="1">
      <c r="A6" s="803"/>
      <c r="B6" s="803"/>
      <c r="C6" s="803"/>
      <c r="D6" s="803"/>
      <c r="E6" s="803"/>
      <c r="F6" s="803"/>
      <c r="G6" s="803"/>
    </row>
    <row r="7" spans="1:14" ht="16.5" customHeight="1">
      <c r="A7" s="805" t="str">
        <f>CONCATENATE("WHEREAS ",(inputPrYr!$D$2)," must continue to provide services to protect the health, safety, and welfare of the citizens of this community; and")</f>
        <v>WHEREAS City of Grandview Plaza, Kansas must continue to provide services to protect the health, safety, and welfare of the citizens of this community; and</v>
      </c>
      <c r="B7" s="805"/>
      <c r="C7" s="805"/>
      <c r="D7" s="805"/>
      <c r="E7" s="805"/>
      <c r="F7" s="805"/>
      <c r="G7" s="805"/>
      <c r="H7" s="2"/>
      <c r="I7" s="2"/>
      <c r="J7" s="2"/>
      <c r="K7" s="2"/>
      <c r="L7" s="2"/>
      <c r="M7" s="2"/>
      <c r="N7" s="2"/>
    </row>
    <row r="8" spans="1:14" ht="16.5" customHeight="1">
      <c r="A8" s="805"/>
      <c r="B8" s="805"/>
      <c r="C8" s="805"/>
      <c r="D8" s="805"/>
      <c r="E8" s="805"/>
      <c r="F8" s="805"/>
      <c r="G8" s="805"/>
      <c r="H8" s="2"/>
      <c r="I8" s="2"/>
      <c r="J8" s="2"/>
      <c r="K8" s="2"/>
      <c r="L8" s="2"/>
      <c r="M8" s="2"/>
      <c r="N8" s="2"/>
    </row>
    <row r="9" spans="1:14" ht="16.5" customHeight="1">
      <c r="A9" s="4"/>
      <c r="B9" s="4"/>
      <c r="C9" s="4"/>
      <c r="D9" s="4"/>
      <c r="E9" s="4"/>
      <c r="F9" s="4"/>
      <c r="G9" s="4"/>
    </row>
    <row r="10" spans="1:14" ht="16.5" customHeight="1">
      <c r="A10" s="805" t="s">
        <v>154</v>
      </c>
      <c r="B10" s="805"/>
      <c r="C10" s="805"/>
      <c r="D10" s="805"/>
      <c r="E10" s="805"/>
      <c r="F10" s="805"/>
      <c r="G10" s="805"/>
    </row>
    <row r="11" spans="1:14" ht="16.5" customHeight="1">
      <c r="A11" s="805"/>
      <c r="B11" s="805"/>
      <c r="C11" s="805"/>
      <c r="D11" s="805"/>
      <c r="E11" s="805"/>
      <c r="F11" s="805"/>
      <c r="G11" s="805"/>
    </row>
    <row r="12" spans="1:14" ht="16.5" customHeight="1">
      <c r="A12" s="4"/>
      <c r="B12" s="4"/>
      <c r="C12" s="4"/>
      <c r="D12" s="4"/>
      <c r="E12" s="4"/>
      <c r="F12" s="4"/>
      <c r="G12" s="4"/>
    </row>
    <row r="13" spans="1:14" ht="16.5" customHeight="1">
      <c r="A13" s="805" t="str">
        <f>CONCATENATE("NOW THEREFORE, be it ordained by the Governing Body of the ",(inputPrYr!$D$2),":")</f>
        <v>NOW THEREFORE, be it ordained by the Governing Body of the City of Grandview Plaza, Kansas:</v>
      </c>
      <c r="B13" s="805"/>
      <c r="C13" s="805"/>
      <c r="D13" s="805"/>
      <c r="E13" s="805"/>
      <c r="F13" s="805"/>
      <c r="G13" s="805"/>
      <c r="H13" s="2"/>
      <c r="I13" s="2"/>
      <c r="J13" s="2"/>
      <c r="K13" s="2"/>
      <c r="L13" s="2"/>
      <c r="M13" s="2"/>
      <c r="N13" s="2"/>
    </row>
    <row r="14" spans="1:14" ht="16.5" customHeight="1">
      <c r="A14" s="805"/>
      <c r="B14" s="805"/>
      <c r="C14" s="805"/>
      <c r="D14" s="805"/>
      <c r="E14" s="805"/>
      <c r="F14" s="805"/>
      <c r="G14" s="805"/>
      <c r="H14" s="2"/>
      <c r="I14" s="2"/>
      <c r="J14" s="2"/>
      <c r="K14" s="2"/>
      <c r="L14" s="2"/>
      <c r="M14" s="2"/>
      <c r="N14" s="2"/>
    </row>
    <row r="15" spans="1:14" ht="16.5" customHeight="1">
      <c r="A15" s="80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Grandview Plaza, Kansas  has scheduled a public hearing and has prepared the proposed budget necessary to fund city services from January 1, 2014 until December 31, 2014.</v>
      </c>
      <c r="B15" s="805"/>
      <c r="C15" s="805"/>
      <c r="D15" s="805"/>
      <c r="E15" s="805"/>
      <c r="F15" s="805"/>
      <c r="G15" s="805"/>
      <c r="H15" s="2"/>
      <c r="I15" s="2"/>
      <c r="J15" s="2"/>
      <c r="K15" s="2"/>
      <c r="L15" s="2"/>
      <c r="M15" s="2"/>
      <c r="N15" s="2"/>
    </row>
    <row r="16" spans="1:14" ht="16.5" customHeight="1">
      <c r="A16" s="805"/>
      <c r="B16" s="805"/>
      <c r="C16" s="805"/>
      <c r="D16" s="805"/>
      <c r="E16" s="805"/>
      <c r="F16" s="805"/>
      <c r="G16" s="805"/>
      <c r="H16" s="2"/>
      <c r="I16" s="2"/>
      <c r="J16" s="2"/>
      <c r="K16" s="2"/>
      <c r="L16" s="2"/>
      <c r="M16" s="2"/>
      <c r="N16" s="2"/>
    </row>
    <row r="17" spans="1:14" ht="16.5" customHeight="1">
      <c r="A17" s="805"/>
      <c r="B17" s="805"/>
      <c r="C17" s="805"/>
      <c r="D17" s="805"/>
      <c r="E17" s="805"/>
      <c r="F17" s="805"/>
      <c r="G17" s="805"/>
      <c r="H17" s="3"/>
      <c r="I17" s="3"/>
      <c r="J17" s="3"/>
      <c r="K17" s="3"/>
      <c r="L17" s="3"/>
      <c r="M17" s="3"/>
      <c r="N17" s="3"/>
    </row>
    <row r="18" spans="1:14" ht="16.5" customHeight="1">
      <c r="A18" s="6"/>
      <c r="B18" s="6"/>
      <c r="C18" s="6"/>
      <c r="D18" s="6"/>
      <c r="E18" s="6"/>
      <c r="F18" s="6"/>
      <c r="G18" s="6"/>
    </row>
    <row r="19" spans="1:14" ht="16.5" customHeight="1">
      <c r="A19" s="807" t="s">
        <v>218</v>
      </c>
      <c r="B19" s="807"/>
      <c r="C19" s="807"/>
      <c r="D19" s="807"/>
      <c r="E19" s="807"/>
      <c r="F19" s="807"/>
      <c r="G19" s="807"/>
    </row>
    <row r="20" spans="1:14" ht="16.5" customHeight="1">
      <c r="A20" s="807" t="s">
        <v>219</v>
      </c>
      <c r="B20" s="807"/>
      <c r="C20" s="807"/>
      <c r="D20" s="807"/>
      <c r="E20" s="807"/>
      <c r="F20" s="807"/>
      <c r="G20" s="807"/>
    </row>
    <row r="21" spans="1:14" ht="16.5" customHeight="1">
      <c r="A21" s="807" t="str">
        <f>CONCATENATE("necessary to budget property tax revenues in an amount exceeding the levy in the ",(inputPrYr!C5-1),"")</f>
        <v>necessary to budget property tax revenues in an amount exceeding the levy in the 2013</v>
      </c>
      <c r="B21" s="807"/>
      <c r="C21" s="807"/>
      <c r="D21" s="807"/>
      <c r="E21" s="807"/>
      <c r="F21" s="807"/>
      <c r="G21" s="807"/>
    </row>
    <row r="22" spans="1:14" ht="16.5" customHeight="1">
      <c r="A22" s="5" t="s">
        <v>220</v>
      </c>
      <c r="B22" s="5"/>
      <c r="C22" s="5"/>
      <c r="D22" s="5"/>
      <c r="E22" s="5"/>
      <c r="F22" s="5"/>
      <c r="G22" s="5"/>
    </row>
    <row r="23" spans="1:14" ht="16.5" customHeight="1">
      <c r="A23" s="6"/>
      <c r="B23" s="6"/>
      <c r="C23" s="6"/>
      <c r="D23" s="6"/>
      <c r="E23" s="6"/>
      <c r="F23" s="6"/>
      <c r="G23" s="6"/>
    </row>
    <row r="24" spans="1:14" ht="16.5" customHeight="1">
      <c r="A24" s="805" t="s">
        <v>155</v>
      </c>
      <c r="B24" s="805"/>
      <c r="C24" s="805"/>
      <c r="D24" s="805"/>
      <c r="E24" s="805"/>
      <c r="F24" s="805"/>
      <c r="G24" s="805"/>
    </row>
    <row r="25" spans="1:14" ht="16.5" customHeight="1">
      <c r="A25" s="805"/>
      <c r="B25" s="805"/>
      <c r="C25" s="805"/>
      <c r="D25" s="805"/>
      <c r="E25" s="805"/>
      <c r="F25" s="805"/>
      <c r="G25" s="805"/>
    </row>
    <row r="26" spans="1:14" ht="16.5" customHeight="1">
      <c r="A26" s="6"/>
      <c r="B26" s="6"/>
      <c r="C26" s="6"/>
      <c r="D26" s="6"/>
      <c r="E26" s="6"/>
      <c r="F26" s="6"/>
      <c r="G26" s="6"/>
    </row>
    <row r="27" spans="1:14" ht="16.5" customHeight="1">
      <c r="A27" s="805" t="str">
        <f>CONCATENATE("Passed and approved by the Governing Body on this ______ day of __________, ",(inputPrYr!C5-1),".")</f>
        <v>Passed and approved by the Governing Body on this ______ day of __________, 2013.</v>
      </c>
      <c r="B27" s="805"/>
      <c r="C27" s="805"/>
      <c r="D27" s="805"/>
      <c r="E27" s="805"/>
      <c r="F27" s="805"/>
      <c r="G27" s="805"/>
    </row>
    <row r="28" spans="1:14" ht="16.5" customHeight="1">
      <c r="A28" s="805"/>
      <c r="B28" s="805"/>
      <c r="C28" s="805"/>
      <c r="D28" s="805"/>
      <c r="E28" s="805"/>
      <c r="F28" s="805"/>
      <c r="G28" s="805"/>
    </row>
    <row r="29" spans="1:14" ht="16.5" customHeight="1">
      <c r="A29" s="1"/>
      <c r="B29" s="1"/>
      <c r="C29" s="1"/>
      <c r="D29" s="1"/>
      <c r="E29" s="1"/>
      <c r="F29" s="1"/>
      <c r="G29" s="1"/>
    </row>
    <row r="30" spans="1:14" ht="16.5" customHeight="1">
      <c r="A30" s="806" t="s">
        <v>156</v>
      </c>
      <c r="B30" s="806"/>
      <c r="C30" s="806"/>
      <c r="D30" s="806"/>
      <c r="E30" s="806"/>
      <c r="F30" s="806"/>
      <c r="G30" s="806"/>
    </row>
    <row r="31" spans="1:14" ht="16.5" customHeight="1">
      <c r="A31" s="806" t="s">
        <v>157</v>
      </c>
      <c r="B31" s="806"/>
      <c r="C31" s="806"/>
      <c r="D31" s="806"/>
      <c r="E31" s="806"/>
      <c r="F31" s="806"/>
      <c r="G31" s="806"/>
    </row>
    <row r="32" spans="1:14" ht="16.5" customHeight="1">
      <c r="A32" s="1" t="s">
        <v>158</v>
      </c>
      <c r="B32" s="1"/>
      <c r="C32" s="1"/>
      <c r="D32" s="1"/>
      <c r="E32" s="1"/>
      <c r="F32" s="1"/>
      <c r="G32" s="1"/>
    </row>
    <row r="33" spans="1:7" ht="16.5" customHeight="1">
      <c r="A33" s="1"/>
      <c r="B33" s="1" t="s">
        <v>159</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160</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161</v>
      </c>
      <c r="B40" s="1"/>
      <c r="C40" s="1"/>
      <c r="D40" s="1"/>
      <c r="E40" s="1"/>
      <c r="F40" s="1"/>
      <c r="G40" s="1"/>
    </row>
    <row r="41" spans="1:7" ht="15.75">
      <c r="A41" s="1"/>
      <c r="B41" s="1"/>
      <c r="C41" s="1"/>
      <c r="D41" s="1"/>
      <c r="E41" s="1"/>
      <c r="F41" s="1"/>
      <c r="G41" s="1"/>
    </row>
  </sheetData>
  <sheetProtection sheet="1" objects="1" scenarios="1"/>
  <mergeCells count="16">
    <mergeCell ref="A10:G11"/>
    <mergeCell ref="A13:G14"/>
    <mergeCell ref="A30:G30"/>
    <mergeCell ref="A31:G31"/>
    <mergeCell ref="A15:G17"/>
    <mergeCell ref="A24:G25"/>
    <mergeCell ref="A27:G28"/>
    <mergeCell ref="A19:G19"/>
    <mergeCell ref="A20:G20"/>
    <mergeCell ref="A21:G21"/>
    <mergeCell ref="A1:G1"/>
    <mergeCell ref="A2:G2"/>
    <mergeCell ref="A3:G3"/>
    <mergeCell ref="A4:G5"/>
    <mergeCell ref="A6:G6"/>
    <mergeCell ref="A7:G8"/>
  </mergeCells>
  <phoneticPr fontId="0" type="noConversion"/>
  <pageMargins left="0.75" right="0.75" top="1" bottom="1" header="0.5" footer="0.5"/>
  <pageSetup orientation="portrait" blackAndWhite="1"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heetViews>
  <sheetFormatPr defaultRowHeight="15"/>
  <cols>
    <col min="1" max="1" width="71.33203125" customWidth="1"/>
  </cols>
  <sheetData>
    <row r="3" spans="1:12">
      <c r="A3" s="329" t="s">
        <v>388</v>
      </c>
      <c r="B3" s="329"/>
      <c r="C3" s="329"/>
      <c r="D3" s="329"/>
      <c r="E3" s="329"/>
      <c r="F3" s="329"/>
      <c r="G3" s="329"/>
      <c r="H3" s="329"/>
      <c r="I3" s="329"/>
      <c r="J3" s="329"/>
      <c r="K3" s="329"/>
      <c r="L3" s="329"/>
    </row>
    <row r="5" spans="1:12">
      <c r="A5" s="330" t="s">
        <v>389</v>
      </c>
    </row>
    <row r="6" spans="1:12">
      <c r="A6" s="330" t="str">
        <f>CONCATENATE(inputPrYr!C5-2," 'total expenditures' exceed your ",inputPrYr!C5-2," 'budget authority.'")</f>
        <v>2012 'total expenditures' exceed your 2012 'budget authority.'</v>
      </c>
    </row>
    <row r="7" spans="1:12">
      <c r="A7" s="330"/>
    </row>
    <row r="8" spans="1:12">
      <c r="A8" s="330" t="s">
        <v>390</v>
      </c>
    </row>
    <row r="9" spans="1:12">
      <c r="A9" s="330" t="s">
        <v>391</v>
      </c>
    </row>
    <row r="10" spans="1:12">
      <c r="A10" s="330" t="s">
        <v>392</v>
      </c>
    </row>
    <row r="11" spans="1:12">
      <c r="A11" s="330"/>
    </row>
    <row r="12" spans="1:12">
      <c r="A12" s="330"/>
    </row>
    <row r="13" spans="1:12">
      <c r="A13" s="331" t="s">
        <v>393</v>
      </c>
    </row>
    <row r="15" spans="1:12">
      <c r="A15" s="330" t="s">
        <v>394</v>
      </c>
    </row>
    <row r="16" spans="1:12">
      <c r="A16" s="330" t="str">
        <f>CONCATENATE("(i.e. an audit has not been completed, or the ",inputPrYr!C5," adopted")</f>
        <v>(i.e. an audit has not been completed, or the 2014 adopted</v>
      </c>
    </row>
    <row r="17" spans="1:1">
      <c r="A17" s="330" t="s">
        <v>395</v>
      </c>
    </row>
    <row r="18" spans="1:1">
      <c r="A18" s="330" t="s">
        <v>396</v>
      </c>
    </row>
    <row r="19" spans="1:1">
      <c r="A19" s="330" t="s">
        <v>397</v>
      </c>
    </row>
    <row r="21" spans="1:1">
      <c r="A21" s="331" t="s">
        <v>398</v>
      </c>
    </row>
    <row r="22" spans="1:1">
      <c r="A22" s="331"/>
    </row>
    <row r="23" spans="1:1">
      <c r="A23" s="330" t="s">
        <v>399</v>
      </c>
    </row>
    <row r="24" spans="1:1">
      <c r="A24" s="330" t="s">
        <v>400</v>
      </c>
    </row>
    <row r="25" spans="1:1">
      <c r="A25" s="330" t="str">
        <f>CONCATENATE("particular fund.  If your ",inputPrYr!C5-2," budget was amended, did you")</f>
        <v>particular fund.  If your 2012 budget was amended, did you</v>
      </c>
    </row>
    <row r="26" spans="1:1">
      <c r="A26" s="330" t="s">
        <v>401</v>
      </c>
    </row>
    <row r="27" spans="1:1">
      <c r="A27" s="330"/>
    </row>
    <row r="28" spans="1:1">
      <c r="A28" s="330" t="str">
        <f>CONCATENATE("Next, look to see if any of your ",inputPrYr!C5-2," expenditures can be")</f>
        <v>Next, look to see if any of your 2012 expenditures can be</v>
      </c>
    </row>
    <row r="29" spans="1:1">
      <c r="A29" s="330" t="s">
        <v>402</v>
      </c>
    </row>
    <row r="30" spans="1:1">
      <c r="A30" s="330" t="s">
        <v>403</v>
      </c>
    </row>
    <row r="31" spans="1:1">
      <c r="A31" s="330" t="s">
        <v>404</v>
      </c>
    </row>
    <row r="32" spans="1:1">
      <c r="A32" s="330"/>
    </row>
    <row r="33" spans="1:1">
      <c r="A33" s="330" t="str">
        <f>CONCATENATE("Additionally, do your ",inputPrYr!C5-2," receipts contain a reimbursement")</f>
        <v>Additionally, do your 2012 receipts contain a reimbursement</v>
      </c>
    </row>
    <row r="34" spans="1:1">
      <c r="A34" s="330" t="s">
        <v>405</v>
      </c>
    </row>
    <row r="35" spans="1:1">
      <c r="A35" s="330" t="s">
        <v>406</v>
      </c>
    </row>
    <row r="36" spans="1:1">
      <c r="A36" s="330"/>
    </row>
    <row r="37" spans="1:1">
      <c r="A37" s="330" t="s">
        <v>407</v>
      </c>
    </row>
    <row r="38" spans="1:1">
      <c r="A38" s="330" t="s">
        <v>408</v>
      </c>
    </row>
    <row r="39" spans="1:1">
      <c r="A39" s="330" t="s">
        <v>409</v>
      </c>
    </row>
    <row r="40" spans="1:1">
      <c r="A40" s="330" t="s">
        <v>410</v>
      </c>
    </row>
    <row r="41" spans="1:1">
      <c r="A41" s="330" t="s">
        <v>411</v>
      </c>
    </row>
    <row r="42" spans="1:1">
      <c r="A42" s="330" t="s">
        <v>412</v>
      </c>
    </row>
    <row r="43" spans="1:1">
      <c r="A43" s="330" t="s">
        <v>413</v>
      </c>
    </row>
    <row r="44" spans="1:1">
      <c r="A44" s="330" t="s">
        <v>414</v>
      </c>
    </row>
    <row r="45" spans="1:1">
      <c r="A45" s="330"/>
    </row>
    <row r="46" spans="1:1">
      <c r="A46" s="330" t="s">
        <v>415</v>
      </c>
    </row>
    <row r="47" spans="1:1">
      <c r="A47" s="330" t="s">
        <v>416</v>
      </c>
    </row>
    <row r="48" spans="1:1">
      <c r="A48" s="330" t="s">
        <v>417</v>
      </c>
    </row>
    <row r="49" spans="1:1">
      <c r="A49" s="330"/>
    </row>
    <row r="50" spans="1:1">
      <c r="A50" s="330" t="s">
        <v>418</v>
      </c>
    </row>
    <row r="51" spans="1:1">
      <c r="A51" s="330" t="s">
        <v>419</v>
      </c>
    </row>
    <row r="52" spans="1:1">
      <c r="A52" s="330" t="s">
        <v>420</v>
      </c>
    </row>
    <row r="53" spans="1:1">
      <c r="A53" s="330"/>
    </row>
    <row r="54" spans="1:1">
      <c r="A54" s="331" t="s">
        <v>421</v>
      </c>
    </row>
    <row r="55" spans="1:1">
      <c r="A55" s="330"/>
    </row>
    <row r="56" spans="1:1">
      <c r="A56" s="330" t="s">
        <v>422</v>
      </c>
    </row>
    <row r="57" spans="1:1">
      <c r="A57" s="330" t="s">
        <v>423</v>
      </c>
    </row>
    <row r="58" spans="1:1">
      <c r="A58" s="330" t="s">
        <v>424</v>
      </c>
    </row>
    <row r="59" spans="1:1">
      <c r="A59" s="330" t="s">
        <v>425</v>
      </c>
    </row>
    <row r="60" spans="1:1">
      <c r="A60" s="330" t="s">
        <v>426</v>
      </c>
    </row>
    <row r="61" spans="1:1">
      <c r="A61" s="330" t="s">
        <v>427</v>
      </c>
    </row>
    <row r="62" spans="1:1">
      <c r="A62" s="330" t="s">
        <v>428</v>
      </c>
    </row>
    <row r="63" spans="1:1">
      <c r="A63" s="330" t="s">
        <v>429</v>
      </c>
    </row>
    <row r="64" spans="1:1">
      <c r="A64" s="330" t="s">
        <v>430</v>
      </c>
    </row>
    <row r="65" spans="1:1">
      <c r="A65" s="330" t="s">
        <v>431</v>
      </c>
    </row>
    <row r="66" spans="1:1">
      <c r="A66" s="330" t="s">
        <v>432</v>
      </c>
    </row>
    <row r="67" spans="1:1">
      <c r="A67" s="330" t="s">
        <v>433</v>
      </c>
    </row>
    <row r="68" spans="1:1">
      <c r="A68" s="330" t="s">
        <v>434</v>
      </c>
    </row>
    <row r="69" spans="1:1">
      <c r="A69" s="330"/>
    </row>
    <row r="70" spans="1:1">
      <c r="A70" s="330" t="s">
        <v>435</v>
      </c>
    </row>
    <row r="71" spans="1:1">
      <c r="A71" s="330" t="s">
        <v>436</v>
      </c>
    </row>
    <row r="72" spans="1:1">
      <c r="A72" s="330" t="s">
        <v>437</v>
      </c>
    </row>
    <row r="73" spans="1:1">
      <c r="A73" s="330"/>
    </row>
    <row r="74" spans="1:1">
      <c r="A74" s="331" t="str">
        <f>CONCATENATE("What if the ",inputPrYr!C5-2," financial records have been closed?")</f>
        <v>What if the 2012 financial records have been closed?</v>
      </c>
    </row>
    <row r="76" spans="1:1">
      <c r="A76" s="330" t="s">
        <v>438</v>
      </c>
    </row>
    <row r="77" spans="1:1">
      <c r="A77" s="330" t="str">
        <f>CONCATENATE("(i.e. an audit for ",inputPrYr!C5-2," has been completed, or the ",inputPrYr!C5)</f>
        <v>(i.e. an audit for 2012 has been completed, or the 2014</v>
      </c>
    </row>
    <row r="78" spans="1:1">
      <c r="A78" s="330" t="s">
        <v>439</v>
      </c>
    </row>
    <row r="79" spans="1:1">
      <c r="A79" s="330" t="s">
        <v>440</v>
      </c>
    </row>
    <row r="80" spans="1:1">
      <c r="A80" s="330"/>
    </row>
    <row r="81" spans="1:1">
      <c r="A81" s="330" t="s">
        <v>441</v>
      </c>
    </row>
    <row r="82" spans="1:1">
      <c r="A82" s="330" t="s">
        <v>442</v>
      </c>
    </row>
    <row r="83" spans="1:1">
      <c r="A83" s="330" t="s">
        <v>443</v>
      </c>
    </row>
    <row r="84" spans="1:1">
      <c r="A84" s="330"/>
    </row>
    <row r="85" spans="1:1">
      <c r="A85" s="330" t="s">
        <v>444</v>
      </c>
    </row>
  </sheetData>
  <sheetProtection sheet="1"/>
  <pageMargins left="0.7" right="0.7" top="0.75" bottom="0.75" header="0.3" footer="0.3"/>
  <pageSetup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heetViews>
  <sheetFormatPr defaultRowHeight="15"/>
  <cols>
    <col min="1" max="1" width="71.33203125" customWidth="1"/>
  </cols>
  <sheetData>
    <row r="3" spans="1:10">
      <c r="A3" s="329" t="s">
        <v>445</v>
      </c>
      <c r="B3" s="329"/>
      <c r="C3" s="329"/>
      <c r="D3" s="329"/>
      <c r="E3" s="329"/>
      <c r="F3" s="329"/>
      <c r="G3" s="329"/>
      <c r="H3" s="332"/>
      <c r="I3" s="332"/>
      <c r="J3" s="332"/>
    </row>
    <row r="5" spans="1:10">
      <c r="A5" s="330" t="s">
        <v>446</v>
      </c>
    </row>
    <row r="6" spans="1:10">
      <c r="A6" t="str">
        <f>CONCATENATE(inputPrYr!C5-2," expenditures show that you finished the year with a ")</f>
        <v xml:space="preserve">2012 expenditures show that you finished the year with a </v>
      </c>
    </row>
    <row r="7" spans="1:10">
      <c r="A7" t="s">
        <v>447</v>
      </c>
    </row>
    <row r="9" spans="1:10">
      <c r="A9" t="s">
        <v>448</v>
      </c>
    </row>
    <row r="10" spans="1:10">
      <c r="A10" t="s">
        <v>449</v>
      </c>
    </row>
    <row r="11" spans="1:10">
      <c r="A11" t="s">
        <v>450</v>
      </c>
    </row>
    <row r="13" spans="1:10">
      <c r="A13" s="331" t="s">
        <v>451</v>
      </c>
    </row>
    <row r="14" spans="1:10">
      <c r="A14" s="331"/>
    </row>
    <row r="15" spans="1:10">
      <c r="A15" s="330" t="s">
        <v>452</v>
      </c>
    </row>
    <row r="16" spans="1:10">
      <c r="A16" s="330" t="s">
        <v>453</v>
      </c>
    </row>
    <row r="17" spans="1:1">
      <c r="A17" s="330" t="s">
        <v>454</v>
      </c>
    </row>
    <row r="18" spans="1:1">
      <c r="A18" s="330"/>
    </row>
    <row r="19" spans="1:1">
      <c r="A19" s="331" t="s">
        <v>455</v>
      </c>
    </row>
    <row r="20" spans="1:1">
      <c r="A20" s="331"/>
    </row>
    <row r="21" spans="1:1">
      <c r="A21" s="330" t="s">
        <v>456</v>
      </c>
    </row>
    <row r="22" spans="1:1">
      <c r="A22" s="330" t="s">
        <v>457</v>
      </c>
    </row>
    <row r="23" spans="1:1">
      <c r="A23" s="330" t="s">
        <v>458</v>
      </c>
    </row>
    <row r="24" spans="1:1">
      <c r="A24" s="330"/>
    </row>
    <row r="25" spans="1:1">
      <c r="A25" s="331" t="s">
        <v>459</v>
      </c>
    </row>
    <row r="26" spans="1:1">
      <c r="A26" s="331"/>
    </row>
    <row r="27" spans="1:1">
      <c r="A27" s="330" t="s">
        <v>460</v>
      </c>
    </row>
    <row r="28" spans="1:1">
      <c r="A28" s="330" t="s">
        <v>461</v>
      </c>
    </row>
    <row r="29" spans="1:1">
      <c r="A29" s="330" t="s">
        <v>462</v>
      </c>
    </row>
    <row r="30" spans="1:1">
      <c r="A30" s="330"/>
    </row>
    <row r="31" spans="1:1">
      <c r="A31" s="331" t="s">
        <v>463</v>
      </c>
    </row>
    <row r="32" spans="1:1">
      <c r="A32" s="331"/>
    </row>
    <row r="33" spans="1:8">
      <c r="A33" s="330" t="str">
        <f>CONCATENATE("If your financial records for ",inputPrYr!C5-2," are not closed")</f>
        <v>If your financial records for 2012 are not closed</v>
      </c>
      <c r="B33" s="330"/>
      <c r="C33" s="330"/>
      <c r="D33" s="330"/>
      <c r="E33" s="330"/>
      <c r="F33" s="330"/>
      <c r="G33" s="330"/>
      <c r="H33" s="330"/>
    </row>
    <row r="34" spans="1:8">
      <c r="A34" s="330" t="str">
        <f>CONCATENATE("(i.e. an audit has not been completed, or the ",inputPrYr!C5," adopted ")</f>
        <v xml:space="preserve">(i.e. an audit has not been completed, or the 2014 adopted </v>
      </c>
      <c r="B34" s="330"/>
      <c r="C34" s="330"/>
      <c r="D34" s="330"/>
      <c r="E34" s="330"/>
      <c r="F34" s="330"/>
      <c r="G34" s="330"/>
      <c r="H34" s="330"/>
    </row>
    <row r="35" spans="1:8">
      <c r="A35" s="330" t="s">
        <v>464</v>
      </c>
      <c r="B35" s="330"/>
      <c r="C35" s="330"/>
      <c r="D35" s="330"/>
      <c r="E35" s="330"/>
      <c r="F35" s="330"/>
      <c r="G35" s="330"/>
      <c r="H35" s="330"/>
    </row>
    <row r="36" spans="1:8">
      <c r="A36" s="330" t="s">
        <v>465</v>
      </c>
      <c r="B36" s="330"/>
      <c r="C36" s="330"/>
      <c r="D36" s="330"/>
      <c r="E36" s="330"/>
      <c r="F36" s="330"/>
      <c r="G36" s="330"/>
      <c r="H36" s="330"/>
    </row>
    <row r="37" spans="1:8">
      <c r="A37" s="330" t="s">
        <v>466</v>
      </c>
      <c r="B37" s="330"/>
      <c r="C37" s="330"/>
      <c r="D37" s="330"/>
      <c r="E37" s="330"/>
      <c r="F37" s="330"/>
      <c r="G37" s="330"/>
      <c r="H37" s="330"/>
    </row>
    <row r="38" spans="1:8">
      <c r="A38" s="330" t="s">
        <v>467</v>
      </c>
      <c r="B38" s="330"/>
      <c r="C38" s="330"/>
      <c r="D38" s="330"/>
      <c r="E38" s="330"/>
      <c r="F38" s="330"/>
      <c r="G38" s="330"/>
      <c r="H38" s="330"/>
    </row>
    <row r="39" spans="1:8">
      <c r="A39" s="330" t="s">
        <v>468</v>
      </c>
      <c r="B39" s="330"/>
      <c r="C39" s="330"/>
      <c r="D39" s="330"/>
      <c r="E39" s="330"/>
      <c r="F39" s="330"/>
      <c r="G39" s="330"/>
      <c r="H39" s="330"/>
    </row>
    <row r="40" spans="1:8">
      <c r="A40" s="330"/>
      <c r="B40" s="330"/>
      <c r="C40" s="330"/>
      <c r="D40" s="330"/>
      <c r="E40" s="330"/>
      <c r="F40" s="330"/>
      <c r="G40" s="330"/>
      <c r="H40" s="330"/>
    </row>
    <row r="41" spans="1:8">
      <c r="A41" s="330" t="s">
        <v>469</v>
      </c>
      <c r="B41" s="330"/>
      <c r="C41" s="330"/>
      <c r="D41" s="330"/>
      <c r="E41" s="330"/>
      <c r="F41" s="330"/>
      <c r="G41" s="330"/>
      <c r="H41" s="330"/>
    </row>
    <row r="42" spans="1:8">
      <c r="A42" s="330" t="s">
        <v>470</v>
      </c>
      <c r="B42" s="330"/>
      <c r="C42" s="330"/>
      <c r="D42" s="330"/>
      <c r="E42" s="330"/>
      <c r="F42" s="330"/>
      <c r="G42" s="330"/>
      <c r="H42" s="330"/>
    </row>
    <row r="43" spans="1:8">
      <c r="A43" s="330" t="s">
        <v>471</v>
      </c>
      <c r="B43" s="330"/>
      <c r="C43" s="330"/>
      <c r="D43" s="330"/>
      <c r="E43" s="330"/>
      <c r="F43" s="330"/>
      <c r="G43" s="330"/>
      <c r="H43" s="330"/>
    </row>
    <row r="44" spans="1:8">
      <c r="A44" s="330" t="s">
        <v>472</v>
      </c>
      <c r="B44" s="330"/>
      <c r="C44" s="330"/>
      <c r="D44" s="330"/>
      <c r="E44" s="330"/>
      <c r="F44" s="330"/>
      <c r="G44" s="330"/>
      <c r="H44" s="330"/>
    </row>
    <row r="45" spans="1:8">
      <c r="A45" s="330"/>
      <c r="B45" s="330"/>
      <c r="C45" s="330"/>
      <c r="D45" s="330"/>
      <c r="E45" s="330"/>
      <c r="F45" s="330"/>
      <c r="G45" s="330"/>
      <c r="H45" s="330"/>
    </row>
    <row r="46" spans="1:8">
      <c r="A46" s="330" t="s">
        <v>473</v>
      </c>
      <c r="B46" s="330"/>
      <c r="C46" s="330"/>
      <c r="D46" s="330"/>
      <c r="E46" s="330"/>
      <c r="F46" s="330"/>
      <c r="G46" s="330"/>
      <c r="H46" s="330"/>
    </row>
    <row r="47" spans="1:8">
      <c r="A47" s="330" t="s">
        <v>474</v>
      </c>
      <c r="B47" s="330"/>
      <c r="C47" s="330"/>
      <c r="D47" s="330"/>
      <c r="E47" s="330"/>
      <c r="F47" s="330"/>
      <c r="G47" s="330"/>
      <c r="H47" s="330"/>
    </row>
    <row r="48" spans="1:8">
      <c r="A48" s="330" t="s">
        <v>475</v>
      </c>
      <c r="B48" s="330"/>
      <c r="C48" s="330"/>
      <c r="D48" s="330"/>
      <c r="E48" s="330"/>
      <c r="F48" s="330"/>
      <c r="G48" s="330"/>
      <c r="H48" s="330"/>
    </row>
    <row r="49" spans="1:8">
      <c r="A49" s="330" t="s">
        <v>476</v>
      </c>
      <c r="B49" s="330"/>
      <c r="C49" s="330"/>
      <c r="D49" s="330"/>
      <c r="E49" s="330"/>
      <c r="F49" s="330"/>
      <c r="G49" s="330"/>
      <c r="H49" s="330"/>
    </row>
    <row r="50" spans="1:8">
      <c r="A50" s="330" t="s">
        <v>477</v>
      </c>
      <c r="B50" s="330"/>
      <c r="C50" s="330"/>
      <c r="D50" s="330"/>
      <c r="E50" s="330"/>
      <c r="F50" s="330"/>
      <c r="G50" s="330"/>
      <c r="H50" s="330"/>
    </row>
    <row r="51" spans="1:8">
      <c r="A51" s="330"/>
      <c r="B51" s="330"/>
      <c r="C51" s="330"/>
      <c r="D51" s="330"/>
      <c r="E51" s="330"/>
      <c r="F51" s="330"/>
      <c r="G51" s="330"/>
      <c r="H51" s="330"/>
    </row>
    <row r="52" spans="1:8">
      <c r="A52" s="331" t="s">
        <v>478</v>
      </c>
      <c r="B52" s="331"/>
      <c r="C52" s="331"/>
      <c r="D52" s="331"/>
      <c r="E52" s="331"/>
      <c r="F52" s="331"/>
      <c r="G52" s="331"/>
      <c r="H52" s="330"/>
    </row>
    <row r="53" spans="1:8">
      <c r="A53" s="331" t="s">
        <v>479</v>
      </c>
      <c r="B53" s="331"/>
      <c r="C53" s="331"/>
      <c r="D53" s="331"/>
      <c r="E53" s="331"/>
      <c r="F53" s="331"/>
      <c r="G53" s="331"/>
      <c r="H53" s="330"/>
    </row>
    <row r="54" spans="1:8">
      <c r="A54" s="330"/>
      <c r="B54" s="330"/>
      <c r="C54" s="330"/>
      <c r="D54" s="330"/>
      <c r="E54" s="330"/>
      <c r="F54" s="330"/>
      <c r="G54" s="330"/>
      <c r="H54" s="330"/>
    </row>
    <row r="55" spans="1:8">
      <c r="A55" s="330" t="s">
        <v>480</v>
      </c>
      <c r="B55" s="330"/>
      <c r="C55" s="330"/>
      <c r="D55" s="330"/>
      <c r="E55" s="330"/>
      <c r="F55" s="330"/>
      <c r="G55" s="330"/>
      <c r="H55" s="330"/>
    </row>
    <row r="56" spans="1:8">
      <c r="A56" s="330" t="s">
        <v>481</v>
      </c>
      <c r="B56" s="330"/>
      <c r="C56" s="330"/>
      <c r="D56" s="330"/>
      <c r="E56" s="330"/>
      <c r="F56" s="330"/>
      <c r="G56" s="330"/>
      <c r="H56" s="330"/>
    </row>
    <row r="57" spans="1:8">
      <c r="A57" s="330" t="s">
        <v>482</v>
      </c>
      <c r="B57" s="330"/>
      <c r="C57" s="330"/>
      <c r="D57" s="330"/>
      <c r="E57" s="330"/>
      <c r="F57" s="330"/>
      <c r="G57" s="330"/>
      <c r="H57" s="330"/>
    </row>
    <row r="58" spans="1:8">
      <c r="A58" s="330" t="s">
        <v>483</v>
      </c>
      <c r="B58" s="330"/>
      <c r="C58" s="330"/>
      <c r="D58" s="330"/>
      <c r="E58" s="330"/>
      <c r="F58" s="330"/>
      <c r="G58" s="330"/>
      <c r="H58" s="330"/>
    </row>
    <row r="59" spans="1:8">
      <c r="A59" s="330"/>
      <c r="B59" s="330"/>
      <c r="C59" s="330"/>
      <c r="D59" s="330"/>
      <c r="E59" s="330"/>
      <c r="F59" s="330"/>
      <c r="G59" s="330"/>
      <c r="H59" s="330"/>
    </row>
    <row r="60" spans="1:8">
      <c r="A60" s="330" t="s">
        <v>484</v>
      </c>
      <c r="B60" s="330"/>
      <c r="C60" s="330"/>
      <c r="D60" s="330"/>
      <c r="E60" s="330"/>
      <c r="F60" s="330"/>
      <c r="G60" s="330"/>
      <c r="H60" s="330"/>
    </row>
    <row r="61" spans="1:8">
      <c r="A61" s="330" t="s">
        <v>485</v>
      </c>
      <c r="B61" s="330"/>
      <c r="C61" s="330"/>
      <c r="D61" s="330"/>
      <c r="E61" s="330"/>
      <c r="F61" s="330"/>
      <c r="G61" s="330"/>
      <c r="H61" s="330"/>
    </row>
    <row r="62" spans="1:8">
      <c r="A62" s="330" t="s">
        <v>486</v>
      </c>
      <c r="B62" s="330"/>
      <c r="C62" s="330"/>
      <c r="D62" s="330"/>
      <c r="E62" s="330"/>
      <c r="F62" s="330"/>
      <c r="G62" s="330"/>
      <c r="H62" s="330"/>
    </row>
    <row r="63" spans="1:8">
      <c r="A63" s="330" t="s">
        <v>487</v>
      </c>
      <c r="B63" s="330"/>
      <c r="C63" s="330"/>
      <c r="D63" s="330"/>
      <c r="E63" s="330"/>
      <c r="F63" s="330"/>
      <c r="G63" s="330"/>
      <c r="H63" s="330"/>
    </row>
    <row r="64" spans="1:8">
      <c r="A64" s="330" t="s">
        <v>488</v>
      </c>
      <c r="B64" s="330"/>
      <c r="C64" s="330"/>
      <c r="D64" s="330"/>
      <c r="E64" s="330"/>
      <c r="F64" s="330"/>
      <c r="G64" s="330"/>
      <c r="H64" s="330"/>
    </row>
    <row r="65" spans="1:8">
      <c r="A65" s="330" t="s">
        <v>489</v>
      </c>
      <c r="B65" s="330"/>
      <c r="C65" s="330"/>
      <c r="D65" s="330"/>
      <c r="E65" s="330"/>
      <c r="F65" s="330"/>
      <c r="G65" s="330"/>
      <c r="H65" s="330"/>
    </row>
    <row r="66" spans="1:8">
      <c r="A66" s="330"/>
      <c r="B66" s="330"/>
      <c r="C66" s="330"/>
      <c r="D66" s="330"/>
      <c r="E66" s="330"/>
      <c r="F66" s="330"/>
      <c r="G66" s="330"/>
      <c r="H66" s="330"/>
    </row>
    <row r="67" spans="1:8">
      <c r="A67" s="330" t="s">
        <v>490</v>
      </c>
      <c r="B67" s="330"/>
      <c r="C67" s="330"/>
      <c r="D67" s="330"/>
      <c r="E67" s="330"/>
      <c r="F67" s="330"/>
      <c r="G67" s="330"/>
      <c r="H67" s="330"/>
    </row>
    <row r="68" spans="1:8">
      <c r="A68" s="330" t="s">
        <v>491</v>
      </c>
      <c r="B68" s="330"/>
      <c r="C68" s="330"/>
      <c r="D68" s="330"/>
      <c r="E68" s="330"/>
      <c r="F68" s="330"/>
      <c r="G68" s="330"/>
      <c r="H68" s="330"/>
    </row>
    <row r="69" spans="1:8">
      <c r="A69" s="330" t="s">
        <v>492</v>
      </c>
      <c r="B69" s="330"/>
      <c r="C69" s="330"/>
      <c r="D69" s="330"/>
      <c r="E69" s="330"/>
      <c r="F69" s="330"/>
      <c r="G69" s="330"/>
      <c r="H69" s="330"/>
    </row>
    <row r="70" spans="1:8">
      <c r="A70" s="330" t="s">
        <v>493</v>
      </c>
      <c r="B70" s="330"/>
      <c r="C70" s="330"/>
      <c r="D70" s="330"/>
      <c r="E70" s="330"/>
      <c r="F70" s="330"/>
      <c r="G70" s="330"/>
      <c r="H70" s="330"/>
    </row>
    <row r="71" spans="1:8">
      <c r="A71" s="330" t="s">
        <v>494</v>
      </c>
      <c r="B71" s="330"/>
      <c r="C71" s="330"/>
      <c r="D71" s="330"/>
      <c r="E71" s="330"/>
      <c r="F71" s="330"/>
      <c r="G71" s="330"/>
      <c r="H71" s="330"/>
    </row>
    <row r="72" spans="1:8">
      <c r="A72" s="330" t="s">
        <v>495</v>
      </c>
      <c r="B72" s="330"/>
      <c r="C72" s="330"/>
      <c r="D72" s="330"/>
      <c r="E72" s="330"/>
      <c r="F72" s="330"/>
      <c r="G72" s="330"/>
      <c r="H72" s="330"/>
    </row>
    <row r="73" spans="1:8">
      <c r="A73" s="330" t="s">
        <v>496</v>
      </c>
      <c r="B73" s="330"/>
      <c r="C73" s="330"/>
      <c r="D73" s="330"/>
      <c r="E73" s="330"/>
      <c r="F73" s="330"/>
      <c r="G73" s="330"/>
      <c r="H73" s="330"/>
    </row>
    <row r="74" spans="1:8">
      <c r="A74" s="330"/>
      <c r="B74" s="330"/>
      <c r="C74" s="330"/>
      <c r="D74" s="330"/>
      <c r="E74" s="330"/>
      <c r="F74" s="330"/>
      <c r="G74" s="330"/>
      <c r="H74" s="330"/>
    </row>
    <row r="75" spans="1:8">
      <c r="A75" s="330" t="s">
        <v>497</v>
      </c>
      <c r="B75" s="330"/>
      <c r="C75" s="330"/>
      <c r="D75" s="330"/>
      <c r="E75" s="330"/>
      <c r="F75" s="330"/>
      <c r="G75" s="330"/>
      <c r="H75" s="330"/>
    </row>
    <row r="76" spans="1:8">
      <c r="A76" s="330" t="s">
        <v>498</v>
      </c>
      <c r="B76" s="330"/>
      <c r="C76" s="330"/>
      <c r="D76" s="330"/>
      <c r="E76" s="330"/>
      <c r="F76" s="330"/>
      <c r="G76" s="330"/>
      <c r="H76" s="330"/>
    </row>
    <row r="77" spans="1:8">
      <c r="A77" s="330" t="s">
        <v>499</v>
      </c>
      <c r="B77" s="330"/>
      <c r="C77" s="330"/>
      <c r="D77" s="330"/>
      <c r="E77" s="330"/>
      <c r="F77" s="330"/>
      <c r="G77" s="330"/>
      <c r="H77" s="330"/>
    </row>
    <row r="78" spans="1:8">
      <c r="A78" s="330"/>
      <c r="B78" s="330"/>
      <c r="C78" s="330"/>
      <c r="D78" s="330"/>
      <c r="E78" s="330"/>
      <c r="F78" s="330"/>
      <c r="G78" s="330"/>
      <c r="H78" s="330"/>
    </row>
    <row r="79" spans="1:8">
      <c r="A79" s="330" t="s">
        <v>444</v>
      </c>
    </row>
    <row r="80" spans="1:8">
      <c r="A80" s="331"/>
    </row>
    <row r="81" spans="1:1">
      <c r="A81" s="330"/>
    </row>
    <row r="82" spans="1:1">
      <c r="A82" s="330"/>
    </row>
    <row r="83" spans="1:1">
      <c r="A83" s="330"/>
    </row>
    <row r="84" spans="1:1">
      <c r="A84" s="330"/>
    </row>
    <row r="85" spans="1:1">
      <c r="A85" s="330"/>
    </row>
    <row r="86" spans="1:1">
      <c r="A86" s="330"/>
    </row>
    <row r="87" spans="1:1">
      <c r="A87" s="330"/>
    </row>
    <row r="88" spans="1:1">
      <c r="A88" s="330"/>
    </row>
    <row r="89" spans="1:1">
      <c r="A89" s="330"/>
    </row>
    <row r="90" spans="1:1">
      <c r="A90" s="330"/>
    </row>
    <row r="91" spans="1:1">
      <c r="A91" s="330"/>
    </row>
    <row r="92" spans="1:1">
      <c r="A92" s="330"/>
    </row>
    <row r="93" spans="1:1">
      <c r="A93" s="330"/>
    </row>
    <row r="94" spans="1:1">
      <c r="A94" s="330"/>
    </row>
    <row r="95" spans="1:1">
      <c r="A95" s="330"/>
    </row>
    <row r="96" spans="1:1">
      <c r="A96" s="330"/>
    </row>
    <row r="97" spans="1:1">
      <c r="A97" s="330"/>
    </row>
    <row r="98" spans="1:1">
      <c r="A98" s="330"/>
    </row>
    <row r="99" spans="1:1">
      <c r="A99" s="330"/>
    </row>
    <row r="100" spans="1:1">
      <c r="A100" s="330"/>
    </row>
    <row r="101" spans="1:1">
      <c r="A101" s="330"/>
    </row>
    <row r="103" spans="1:1">
      <c r="A103" s="330"/>
    </row>
    <row r="104" spans="1:1">
      <c r="A104" s="330"/>
    </row>
    <row r="105" spans="1:1">
      <c r="A105" s="330"/>
    </row>
    <row r="107" spans="1:1">
      <c r="A107" s="331"/>
    </row>
    <row r="108" spans="1:1">
      <c r="A108" s="331"/>
    </row>
    <row r="109" spans="1:1">
      <c r="A109" s="331"/>
    </row>
  </sheetData>
  <sheetProtection sheet="1"/>
  <pageMargins left="0.7" right="0.7" top="0.75" bottom="0.75" header="0.3" footer="0.3"/>
  <pageSetup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heetViews>
  <sheetFormatPr defaultRowHeight="15"/>
  <cols>
    <col min="1" max="1" width="71.33203125" customWidth="1"/>
  </cols>
  <sheetData>
    <row r="3" spans="1:12">
      <c r="A3" s="329" t="s">
        <v>500</v>
      </c>
      <c r="B3" s="329"/>
      <c r="C3" s="329"/>
      <c r="D3" s="329"/>
      <c r="E3" s="329"/>
      <c r="F3" s="329"/>
      <c r="G3" s="329"/>
      <c r="H3" s="329"/>
      <c r="I3" s="329"/>
      <c r="J3" s="329"/>
      <c r="K3" s="329"/>
      <c r="L3" s="329"/>
    </row>
    <row r="4" spans="1:12">
      <c r="A4" s="329"/>
      <c r="B4" s="329"/>
      <c r="C4" s="329"/>
      <c r="D4" s="329"/>
      <c r="E4" s="329"/>
      <c r="F4" s="329"/>
      <c r="G4" s="329"/>
      <c r="H4" s="329"/>
      <c r="I4" s="329"/>
      <c r="J4" s="329"/>
      <c r="K4" s="329"/>
      <c r="L4" s="329"/>
    </row>
    <row r="5" spans="1:12">
      <c r="A5" s="330" t="s">
        <v>389</v>
      </c>
      <c r="I5" s="329"/>
      <c r="J5" s="329"/>
      <c r="K5" s="329"/>
      <c r="L5" s="329"/>
    </row>
    <row r="6" spans="1:12">
      <c r="A6" s="330" t="str">
        <f>CONCATENATE("estimated ",inputPrYr!C5-1," 'total expenditures' exceed your ",inputPrYr!C5-1,"")</f>
        <v>estimated 2013 'total expenditures' exceed your 2013</v>
      </c>
      <c r="I6" s="329"/>
      <c r="J6" s="329"/>
      <c r="K6" s="329"/>
      <c r="L6" s="329"/>
    </row>
    <row r="7" spans="1:12">
      <c r="A7" s="333" t="s">
        <v>501</v>
      </c>
      <c r="I7" s="329"/>
      <c r="J7" s="329"/>
      <c r="K7" s="329"/>
      <c r="L7" s="329"/>
    </row>
    <row r="8" spans="1:12">
      <c r="A8" s="330"/>
      <c r="I8" s="329"/>
      <c r="J8" s="329"/>
      <c r="K8" s="329"/>
      <c r="L8" s="329"/>
    </row>
    <row r="9" spans="1:12">
      <c r="A9" s="330" t="s">
        <v>502</v>
      </c>
      <c r="I9" s="329"/>
      <c r="J9" s="329"/>
      <c r="K9" s="329"/>
      <c r="L9" s="329"/>
    </row>
    <row r="10" spans="1:12">
      <c r="A10" s="330" t="s">
        <v>503</v>
      </c>
      <c r="I10" s="329"/>
      <c r="J10" s="329"/>
      <c r="K10" s="329"/>
      <c r="L10" s="329"/>
    </row>
    <row r="11" spans="1:12">
      <c r="A11" s="330" t="s">
        <v>504</v>
      </c>
      <c r="I11" s="329"/>
      <c r="J11" s="329"/>
      <c r="K11" s="329"/>
      <c r="L11" s="329"/>
    </row>
    <row r="12" spans="1:12">
      <c r="A12" s="330" t="s">
        <v>505</v>
      </c>
      <c r="I12" s="329"/>
      <c r="J12" s="329"/>
      <c r="K12" s="329"/>
      <c r="L12" s="329"/>
    </row>
    <row r="13" spans="1:12">
      <c r="A13" s="330" t="s">
        <v>506</v>
      </c>
      <c r="I13" s="329"/>
      <c r="J13" s="329"/>
      <c r="K13" s="329"/>
      <c r="L13" s="329"/>
    </row>
    <row r="14" spans="1:12">
      <c r="A14" s="329"/>
      <c r="B14" s="329"/>
      <c r="C14" s="329"/>
      <c r="D14" s="329"/>
      <c r="E14" s="329"/>
      <c r="F14" s="329"/>
      <c r="G14" s="329"/>
      <c r="H14" s="329"/>
      <c r="I14" s="329"/>
      <c r="J14" s="329"/>
      <c r="K14" s="329"/>
      <c r="L14" s="329"/>
    </row>
    <row r="15" spans="1:12">
      <c r="A15" s="331" t="s">
        <v>507</v>
      </c>
    </row>
    <row r="16" spans="1:12">
      <c r="A16" s="331" t="s">
        <v>508</v>
      </c>
    </row>
    <row r="17" spans="1:7">
      <c r="A17" s="331"/>
    </row>
    <row r="18" spans="1:7">
      <c r="A18" s="330" t="s">
        <v>509</v>
      </c>
      <c r="B18" s="330"/>
      <c r="C18" s="330"/>
      <c r="D18" s="330"/>
      <c r="E18" s="330"/>
      <c r="F18" s="330"/>
      <c r="G18" s="330"/>
    </row>
    <row r="19" spans="1:7">
      <c r="A19" s="330" t="str">
        <f>CONCATENATE("your ",inputPrYr!C5-1," numbers to see what steps might be necessary to")</f>
        <v>your 2013 numbers to see what steps might be necessary to</v>
      </c>
      <c r="B19" s="330"/>
      <c r="C19" s="330"/>
      <c r="D19" s="330"/>
      <c r="E19" s="330"/>
      <c r="F19" s="330"/>
      <c r="G19" s="330"/>
    </row>
    <row r="20" spans="1:7">
      <c r="A20" s="330" t="s">
        <v>510</v>
      </c>
      <c r="B20" s="330"/>
      <c r="C20" s="330"/>
      <c r="D20" s="330"/>
      <c r="E20" s="330"/>
      <c r="F20" s="330"/>
      <c r="G20" s="330"/>
    </row>
    <row r="21" spans="1:7">
      <c r="A21" s="330" t="s">
        <v>511</v>
      </c>
      <c r="B21" s="330"/>
      <c r="C21" s="330"/>
      <c r="D21" s="330"/>
      <c r="E21" s="330"/>
      <c r="F21" s="330"/>
      <c r="G21" s="330"/>
    </row>
    <row r="22" spans="1:7">
      <c r="A22" s="330"/>
    </row>
    <row r="23" spans="1:7">
      <c r="A23" s="331" t="s">
        <v>512</v>
      </c>
    </row>
    <row r="24" spans="1:7">
      <c r="A24" s="331"/>
    </row>
    <row r="25" spans="1:7">
      <c r="A25" s="330" t="s">
        <v>513</v>
      </c>
    </row>
    <row r="26" spans="1:7">
      <c r="A26" s="330" t="s">
        <v>514</v>
      </c>
      <c r="B26" s="330"/>
      <c r="C26" s="330"/>
      <c r="D26" s="330"/>
      <c r="E26" s="330"/>
      <c r="F26" s="330"/>
    </row>
    <row r="27" spans="1:7">
      <c r="A27" s="330" t="s">
        <v>515</v>
      </c>
      <c r="B27" s="330"/>
      <c r="C27" s="330"/>
      <c r="D27" s="330"/>
      <c r="E27" s="330"/>
      <c r="F27" s="330"/>
    </row>
    <row r="28" spans="1:7">
      <c r="A28" s="330" t="s">
        <v>516</v>
      </c>
      <c r="B28" s="330"/>
      <c r="C28" s="330"/>
      <c r="D28" s="330"/>
      <c r="E28" s="330"/>
      <c r="F28" s="330"/>
    </row>
    <row r="29" spans="1:7">
      <c r="A29" s="330"/>
      <c r="B29" s="330"/>
      <c r="C29" s="330"/>
      <c r="D29" s="330"/>
      <c r="E29" s="330"/>
      <c r="F29" s="330"/>
    </row>
    <row r="30" spans="1:7">
      <c r="A30" s="331" t="s">
        <v>517</v>
      </c>
      <c r="B30" s="331"/>
      <c r="C30" s="331"/>
      <c r="D30" s="331"/>
      <c r="E30" s="331"/>
      <c r="F30" s="331"/>
      <c r="G30" s="331"/>
    </row>
    <row r="31" spans="1:7">
      <c r="A31" s="331" t="s">
        <v>518</v>
      </c>
      <c r="B31" s="331"/>
      <c r="C31" s="331"/>
      <c r="D31" s="331"/>
      <c r="E31" s="331"/>
      <c r="F31" s="331"/>
      <c r="G31" s="331"/>
    </row>
    <row r="32" spans="1:7">
      <c r="A32" s="330"/>
      <c r="B32" s="330"/>
      <c r="C32" s="330"/>
      <c r="D32" s="330"/>
      <c r="E32" s="330"/>
      <c r="F32" s="330"/>
    </row>
    <row r="33" spans="1:6">
      <c r="A33" s="334" t="str">
        <f>CONCATENATE("Well, let's look to see if any of your ",inputPrYr!C5-1," expenditures can")</f>
        <v>Well, let's look to see if any of your 2013 expenditures can</v>
      </c>
      <c r="B33" s="330"/>
      <c r="C33" s="330"/>
      <c r="D33" s="330"/>
      <c r="E33" s="330"/>
      <c r="F33" s="330"/>
    </row>
    <row r="34" spans="1:6">
      <c r="A34" s="334" t="s">
        <v>519</v>
      </c>
      <c r="B34" s="330"/>
      <c r="C34" s="330"/>
      <c r="D34" s="330"/>
      <c r="E34" s="330"/>
      <c r="F34" s="330"/>
    </row>
    <row r="35" spans="1:6">
      <c r="A35" s="334" t="s">
        <v>403</v>
      </c>
      <c r="B35" s="330"/>
      <c r="C35" s="330"/>
      <c r="D35" s="330"/>
      <c r="E35" s="330"/>
      <c r="F35" s="330"/>
    </row>
    <row r="36" spans="1:6">
      <c r="A36" s="334" t="s">
        <v>404</v>
      </c>
      <c r="B36" s="330"/>
      <c r="C36" s="330"/>
      <c r="D36" s="330"/>
      <c r="E36" s="330"/>
      <c r="F36" s="330"/>
    </row>
    <row r="37" spans="1:6">
      <c r="A37" s="334"/>
      <c r="B37" s="330"/>
      <c r="C37" s="330"/>
      <c r="D37" s="330"/>
      <c r="E37" s="330"/>
      <c r="F37" s="330"/>
    </row>
    <row r="38" spans="1:6">
      <c r="A38" s="334" t="str">
        <f>CONCATENATE("Additionally, do your ",inputPrYr!C5-1," receipts contain a reimbursement")</f>
        <v>Additionally, do your 2013 receipts contain a reimbursement</v>
      </c>
      <c r="B38" s="330"/>
      <c r="C38" s="330"/>
      <c r="D38" s="330"/>
      <c r="E38" s="330"/>
      <c r="F38" s="330"/>
    </row>
    <row r="39" spans="1:6">
      <c r="A39" s="334" t="s">
        <v>405</v>
      </c>
      <c r="B39" s="330"/>
      <c r="C39" s="330"/>
      <c r="D39" s="330"/>
      <c r="E39" s="330"/>
      <c r="F39" s="330"/>
    </row>
    <row r="40" spans="1:6">
      <c r="A40" s="334" t="s">
        <v>406</v>
      </c>
      <c r="B40" s="330"/>
      <c r="C40" s="330"/>
      <c r="D40" s="330"/>
      <c r="E40" s="330"/>
      <c r="F40" s="330"/>
    </row>
    <row r="41" spans="1:6">
      <c r="A41" s="334"/>
      <c r="B41" s="330"/>
      <c r="C41" s="330"/>
      <c r="D41" s="330"/>
      <c r="E41" s="330"/>
      <c r="F41" s="330"/>
    </row>
    <row r="42" spans="1:6">
      <c r="A42" s="334" t="s">
        <v>407</v>
      </c>
      <c r="B42" s="330"/>
      <c r="C42" s="330"/>
      <c r="D42" s="330"/>
      <c r="E42" s="330"/>
      <c r="F42" s="330"/>
    </row>
    <row r="43" spans="1:6">
      <c r="A43" s="334" t="s">
        <v>408</v>
      </c>
      <c r="B43" s="330"/>
      <c r="C43" s="330"/>
      <c r="D43" s="330"/>
      <c r="E43" s="330"/>
      <c r="F43" s="330"/>
    </row>
    <row r="44" spans="1:6">
      <c r="A44" s="334" t="s">
        <v>409</v>
      </c>
      <c r="B44" s="330"/>
      <c r="C44" s="330"/>
      <c r="D44" s="330"/>
      <c r="E44" s="330"/>
      <c r="F44" s="330"/>
    </row>
    <row r="45" spans="1:6">
      <c r="A45" s="334" t="s">
        <v>520</v>
      </c>
      <c r="B45" s="330"/>
      <c r="C45" s="330"/>
      <c r="D45" s="330"/>
      <c r="E45" s="330"/>
      <c r="F45" s="330"/>
    </row>
    <row r="46" spans="1:6">
      <c r="A46" s="334" t="s">
        <v>411</v>
      </c>
      <c r="B46" s="330"/>
      <c r="C46" s="330"/>
      <c r="D46" s="330"/>
      <c r="E46" s="330"/>
      <c r="F46" s="330"/>
    </row>
    <row r="47" spans="1:6">
      <c r="A47" s="334" t="s">
        <v>521</v>
      </c>
      <c r="B47" s="330"/>
      <c r="C47" s="330"/>
      <c r="D47" s="330"/>
      <c r="E47" s="330"/>
      <c r="F47" s="330"/>
    </row>
    <row r="48" spans="1:6">
      <c r="A48" s="334" t="s">
        <v>522</v>
      </c>
      <c r="B48" s="330"/>
      <c r="C48" s="330"/>
      <c r="D48" s="330"/>
      <c r="E48" s="330"/>
      <c r="F48" s="330"/>
    </row>
    <row r="49" spans="1:6">
      <c r="A49" s="334" t="s">
        <v>414</v>
      </c>
      <c r="B49" s="330"/>
      <c r="C49" s="330"/>
      <c r="D49" s="330"/>
      <c r="E49" s="330"/>
      <c r="F49" s="330"/>
    </row>
    <row r="50" spans="1:6">
      <c r="A50" s="334"/>
      <c r="B50" s="330"/>
      <c r="C50" s="330"/>
      <c r="D50" s="330"/>
      <c r="E50" s="330"/>
      <c r="F50" s="330"/>
    </row>
    <row r="51" spans="1:6">
      <c r="A51" s="334" t="s">
        <v>415</v>
      </c>
      <c r="B51" s="330"/>
      <c r="C51" s="330"/>
      <c r="D51" s="330"/>
      <c r="E51" s="330"/>
      <c r="F51" s="330"/>
    </row>
    <row r="52" spans="1:6">
      <c r="A52" s="334" t="s">
        <v>416</v>
      </c>
      <c r="B52" s="330"/>
      <c r="C52" s="330"/>
      <c r="D52" s="330"/>
      <c r="E52" s="330"/>
      <c r="F52" s="330"/>
    </row>
    <row r="53" spans="1:6">
      <c r="A53" s="334" t="s">
        <v>417</v>
      </c>
      <c r="B53" s="330"/>
      <c r="C53" s="330"/>
      <c r="D53" s="330"/>
      <c r="E53" s="330"/>
      <c r="F53" s="330"/>
    </row>
    <row r="54" spans="1:6">
      <c r="A54" s="334"/>
      <c r="B54" s="330"/>
      <c r="C54" s="330"/>
      <c r="D54" s="330"/>
      <c r="E54" s="330"/>
      <c r="F54" s="330"/>
    </row>
    <row r="55" spans="1:6">
      <c r="A55" s="334" t="s">
        <v>523</v>
      </c>
      <c r="B55" s="330"/>
      <c r="C55" s="330"/>
      <c r="D55" s="330"/>
      <c r="E55" s="330"/>
      <c r="F55" s="330"/>
    </row>
    <row r="56" spans="1:6">
      <c r="A56" s="334" t="s">
        <v>524</v>
      </c>
      <c r="B56" s="330"/>
      <c r="C56" s="330"/>
      <c r="D56" s="330"/>
      <c r="E56" s="330"/>
      <c r="F56" s="330"/>
    </row>
    <row r="57" spans="1:6">
      <c r="A57" s="334" t="s">
        <v>525</v>
      </c>
      <c r="B57" s="330"/>
      <c r="C57" s="330"/>
      <c r="D57" s="330"/>
      <c r="E57" s="330"/>
      <c r="F57" s="330"/>
    </row>
    <row r="58" spans="1:6">
      <c r="A58" s="334" t="s">
        <v>526</v>
      </c>
      <c r="B58" s="330"/>
      <c r="C58" s="330"/>
      <c r="D58" s="330"/>
      <c r="E58" s="330"/>
      <c r="F58" s="330"/>
    </row>
    <row r="59" spans="1:6">
      <c r="A59" s="334" t="s">
        <v>527</v>
      </c>
      <c r="B59" s="330"/>
      <c r="C59" s="330"/>
      <c r="D59" s="330"/>
      <c r="E59" s="330"/>
      <c r="F59" s="330"/>
    </row>
    <row r="60" spans="1:6">
      <c r="A60" s="334"/>
      <c r="B60" s="330"/>
      <c r="C60" s="330"/>
      <c r="D60" s="330"/>
      <c r="E60" s="330"/>
      <c r="F60" s="330"/>
    </row>
    <row r="61" spans="1:6">
      <c r="A61" s="335" t="s">
        <v>528</v>
      </c>
      <c r="B61" s="330"/>
      <c r="C61" s="330"/>
      <c r="D61" s="330"/>
      <c r="E61" s="330"/>
      <c r="F61" s="330"/>
    </row>
    <row r="62" spans="1:6">
      <c r="A62" s="335" t="s">
        <v>529</v>
      </c>
      <c r="B62" s="330"/>
      <c r="C62" s="330"/>
      <c r="D62" s="330"/>
      <c r="E62" s="330"/>
      <c r="F62" s="330"/>
    </row>
    <row r="63" spans="1:6">
      <c r="A63" s="335" t="s">
        <v>530</v>
      </c>
      <c r="B63" s="330"/>
      <c r="C63" s="330"/>
      <c r="D63" s="330"/>
      <c r="E63" s="330"/>
      <c r="F63" s="330"/>
    </row>
    <row r="64" spans="1:6">
      <c r="A64" s="335" t="s">
        <v>531</v>
      </c>
    </row>
    <row r="65" spans="1:1">
      <c r="A65" s="335" t="s">
        <v>532</v>
      </c>
    </row>
    <row r="66" spans="1:1">
      <c r="A66" s="335" t="s">
        <v>533</v>
      </c>
    </row>
    <row r="68" spans="1:1">
      <c r="A68" s="330" t="s">
        <v>534</v>
      </c>
    </row>
    <row r="69" spans="1:1">
      <c r="A69" s="330" t="s">
        <v>535</v>
      </c>
    </row>
    <row r="70" spans="1:1">
      <c r="A70" s="330" t="s">
        <v>536</v>
      </c>
    </row>
    <row r="71" spans="1:1">
      <c r="A71" s="330" t="s">
        <v>537</v>
      </c>
    </row>
    <row r="72" spans="1:1">
      <c r="A72" s="330" t="s">
        <v>538</v>
      </c>
    </row>
    <row r="73" spans="1:1">
      <c r="A73" s="330" t="s">
        <v>539</v>
      </c>
    </row>
    <row r="75" spans="1:1">
      <c r="A75" s="330" t="s">
        <v>444</v>
      </c>
    </row>
  </sheetData>
  <sheetProtection sheet="1"/>
  <pageMargins left="0.7" right="0.7" top="0.75" bottom="0.75" header="0.3" footer="0.3"/>
  <pageSetup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heetViews>
  <sheetFormatPr defaultRowHeight="15"/>
  <cols>
    <col min="1" max="1" width="71.33203125" customWidth="1"/>
  </cols>
  <sheetData>
    <row r="3" spans="1:7">
      <c r="A3" s="329" t="s">
        <v>540</v>
      </c>
      <c r="B3" s="329"/>
      <c r="C3" s="329"/>
      <c r="D3" s="329"/>
      <c r="E3" s="329"/>
      <c r="F3" s="329"/>
      <c r="G3" s="329"/>
    </row>
    <row r="4" spans="1:7">
      <c r="A4" s="329"/>
      <c r="B4" s="329"/>
      <c r="C4" s="329"/>
      <c r="D4" s="329"/>
      <c r="E4" s="329"/>
      <c r="F4" s="329"/>
      <c r="G4" s="329"/>
    </row>
    <row r="5" spans="1:7">
      <c r="A5" s="330" t="s">
        <v>446</v>
      </c>
    </row>
    <row r="6" spans="1:7">
      <c r="A6" s="330" t="str">
        <f>CONCATENATE(inputPrYr!C5," estimated expenditures show that at the end of this year")</f>
        <v>2014 estimated expenditures show that at the end of this year</v>
      </c>
    </row>
    <row r="7" spans="1:7">
      <c r="A7" s="330" t="s">
        <v>541</v>
      </c>
    </row>
    <row r="8" spans="1:7">
      <c r="A8" s="330" t="s">
        <v>542</v>
      </c>
    </row>
    <row r="10" spans="1:7">
      <c r="A10" t="s">
        <v>448</v>
      </c>
    </row>
    <row r="11" spans="1:7">
      <c r="A11" t="s">
        <v>449</v>
      </c>
    </row>
    <row r="12" spans="1:7">
      <c r="A12" t="s">
        <v>450</v>
      </c>
    </row>
    <row r="13" spans="1:7">
      <c r="A13" s="329"/>
      <c r="B13" s="329"/>
      <c r="C13" s="329"/>
      <c r="D13" s="329"/>
      <c r="E13" s="329"/>
      <c r="F13" s="329"/>
      <c r="G13" s="329"/>
    </row>
    <row r="14" spans="1:7">
      <c r="A14" s="331" t="s">
        <v>543</v>
      </c>
    </row>
    <row r="15" spans="1:7">
      <c r="A15" s="330"/>
    </row>
    <row r="16" spans="1:7">
      <c r="A16" s="330" t="s">
        <v>544</v>
      </c>
    </row>
    <row r="17" spans="1:7">
      <c r="A17" s="330" t="s">
        <v>545</v>
      </c>
    </row>
    <row r="18" spans="1:7">
      <c r="A18" s="330" t="s">
        <v>546</v>
      </c>
    </row>
    <row r="19" spans="1:7">
      <c r="A19" s="330"/>
    </row>
    <row r="20" spans="1:7">
      <c r="A20" s="330" t="s">
        <v>547</v>
      </c>
    </row>
    <row r="21" spans="1:7">
      <c r="A21" s="330" t="s">
        <v>548</v>
      </c>
    </row>
    <row r="22" spans="1:7">
      <c r="A22" s="330" t="s">
        <v>549</v>
      </c>
    </row>
    <row r="23" spans="1:7">
      <c r="A23" s="330" t="s">
        <v>550</v>
      </c>
    </row>
    <row r="24" spans="1:7">
      <c r="A24" s="330"/>
    </row>
    <row r="25" spans="1:7">
      <c r="A25" s="331" t="s">
        <v>512</v>
      </c>
    </row>
    <row r="26" spans="1:7">
      <c r="A26" s="331"/>
    </row>
    <row r="27" spans="1:7">
      <c r="A27" s="330" t="s">
        <v>513</v>
      </c>
    </row>
    <row r="28" spans="1:7">
      <c r="A28" s="330" t="s">
        <v>514</v>
      </c>
      <c r="B28" s="330"/>
      <c r="C28" s="330"/>
      <c r="D28" s="330"/>
      <c r="E28" s="330"/>
      <c r="F28" s="330"/>
    </row>
    <row r="29" spans="1:7">
      <c r="A29" s="330" t="s">
        <v>515</v>
      </c>
      <c r="B29" s="330"/>
      <c r="C29" s="330"/>
      <c r="D29" s="330"/>
      <c r="E29" s="330"/>
      <c r="F29" s="330"/>
    </row>
    <row r="30" spans="1:7">
      <c r="A30" s="330" t="s">
        <v>516</v>
      </c>
      <c r="B30" s="330"/>
      <c r="C30" s="330"/>
      <c r="D30" s="330"/>
      <c r="E30" s="330"/>
      <c r="F30" s="330"/>
    </row>
    <row r="31" spans="1:7">
      <c r="A31" s="330"/>
    </row>
    <row r="32" spans="1:7">
      <c r="A32" s="331" t="s">
        <v>517</v>
      </c>
      <c r="B32" s="331"/>
      <c r="C32" s="331"/>
      <c r="D32" s="331"/>
      <c r="E32" s="331"/>
      <c r="F32" s="331"/>
      <c r="G32" s="331"/>
    </row>
    <row r="33" spans="1:7">
      <c r="A33" s="331" t="s">
        <v>518</v>
      </c>
      <c r="B33" s="331"/>
      <c r="C33" s="331"/>
      <c r="D33" s="331"/>
      <c r="E33" s="331"/>
      <c r="F33" s="331"/>
      <c r="G33" s="331"/>
    </row>
    <row r="34" spans="1:7">
      <c r="A34" s="331"/>
      <c r="B34" s="331"/>
      <c r="C34" s="331"/>
      <c r="D34" s="331"/>
      <c r="E34" s="331"/>
      <c r="F34" s="331"/>
      <c r="G34" s="331"/>
    </row>
    <row r="35" spans="1:7">
      <c r="A35" s="330" t="s">
        <v>551</v>
      </c>
      <c r="B35" s="330"/>
      <c r="C35" s="330"/>
      <c r="D35" s="330"/>
      <c r="E35" s="330"/>
      <c r="F35" s="330"/>
      <c r="G35" s="330"/>
    </row>
    <row r="36" spans="1:7">
      <c r="A36" s="330" t="s">
        <v>552</v>
      </c>
      <c r="B36" s="330"/>
      <c r="C36" s="330"/>
      <c r="D36" s="330"/>
      <c r="E36" s="330"/>
      <c r="F36" s="330"/>
      <c r="G36" s="330"/>
    </row>
    <row r="37" spans="1:7">
      <c r="A37" s="330" t="s">
        <v>553</v>
      </c>
      <c r="B37" s="330"/>
      <c r="C37" s="330"/>
      <c r="D37" s="330"/>
      <c r="E37" s="330"/>
      <c r="F37" s="330"/>
      <c r="G37" s="330"/>
    </row>
    <row r="38" spans="1:7">
      <c r="A38" s="330" t="s">
        <v>554</v>
      </c>
      <c r="B38" s="330"/>
      <c r="C38" s="330"/>
      <c r="D38" s="330"/>
      <c r="E38" s="330"/>
      <c r="F38" s="330"/>
      <c r="G38" s="330"/>
    </row>
    <row r="39" spans="1:7">
      <c r="A39" s="330" t="s">
        <v>555</v>
      </c>
      <c r="B39" s="330"/>
      <c r="C39" s="330"/>
      <c r="D39" s="330"/>
      <c r="E39" s="330"/>
      <c r="F39" s="330"/>
      <c r="G39" s="330"/>
    </row>
    <row r="40" spans="1:7">
      <c r="A40" s="331"/>
      <c r="B40" s="331"/>
      <c r="C40" s="331"/>
      <c r="D40" s="331"/>
      <c r="E40" s="331"/>
      <c r="F40" s="331"/>
      <c r="G40" s="331"/>
    </row>
    <row r="41" spans="1:7">
      <c r="A41" s="334" t="str">
        <f>CONCATENATE("So, let's look to see if any of your ",inputPrYr!C5-1," expenditures can")</f>
        <v>So, let's look to see if any of your 2013 expenditures can</v>
      </c>
      <c r="B41" s="330"/>
      <c r="C41" s="330"/>
      <c r="D41" s="330"/>
      <c r="E41" s="330"/>
      <c r="F41" s="330"/>
    </row>
    <row r="42" spans="1:7">
      <c r="A42" s="334" t="s">
        <v>519</v>
      </c>
      <c r="B42" s="330"/>
      <c r="C42" s="330"/>
      <c r="D42" s="330"/>
      <c r="E42" s="330"/>
      <c r="F42" s="330"/>
    </row>
    <row r="43" spans="1:7">
      <c r="A43" s="334" t="s">
        <v>403</v>
      </c>
      <c r="B43" s="330"/>
      <c r="C43" s="330"/>
      <c r="D43" s="330"/>
      <c r="E43" s="330"/>
      <c r="F43" s="330"/>
    </row>
    <row r="44" spans="1:7">
      <c r="A44" s="334" t="s">
        <v>404</v>
      </c>
      <c r="B44" s="330"/>
      <c r="C44" s="330"/>
      <c r="D44" s="330"/>
      <c r="E44" s="330"/>
      <c r="F44" s="330"/>
    </row>
    <row r="45" spans="1:7">
      <c r="A45" s="330"/>
    </row>
    <row r="46" spans="1:7">
      <c r="A46" s="334" t="str">
        <f>CONCATENATE("Additionally, do your ",inputPrYr!C5-1," receipts contain a reimbursement")</f>
        <v>Additionally, do your 2013 receipts contain a reimbursement</v>
      </c>
      <c r="B46" s="330"/>
      <c r="C46" s="330"/>
      <c r="D46" s="330"/>
      <c r="E46" s="330"/>
      <c r="F46" s="330"/>
    </row>
    <row r="47" spans="1:7">
      <c r="A47" s="334" t="s">
        <v>405</v>
      </c>
      <c r="B47" s="330"/>
      <c r="C47" s="330"/>
      <c r="D47" s="330"/>
      <c r="E47" s="330"/>
      <c r="F47" s="330"/>
    </row>
    <row r="48" spans="1:7">
      <c r="A48" s="334" t="s">
        <v>406</v>
      </c>
      <c r="B48" s="330"/>
      <c r="C48" s="330"/>
      <c r="D48" s="330"/>
      <c r="E48" s="330"/>
      <c r="F48" s="330"/>
    </row>
    <row r="49" spans="1:7">
      <c r="A49" s="330"/>
      <c r="B49" s="330"/>
      <c r="C49" s="330"/>
      <c r="D49" s="330"/>
      <c r="E49" s="330"/>
      <c r="F49" s="330"/>
      <c r="G49" s="330"/>
    </row>
    <row r="50" spans="1:7">
      <c r="A50" s="330" t="s">
        <v>473</v>
      </c>
      <c r="B50" s="330"/>
      <c r="C50" s="330"/>
      <c r="D50" s="330"/>
      <c r="E50" s="330"/>
      <c r="F50" s="330"/>
      <c r="G50" s="330"/>
    </row>
    <row r="51" spans="1:7">
      <c r="A51" s="330" t="s">
        <v>474</v>
      </c>
      <c r="B51" s="330"/>
      <c r="C51" s="330"/>
      <c r="D51" s="330"/>
      <c r="E51" s="330"/>
      <c r="F51" s="330"/>
      <c r="G51" s="330"/>
    </row>
    <row r="52" spans="1:7">
      <c r="A52" s="330" t="s">
        <v>475</v>
      </c>
      <c r="B52" s="330"/>
      <c r="C52" s="330"/>
      <c r="D52" s="330"/>
      <c r="E52" s="330"/>
      <c r="F52" s="330"/>
      <c r="G52" s="330"/>
    </row>
    <row r="53" spans="1:7">
      <c r="A53" s="330" t="s">
        <v>476</v>
      </c>
      <c r="B53" s="330"/>
      <c r="C53" s="330"/>
      <c r="D53" s="330"/>
      <c r="E53" s="330"/>
      <c r="F53" s="330"/>
      <c r="G53" s="330"/>
    </row>
    <row r="54" spans="1:7">
      <c r="A54" s="330" t="s">
        <v>477</v>
      </c>
      <c r="B54" s="330"/>
      <c r="C54" s="330"/>
      <c r="D54" s="330"/>
      <c r="E54" s="330"/>
      <c r="F54" s="330"/>
      <c r="G54" s="330"/>
    </row>
    <row r="55" spans="1:7">
      <c r="A55" s="330"/>
      <c r="B55" s="330"/>
      <c r="C55" s="330"/>
      <c r="D55" s="330"/>
      <c r="E55" s="330"/>
      <c r="F55" s="330"/>
      <c r="G55" s="330"/>
    </row>
    <row r="56" spans="1:7">
      <c r="A56" s="334" t="s">
        <v>415</v>
      </c>
      <c r="B56" s="330"/>
      <c r="C56" s="330"/>
      <c r="D56" s="330"/>
      <c r="E56" s="330"/>
      <c r="F56" s="330"/>
    </row>
    <row r="57" spans="1:7">
      <c r="A57" s="334" t="s">
        <v>416</v>
      </c>
      <c r="B57" s="330"/>
      <c r="C57" s="330"/>
      <c r="D57" s="330"/>
      <c r="E57" s="330"/>
      <c r="F57" s="330"/>
    </row>
    <row r="58" spans="1:7">
      <c r="A58" s="334" t="s">
        <v>417</v>
      </c>
      <c r="B58" s="330"/>
      <c r="C58" s="330"/>
      <c r="D58" s="330"/>
      <c r="E58" s="330"/>
      <c r="F58" s="330"/>
    </row>
    <row r="59" spans="1:7">
      <c r="A59" s="334"/>
      <c r="B59" s="330"/>
      <c r="C59" s="330"/>
      <c r="D59" s="330"/>
      <c r="E59" s="330"/>
      <c r="F59" s="330"/>
    </row>
    <row r="60" spans="1:7">
      <c r="A60" s="330" t="s">
        <v>556</v>
      </c>
      <c r="B60" s="330"/>
      <c r="C60" s="330"/>
      <c r="D60" s="330"/>
      <c r="E60" s="330"/>
      <c r="F60" s="330"/>
      <c r="G60" s="330"/>
    </row>
    <row r="61" spans="1:7">
      <c r="A61" s="330" t="s">
        <v>557</v>
      </c>
      <c r="B61" s="330"/>
      <c r="C61" s="330"/>
      <c r="D61" s="330"/>
      <c r="E61" s="330"/>
      <c r="F61" s="330"/>
      <c r="G61" s="330"/>
    </row>
    <row r="62" spans="1:7">
      <c r="A62" s="330" t="s">
        <v>558</v>
      </c>
      <c r="B62" s="330"/>
      <c r="C62" s="330"/>
      <c r="D62" s="330"/>
      <c r="E62" s="330"/>
      <c r="F62" s="330"/>
      <c r="G62" s="330"/>
    </row>
    <row r="63" spans="1:7">
      <c r="A63" s="330" t="s">
        <v>559</v>
      </c>
      <c r="B63" s="330"/>
      <c r="C63" s="330"/>
      <c r="D63" s="330"/>
      <c r="E63" s="330"/>
      <c r="F63" s="330"/>
      <c r="G63" s="330"/>
    </row>
    <row r="64" spans="1:7">
      <c r="A64" s="330" t="s">
        <v>560</v>
      </c>
      <c r="B64" s="330"/>
      <c r="C64" s="330"/>
      <c r="D64" s="330"/>
      <c r="E64" s="330"/>
      <c r="F64" s="330"/>
      <c r="G64" s="330"/>
    </row>
    <row r="66" spans="1:6">
      <c r="A66" s="334" t="s">
        <v>523</v>
      </c>
      <c r="B66" s="330"/>
      <c r="C66" s="330"/>
      <c r="D66" s="330"/>
      <c r="E66" s="330"/>
      <c r="F66" s="330"/>
    </row>
    <row r="67" spans="1:6">
      <c r="A67" s="334" t="s">
        <v>524</v>
      </c>
      <c r="B67" s="330"/>
      <c r="C67" s="330"/>
      <c r="D67" s="330"/>
      <c r="E67" s="330"/>
      <c r="F67" s="330"/>
    </row>
    <row r="68" spans="1:6">
      <c r="A68" s="334" t="s">
        <v>525</v>
      </c>
      <c r="B68" s="330"/>
      <c r="C68" s="330"/>
      <c r="D68" s="330"/>
      <c r="E68" s="330"/>
      <c r="F68" s="330"/>
    </row>
    <row r="69" spans="1:6">
      <c r="A69" s="334" t="s">
        <v>526</v>
      </c>
      <c r="B69" s="330"/>
      <c r="C69" s="330"/>
      <c r="D69" s="330"/>
      <c r="E69" s="330"/>
      <c r="F69" s="330"/>
    </row>
    <row r="70" spans="1:6">
      <c r="A70" s="334" t="s">
        <v>527</v>
      </c>
      <c r="B70" s="330"/>
      <c r="C70" s="330"/>
      <c r="D70" s="330"/>
      <c r="E70" s="330"/>
      <c r="F70" s="330"/>
    </row>
    <row r="71" spans="1:6">
      <c r="A71" s="330"/>
    </row>
    <row r="72" spans="1:6">
      <c r="A72" s="330" t="s">
        <v>444</v>
      </c>
    </row>
    <row r="73" spans="1:6">
      <c r="A73" s="330"/>
    </row>
    <row r="74" spans="1:6">
      <c r="A74" s="330"/>
    </row>
    <row r="75" spans="1:6">
      <c r="A75" s="330"/>
    </row>
    <row r="78" spans="1:6">
      <c r="A78" s="331"/>
    </row>
    <row r="80" spans="1:6">
      <c r="A80" s="330"/>
    </row>
    <row r="81" spans="1:1">
      <c r="A81" s="330"/>
    </row>
    <row r="82" spans="1:1">
      <c r="A82" s="330"/>
    </row>
    <row r="83" spans="1:1">
      <c r="A83" s="330"/>
    </row>
    <row r="84" spans="1:1">
      <c r="A84" s="330"/>
    </row>
    <row r="85" spans="1:1">
      <c r="A85" s="330"/>
    </row>
    <row r="86" spans="1:1">
      <c r="A86" s="330"/>
    </row>
    <row r="87" spans="1:1">
      <c r="A87" s="330"/>
    </row>
    <row r="88" spans="1:1">
      <c r="A88" s="330"/>
    </row>
    <row r="89" spans="1:1">
      <c r="A89" s="330"/>
    </row>
    <row r="90" spans="1:1">
      <c r="A90" s="330"/>
    </row>
    <row r="92" spans="1:1">
      <c r="A92" s="330"/>
    </row>
    <row r="93" spans="1:1">
      <c r="A93" s="330"/>
    </row>
    <row r="94" spans="1:1">
      <c r="A94" s="330"/>
    </row>
    <row r="95" spans="1:1">
      <c r="A95" s="330"/>
    </row>
    <row r="96" spans="1:1">
      <c r="A96" s="330"/>
    </row>
    <row r="97" spans="1:1">
      <c r="A97" s="330"/>
    </row>
    <row r="98" spans="1:1">
      <c r="A98" s="330"/>
    </row>
    <row r="99" spans="1:1">
      <c r="A99" s="330"/>
    </row>
    <row r="100" spans="1:1">
      <c r="A100" s="330"/>
    </row>
    <row r="101" spans="1:1">
      <c r="A101" s="330"/>
    </row>
    <row r="102" spans="1:1">
      <c r="A102" s="330"/>
    </row>
    <row r="103" spans="1:1">
      <c r="A103" s="330"/>
    </row>
    <row r="104" spans="1:1">
      <c r="A104" s="330"/>
    </row>
    <row r="105" spans="1:1">
      <c r="A105" s="330"/>
    </row>
    <row r="106" spans="1:1">
      <c r="A106" s="330"/>
    </row>
  </sheetData>
  <sheetProtection sheet="1"/>
  <pageMargins left="0.7" right="0.7" top="0.75" bottom="0.75" header="0.3" footer="0.3"/>
  <pageSetup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5"/>
  <sheetViews>
    <sheetView topLeftCell="A46" workbookViewId="0">
      <selection activeCell="B79" sqref="B79"/>
    </sheetView>
  </sheetViews>
  <sheetFormatPr defaultRowHeight="15"/>
  <cols>
    <col min="1" max="1" width="15.77734375" style="83" customWidth="1"/>
    <col min="2" max="2" width="20.77734375" style="83" customWidth="1"/>
    <col min="3" max="3" width="9.77734375" style="83" customWidth="1"/>
    <col min="4" max="4" width="15.109375" style="83" customWidth="1"/>
    <col min="5" max="5" width="15.77734375" style="83" customWidth="1"/>
    <col min="6" max="16384" width="8.88671875" style="83"/>
  </cols>
  <sheetData>
    <row r="1" spans="1:5" ht="15.75">
      <c r="A1" s="84" t="str">
        <f>inputPrYr!$D$2</f>
        <v>City of Grandview Plaza, Kansas</v>
      </c>
      <c r="B1" s="85"/>
      <c r="C1" s="85"/>
      <c r="D1" s="85"/>
      <c r="E1" s="86">
        <f>inputPrYr!C5</f>
        <v>2014</v>
      </c>
    </row>
    <row r="2" spans="1:5">
      <c r="A2" s="85"/>
      <c r="B2" s="85"/>
      <c r="C2" s="85"/>
      <c r="D2" s="85"/>
      <c r="E2" s="85"/>
    </row>
    <row r="3" spans="1:5" ht="15.75">
      <c r="A3" s="726" t="s">
        <v>242</v>
      </c>
      <c r="B3" s="727"/>
      <c r="C3" s="727"/>
      <c r="D3" s="727"/>
      <c r="E3" s="727"/>
    </row>
    <row r="4" spans="1:5" ht="15.75">
      <c r="A4" s="35"/>
      <c r="B4" s="35"/>
      <c r="C4" s="35"/>
      <c r="D4" s="35"/>
      <c r="E4" s="35"/>
    </row>
    <row r="5" spans="1:5" ht="15.75">
      <c r="A5" s="35"/>
      <c r="B5" s="35"/>
      <c r="C5" s="35"/>
      <c r="D5" s="35"/>
      <c r="E5" s="35"/>
    </row>
    <row r="6" spans="1:5" ht="15.75">
      <c r="A6" s="38" t="str">
        <f>CONCATENATE("From the County Clerks ",E1," Budget Information:")</f>
        <v>From the County Clerks 2014 Budget Information:</v>
      </c>
      <c r="B6" s="39"/>
      <c r="C6" s="39"/>
      <c r="D6" s="22"/>
      <c r="E6" s="51"/>
    </row>
    <row r="7" spans="1:5" ht="15.75">
      <c r="A7" s="87" t="str">
        <f>CONCATENATE("Total Assessed Valuation for ",E1-1,"")</f>
        <v>Total Assessed Valuation for 2013</v>
      </c>
      <c r="B7" s="76"/>
      <c r="C7" s="76"/>
      <c r="D7" s="76"/>
      <c r="E7" s="50">
        <v>7408980</v>
      </c>
    </row>
    <row r="8" spans="1:5" ht="15.75">
      <c r="A8" s="87" t="str">
        <f>CONCATENATE("New Improvements for ",E1-1,"")</f>
        <v>New Improvements for 2013</v>
      </c>
      <c r="B8" s="76"/>
      <c r="C8" s="76"/>
      <c r="D8" s="76"/>
      <c r="E8" s="88">
        <v>13785</v>
      </c>
    </row>
    <row r="9" spans="1:5" ht="15.75">
      <c r="A9" s="87" t="str">
        <f>CONCATENATE("Personal Property  excluding oil, gas, and mobile homes - ",E1-1,"")</f>
        <v>Personal Property  excluding oil, gas, and mobile homes - 2013</v>
      </c>
      <c r="B9" s="76"/>
      <c r="C9" s="76"/>
      <c r="D9" s="76"/>
      <c r="E9" s="88">
        <v>55845</v>
      </c>
    </row>
    <row r="10" spans="1:5" ht="15.75">
      <c r="A10" s="89" t="s">
        <v>165</v>
      </c>
      <c r="B10" s="76"/>
      <c r="C10" s="76"/>
      <c r="D10" s="76"/>
      <c r="E10" s="68"/>
    </row>
    <row r="11" spans="1:5" ht="15.75">
      <c r="A11" s="87" t="s">
        <v>137</v>
      </c>
      <c r="B11" s="76"/>
      <c r="C11" s="76"/>
      <c r="D11" s="76"/>
      <c r="E11" s="88"/>
    </row>
    <row r="12" spans="1:5" ht="15.75">
      <c r="A12" s="87" t="s">
        <v>138</v>
      </c>
      <c r="B12" s="76"/>
      <c r="C12" s="76"/>
      <c r="D12" s="76"/>
      <c r="E12" s="88"/>
    </row>
    <row r="13" spans="1:5" ht="15.75">
      <c r="A13" s="87" t="s">
        <v>139</v>
      </c>
      <c r="B13" s="76"/>
      <c r="C13" s="76"/>
      <c r="D13" s="76"/>
      <c r="E13" s="88"/>
    </row>
    <row r="14" spans="1:5" ht="15.75">
      <c r="A14" s="87" t="str">
        <f>CONCATENATE("Property that has changed in use for ",E1-1,"")</f>
        <v>Property that has changed in use for 2013</v>
      </c>
      <c r="B14" s="76"/>
      <c r="C14" s="76"/>
      <c r="D14" s="76"/>
      <c r="E14" s="88">
        <v>14600</v>
      </c>
    </row>
    <row r="15" spans="1:5" ht="15.75">
      <c r="A15" s="87" t="str">
        <f>CONCATENATE("Personal Property excluding oil, gas, and mobile homes - ",E1-2,"")</f>
        <v>Personal Property excluding oil, gas, and mobile homes - 2012</v>
      </c>
      <c r="B15" s="76"/>
      <c r="C15" s="76"/>
      <c r="D15" s="76"/>
      <c r="E15" s="88">
        <v>62391</v>
      </c>
    </row>
    <row r="16" spans="1:5" ht="15.75">
      <c r="A16" s="87" t="str">
        <f>CONCATENATE("Gross earnings (intangible) tax estimate for ",E1,"")</f>
        <v>Gross earnings (intangible) tax estimate for 2014</v>
      </c>
      <c r="B16" s="76"/>
      <c r="C16" s="76"/>
      <c r="D16" s="77"/>
      <c r="E16" s="50"/>
    </row>
    <row r="17" spans="1:5" ht="15.75">
      <c r="A17" s="87" t="s">
        <v>166</v>
      </c>
      <c r="B17" s="76"/>
      <c r="C17" s="76"/>
      <c r="D17" s="76"/>
      <c r="E17" s="49"/>
    </row>
    <row r="18" spans="1:5" ht="15.75">
      <c r="A18" s="61"/>
      <c r="B18" s="60"/>
      <c r="C18" s="60"/>
      <c r="D18" s="60"/>
      <c r="E18" s="63"/>
    </row>
    <row r="19" spans="1:5" ht="15.75">
      <c r="A19" s="61" t="str">
        <f>CONCATENATE("Actual Tax Rates for the ",E1-1," Budget:")</f>
        <v>Actual Tax Rates for the 2013 Budget:</v>
      </c>
      <c r="B19" s="60"/>
      <c r="C19" s="60"/>
      <c r="D19" s="60"/>
      <c r="E19" s="58"/>
    </row>
    <row r="20" spans="1:5" ht="15.75">
      <c r="A20" s="733" t="s">
        <v>10</v>
      </c>
      <c r="B20" s="734"/>
      <c r="C20" s="90"/>
      <c r="D20" s="91" t="s">
        <v>62</v>
      </c>
      <c r="E20" s="58"/>
    </row>
    <row r="21" spans="1:5" ht="15.75">
      <c r="A21" s="54" t="str">
        <f>inputPrYr!B17</f>
        <v>General</v>
      </c>
      <c r="B21" s="55"/>
      <c r="C21" s="60"/>
      <c r="D21" s="92">
        <v>14.801</v>
      </c>
      <c r="E21" s="63"/>
    </row>
    <row r="22" spans="1:5" ht="15.75">
      <c r="A22" s="87" t="str">
        <f>inputPrYr!B18</f>
        <v>Debt Service</v>
      </c>
      <c r="B22" s="76"/>
      <c r="C22" s="60"/>
      <c r="D22" s="93">
        <v>0</v>
      </c>
      <c r="E22" s="63"/>
    </row>
    <row r="23" spans="1:5" ht="15.75">
      <c r="A23" s="87" t="str">
        <f>inputPrYr!B19</f>
        <v>Library</v>
      </c>
      <c r="B23" s="76"/>
      <c r="C23" s="60"/>
      <c r="D23" s="93">
        <v>0</v>
      </c>
      <c r="E23" s="63"/>
    </row>
    <row r="24" spans="1:5" ht="15.75">
      <c r="A24" s="87" t="str">
        <f>inputPrYr!B21</f>
        <v>Street Lighting</v>
      </c>
      <c r="B24" s="76"/>
      <c r="C24" s="60"/>
      <c r="D24" s="93">
        <v>2.665</v>
      </c>
      <c r="E24" s="63"/>
    </row>
    <row r="25" spans="1:5" ht="15.75">
      <c r="A25" s="87" t="str">
        <f>inputPrYr!B22</f>
        <v>Employee Benefits</v>
      </c>
      <c r="B25" s="76"/>
      <c r="C25" s="60"/>
      <c r="D25" s="93">
        <v>30.646000000000001</v>
      </c>
      <c r="E25" s="63"/>
    </row>
    <row r="26" spans="1:5" ht="15.75">
      <c r="A26" s="87" t="str">
        <f>inputPrYr!B23</f>
        <v>Street Maintenance</v>
      </c>
      <c r="B26" s="94"/>
      <c r="C26" s="60"/>
      <c r="D26" s="95">
        <v>0.64200000000000002</v>
      </c>
      <c r="E26" s="63"/>
    </row>
    <row r="27" spans="1:5" ht="15.75">
      <c r="A27" s="87">
        <f>inputPrYr!B24</f>
        <v>0</v>
      </c>
      <c r="B27" s="94"/>
      <c r="C27" s="60"/>
      <c r="D27" s="95"/>
      <c r="E27" s="63"/>
    </row>
    <row r="28" spans="1:5" ht="15.75">
      <c r="A28" s="87">
        <f>inputPrYr!B25</f>
        <v>0</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332</v>
      </c>
      <c r="C34" s="96"/>
      <c r="D34" s="71">
        <f>SUM(D21:D33)</f>
        <v>48.754000000000005</v>
      </c>
      <c r="E34" s="90"/>
    </row>
    <row r="35" spans="1:5">
      <c r="A35" s="90"/>
      <c r="B35" s="90"/>
      <c r="C35" s="90"/>
      <c r="D35" s="90"/>
      <c r="E35" s="90"/>
    </row>
    <row r="36" spans="1:5" ht="15.75">
      <c r="A36" s="55" t="str">
        <f>CONCATENATE("Final Assessed Valuation from the November 1, ",E1-2," Abstract")</f>
        <v>Final Assessed Valuation from the November 1, 2012 Abstract</v>
      </c>
      <c r="B36" s="97"/>
      <c r="C36" s="97"/>
      <c r="D36" s="97"/>
      <c r="E36" s="49">
        <v>7889034</v>
      </c>
    </row>
    <row r="37" spans="1:5">
      <c r="A37" s="90"/>
      <c r="B37" s="90"/>
      <c r="C37" s="90"/>
      <c r="D37" s="90"/>
      <c r="E37" s="90"/>
    </row>
    <row r="38" spans="1:5" ht="15.75">
      <c r="A38" s="66" t="str">
        <f>CONCATENATE("From the County Treasurer's Budget Information - ",E1," Budget Year Estimates:")</f>
        <v>From the County Treasurer's Budget Information - 2014 Budget Year Estimates:</v>
      </c>
      <c r="B38" s="37"/>
      <c r="C38" s="37"/>
      <c r="D38" s="98"/>
      <c r="E38" s="51"/>
    </row>
    <row r="39" spans="1:5" ht="15.75">
      <c r="A39" s="54" t="s">
        <v>333</v>
      </c>
      <c r="B39" s="55"/>
      <c r="C39" s="55"/>
      <c r="D39" s="99"/>
      <c r="E39" s="50">
        <v>31544</v>
      </c>
    </row>
    <row r="40" spans="1:5" ht="15.75">
      <c r="A40" s="87" t="s">
        <v>334</v>
      </c>
      <c r="B40" s="76"/>
      <c r="C40" s="76"/>
      <c r="D40" s="100"/>
      <c r="E40" s="50">
        <v>240</v>
      </c>
    </row>
    <row r="41" spans="1:5" ht="15.75">
      <c r="A41" s="87" t="s">
        <v>167</v>
      </c>
      <c r="B41" s="76"/>
      <c r="C41" s="76"/>
      <c r="D41" s="100"/>
      <c r="E41" s="50">
        <v>121</v>
      </c>
    </row>
    <row r="42" spans="1:5" ht="15.75">
      <c r="A42" s="87" t="s">
        <v>168</v>
      </c>
      <c r="B42" s="76"/>
      <c r="C42" s="76"/>
      <c r="D42" s="100"/>
      <c r="E42" s="50"/>
    </row>
    <row r="43" spans="1:5" ht="15.75">
      <c r="A43" s="87" t="s">
        <v>169</v>
      </c>
      <c r="B43" s="76"/>
      <c r="C43" s="76"/>
      <c r="D43" s="100"/>
      <c r="E43" s="50"/>
    </row>
    <row r="44" spans="1:5" ht="15.75">
      <c r="A44" s="22" t="s">
        <v>170</v>
      </c>
      <c r="B44" s="22"/>
      <c r="C44" s="22"/>
      <c r="D44" s="22"/>
      <c r="E44" s="22"/>
    </row>
    <row r="45" spans="1:5" ht="15.75">
      <c r="A45" s="24" t="s">
        <v>18</v>
      </c>
      <c r="B45" s="33"/>
      <c r="C45" s="33"/>
      <c r="D45" s="22"/>
      <c r="E45" s="22"/>
    </row>
    <row r="46" spans="1:5" ht="15.75">
      <c r="A46" s="61" t="str">
        <f>CONCATENATE("Actual Delinquency for ",E1-3," Tax - (rate .01213 = 1.213%, key in 1.2)")</f>
        <v>Actual Delinquency for 2011 Tax - (rate .01213 = 1.213%, key in 1.2)</v>
      </c>
      <c r="B46" s="60"/>
      <c r="C46" s="22"/>
      <c r="D46" s="22"/>
      <c r="E46" s="585">
        <v>1.55703E-2</v>
      </c>
    </row>
    <row r="47" spans="1:5" ht="15.75">
      <c r="A47" s="374" t="s">
        <v>813</v>
      </c>
      <c r="B47" s="61"/>
      <c r="C47" s="60"/>
      <c r="D47" s="60"/>
      <c r="E47" s="586">
        <v>1.6E-2</v>
      </c>
    </row>
    <row r="48" spans="1:5" ht="15.75">
      <c r="A48" s="101" t="s">
        <v>215</v>
      </c>
      <c r="B48" s="101"/>
      <c r="C48" s="102"/>
      <c r="D48" s="102"/>
      <c r="E48" s="103"/>
    </row>
    <row r="49" spans="1:5" ht="15.75">
      <c r="A49" s="22"/>
      <c r="B49" s="22"/>
      <c r="C49" s="22"/>
      <c r="D49" s="22"/>
      <c r="E49" s="22"/>
    </row>
    <row r="50" spans="1:5" ht="15.75">
      <c r="A50" s="104" t="s">
        <v>260</v>
      </c>
      <c r="B50" s="105"/>
      <c r="C50" s="106"/>
      <c r="D50" s="106"/>
      <c r="E50" s="106"/>
    </row>
    <row r="51" spans="1:5" ht="15.75">
      <c r="A51" s="107" t="str">
        <f>CONCATENATE("",E1," State Distribution for Kansas Gas Tax")</f>
        <v>2014 State Distribution for Kansas Gas Tax</v>
      </c>
      <c r="B51" s="108"/>
      <c r="C51" s="108"/>
      <c r="D51" s="109"/>
      <c r="E51" s="49">
        <v>41760</v>
      </c>
    </row>
    <row r="52" spans="1:5" ht="15.75">
      <c r="A52" s="110" t="str">
        <f>CONCATENATE("",E1," County Transfers for Gas***")</f>
        <v>2014 County Transfers for Gas***</v>
      </c>
      <c r="B52" s="111"/>
      <c r="C52" s="111"/>
      <c r="D52" s="112"/>
      <c r="E52" s="49"/>
    </row>
    <row r="53" spans="1:5" ht="15.75">
      <c r="A53" s="110" t="str">
        <f>CONCATENATE("Adjusted ",E1-1," State Distribution for Kansas Gas Tax")</f>
        <v>Adjusted 2013 State Distribution for Kansas Gas Tax</v>
      </c>
      <c r="B53" s="111"/>
      <c r="C53" s="111"/>
      <c r="D53" s="112"/>
      <c r="E53" s="49">
        <v>40310</v>
      </c>
    </row>
    <row r="54" spans="1:5" ht="15.75">
      <c r="A54" s="110" t="str">
        <f>CONCATENATE("Adjusted ",E1-1," County Transfers for Gas***")</f>
        <v>Adjusted 2013 County Transfers for Gas***</v>
      </c>
      <c r="B54" s="111"/>
      <c r="C54" s="111"/>
      <c r="D54" s="112"/>
      <c r="E54" s="49"/>
    </row>
    <row r="55" spans="1:5">
      <c r="A55" s="735" t="s">
        <v>236</v>
      </c>
      <c r="B55" s="736"/>
      <c r="C55" s="736"/>
      <c r="D55" s="736"/>
      <c r="E55" s="736"/>
    </row>
    <row r="56" spans="1:5">
      <c r="A56" s="113" t="s">
        <v>237</v>
      </c>
      <c r="B56" s="113"/>
      <c r="C56" s="113"/>
      <c r="D56" s="113"/>
      <c r="E56" s="113"/>
    </row>
    <row r="57" spans="1:5">
      <c r="A57" s="85"/>
      <c r="B57" s="85"/>
      <c r="C57" s="85"/>
      <c r="D57" s="85"/>
      <c r="E57" s="85"/>
    </row>
    <row r="58" spans="1:5" ht="15.75">
      <c r="A58" s="737" t="str">
        <f>CONCATENATE("From the ",E1-2," Budget Certificate Page")</f>
        <v>From the 2012 Budget Certificate Page</v>
      </c>
      <c r="B58" s="738"/>
      <c r="C58" s="85"/>
      <c r="D58" s="85"/>
      <c r="E58" s="85"/>
    </row>
    <row r="59" spans="1:5" ht="15.75">
      <c r="A59" s="114"/>
      <c r="B59" s="114" t="str">
        <f>CONCATENATE("",E1-2," Expenditure Amounts")</f>
        <v>2012 Expenditure Amounts</v>
      </c>
      <c r="C59" s="731" t="str">
        <f>CONCATENATE("Note: If the ",E1-2," budget was amended, then the")</f>
        <v>Note: If the 2012 budget was amended, then the</v>
      </c>
      <c r="D59" s="732"/>
      <c r="E59" s="732"/>
    </row>
    <row r="60" spans="1:5" ht="15.75">
      <c r="A60" s="115" t="s">
        <v>264</v>
      </c>
      <c r="B60" s="115" t="s">
        <v>265</v>
      </c>
      <c r="C60" s="116" t="s">
        <v>266</v>
      </c>
      <c r="D60" s="117"/>
      <c r="E60" s="117"/>
    </row>
    <row r="61" spans="1:5" ht="15.75">
      <c r="A61" s="118" t="str">
        <f>inputPrYr!B17</f>
        <v>General</v>
      </c>
      <c r="B61" s="49">
        <v>749080</v>
      </c>
      <c r="C61" s="116" t="s">
        <v>267</v>
      </c>
      <c r="D61" s="117"/>
      <c r="E61" s="117"/>
    </row>
    <row r="62" spans="1:5" ht="15.75">
      <c r="A62" s="118" t="str">
        <f>inputPrYr!B18</f>
        <v>Debt Service</v>
      </c>
      <c r="B62" s="49">
        <v>50543</v>
      </c>
      <c r="C62" s="116"/>
      <c r="D62" s="117"/>
      <c r="E62" s="117"/>
    </row>
    <row r="63" spans="1:5" ht="15.75">
      <c r="A63" s="118" t="str">
        <f>inputPrYr!B19</f>
        <v>Library</v>
      </c>
      <c r="B63" s="49">
        <v>0</v>
      </c>
      <c r="C63" s="85"/>
      <c r="D63" s="85"/>
      <c r="E63" s="85"/>
    </row>
    <row r="64" spans="1:5" ht="15.75">
      <c r="A64" s="118" t="str">
        <f>inputPrYr!B21</f>
        <v>Street Lighting</v>
      </c>
      <c r="B64" s="49">
        <v>20000</v>
      </c>
      <c r="C64" s="85"/>
      <c r="D64" s="85"/>
      <c r="E64" s="85"/>
    </row>
    <row r="65" spans="1:5" ht="15.75">
      <c r="A65" s="118" t="str">
        <f>inputPrYr!B22</f>
        <v>Employee Benefits</v>
      </c>
      <c r="B65" s="49">
        <v>342000</v>
      </c>
      <c r="C65" s="85"/>
      <c r="D65" s="85"/>
      <c r="E65" s="85"/>
    </row>
    <row r="66" spans="1:5" ht="15.75">
      <c r="A66" s="118" t="str">
        <f>inputPrYr!B23</f>
        <v>Street Maintenance</v>
      </c>
      <c r="B66" s="49">
        <v>76800</v>
      </c>
      <c r="C66" s="85"/>
      <c r="D66" s="85"/>
      <c r="E66" s="85"/>
    </row>
    <row r="67" spans="1:5" ht="15.75">
      <c r="A67" s="118">
        <f>inputPrYr!B24</f>
        <v>0</v>
      </c>
      <c r="B67" s="49"/>
      <c r="C67" s="85"/>
      <c r="D67" s="85"/>
      <c r="E67" s="85"/>
    </row>
    <row r="68" spans="1:5" ht="15.75">
      <c r="A68" s="118">
        <f>inputPrYr!B25</f>
        <v>0</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Highway</v>
      </c>
      <c r="B74" s="49"/>
      <c r="C74" s="85"/>
      <c r="D74" s="85"/>
      <c r="E74" s="85"/>
    </row>
    <row r="75" spans="1:5" ht="15.75">
      <c r="A75" s="118" t="str">
        <f>inputPrYr!B35</f>
        <v>Parks and Recreation</v>
      </c>
      <c r="B75" s="49">
        <v>5280</v>
      </c>
      <c r="C75" s="85"/>
      <c r="D75" s="85"/>
      <c r="E75" s="85"/>
    </row>
    <row r="76" spans="1:5" ht="15.75">
      <c r="A76" s="118" t="str">
        <f>inputPrYr!B36</f>
        <v>Water Utility</v>
      </c>
      <c r="B76" s="49">
        <v>329500</v>
      </c>
      <c r="C76" s="85"/>
      <c r="D76" s="85"/>
      <c r="E76" s="85"/>
    </row>
    <row r="77" spans="1:5" ht="15.75">
      <c r="A77" s="118" t="str">
        <f>inputPrYr!B37</f>
        <v>Sewer Utility</v>
      </c>
      <c r="B77" s="49">
        <v>177200</v>
      </c>
      <c r="C77" s="85"/>
      <c r="D77" s="85"/>
      <c r="E77" s="85"/>
    </row>
    <row r="78" spans="1:5" ht="15.75">
      <c r="A78" s="118" t="str">
        <f>inputPrYr!B38</f>
        <v>Refuse Collection</v>
      </c>
      <c r="B78" s="49">
        <v>90000</v>
      </c>
      <c r="C78" s="85"/>
      <c r="D78" s="85"/>
      <c r="E78" s="85"/>
    </row>
    <row r="79" spans="1:5" ht="15.75">
      <c r="A79" s="118">
        <f>inputPrYr!B39</f>
        <v>0</v>
      </c>
      <c r="B79" s="49"/>
      <c r="C79" s="85"/>
      <c r="D79" s="85"/>
      <c r="E79" s="85"/>
    </row>
    <row r="80" spans="1:5" ht="15.75">
      <c r="A80" s="118">
        <f>inputPrYr!B40</f>
        <v>0</v>
      </c>
      <c r="B80" s="49"/>
      <c r="C80" s="85"/>
      <c r="D80" s="85"/>
      <c r="E80" s="85"/>
    </row>
    <row r="81" spans="1:5" ht="15.75">
      <c r="A81" s="118">
        <f>inputPrYr!B41</f>
        <v>0</v>
      </c>
      <c r="B81" s="49"/>
      <c r="C81" s="85"/>
      <c r="D81" s="85"/>
      <c r="E81" s="85"/>
    </row>
    <row r="82" spans="1:5" ht="15.75">
      <c r="A82" s="118">
        <f>inputPrYr!B44</f>
        <v>0</v>
      </c>
      <c r="B82" s="49"/>
      <c r="C82" s="85"/>
      <c r="D82" s="85"/>
      <c r="E82" s="85"/>
    </row>
    <row r="83" spans="1:5" ht="15.75">
      <c r="A83" s="118">
        <f>inputPrYr!B45</f>
        <v>0</v>
      </c>
      <c r="B83" s="49"/>
      <c r="C83" s="85"/>
      <c r="D83" s="85"/>
      <c r="E83" s="85"/>
    </row>
    <row r="84" spans="1:5" ht="15.75">
      <c r="A84" s="118">
        <f>inputPrYr!B46</f>
        <v>0</v>
      </c>
      <c r="B84" s="49"/>
      <c r="C84" s="85"/>
      <c r="D84" s="85"/>
      <c r="E84" s="85"/>
    </row>
    <row r="85" spans="1:5" ht="15.75">
      <c r="A85" s="118">
        <f>inputPrYr!B47</f>
        <v>0</v>
      </c>
      <c r="B85" s="49"/>
      <c r="C85" s="85"/>
      <c r="D85" s="85"/>
      <c r="E85" s="85"/>
    </row>
  </sheetData>
  <sheetProtection sheet="1"/>
  <mergeCells count="5">
    <mergeCell ref="C59:E59"/>
    <mergeCell ref="A20:B20"/>
    <mergeCell ref="A55:E55"/>
    <mergeCell ref="A3:E3"/>
    <mergeCell ref="A58:B58"/>
  </mergeCells>
  <phoneticPr fontId="11" type="noConversion"/>
  <pageMargins left="0.75" right="0.75" top="1" bottom="1" header="0.5" footer="0.5"/>
  <pageSetup scale="49"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heetViews>
  <sheetFormatPr defaultRowHeight="15"/>
  <cols>
    <col min="1" max="1" width="71.33203125" customWidth="1"/>
  </cols>
  <sheetData>
    <row r="3" spans="1:7">
      <c r="A3" s="329" t="s">
        <v>561</v>
      </c>
      <c r="B3" s="329"/>
      <c r="C3" s="329"/>
      <c r="D3" s="329"/>
      <c r="E3" s="329"/>
      <c r="F3" s="329"/>
      <c r="G3" s="329"/>
    </row>
    <row r="4" spans="1:7">
      <c r="A4" s="329" t="s">
        <v>562</v>
      </c>
      <c r="B4" s="329"/>
      <c r="C4" s="329"/>
      <c r="D4" s="329"/>
      <c r="E4" s="329"/>
      <c r="F4" s="329"/>
      <c r="G4" s="329"/>
    </row>
    <row r="5" spans="1:7">
      <c r="A5" s="329"/>
      <c r="B5" s="329"/>
      <c r="C5" s="329"/>
      <c r="D5" s="329"/>
      <c r="E5" s="329"/>
      <c r="F5" s="329"/>
      <c r="G5" s="329"/>
    </row>
    <row r="6" spans="1:7">
      <c r="A6" s="329"/>
      <c r="B6" s="329"/>
      <c r="C6" s="329"/>
      <c r="D6" s="329"/>
      <c r="E6" s="329"/>
      <c r="F6" s="329"/>
      <c r="G6" s="329"/>
    </row>
    <row r="7" spans="1:7">
      <c r="A7" s="330" t="s">
        <v>389</v>
      </c>
    </row>
    <row r="8" spans="1:7">
      <c r="A8" s="330" t="str">
        <f>CONCATENATE("estimated ",inputPrYr!C5," 'total expenditures' exceed your ",inputPrYr!C5,"")</f>
        <v>estimated 2014 'total expenditures' exceed your 2014</v>
      </c>
    </row>
    <row r="9" spans="1:7">
      <c r="A9" s="333" t="s">
        <v>563</v>
      </c>
    </row>
    <row r="10" spans="1:7">
      <c r="A10" s="330"/>
    </row>
    <row r="11" spans="1:7">
      <c r="A11" s="330" t="s">
        <v>564</v>
      </c>
    </row>
    <row r="12" spans="1:7">
      <c r="A12" s="330" t="s">
        <v>565</v>
      </c>
    </row>
    <row r="13" spans="1:7">
      <c r="A13" s="330" t="s">
        <v>566</v>
      </c>
    </row>
    <row r="14" spans="1:7">
      <c r="A14" s="330"/>
    </row>
    <row r="15" spans="1:7">
      <c r="A15" s="331" t="s">
        <v>567</v>
      </c>
    </row>
    <row r="16" spans="1:7">
      <c r="A16" s="329"/>
      <c r="B16" s="329"/>
      <c r="C16" s="329"/>
      <c r="D16" s="329"/>
      <c r="E16" s="329"/>
      <c r="F16" s="329"/>
      <c r="G16" s="329"/>
    </row>
    <row r="17" spans="1:8">
      <c r="A17" s="336" t="s">
        <v>568</v>
      </c>
      <c r="B17" s="337"/>
      <c r="C17" s="337"/>
      <c r="D17" s="337"/>
      <c r="E17" s="337"/>
      <c r="F17" s="337"/>
      <c r="G17" s="337"/>
      <c r="H17" s="337"/>
    </row>
    <row r="18" spans="1:8">
      <c r="A18" s="330" t="s">
        <v>569</v>
      </c>
      <c r="B18" s="338"/>
      <c r="C18" s="338"/>
      <c r="D18" s="338"/>
      <c r="E18" s="338"/>
      <c r="F18" s="338"/>
      <c r="G18" s="338"/>
    </row>
    <row r="19" spans="1:8">
      <c r="A19" s="330" t="s">
        <v>570</v>
      </c>
    </row>
    <row r="20" spans="1:8">
      <c r="A20" s="330" t="s">
        <v>571</v>
      </c>
    </row>
    <row r="22" spans="1:8">
      <c r="A22" s="331" t="s">
        <v>572</v>
      </c>
    </row>
    <row r="24" spans="1:8">
      <c r="A24" s="330" t="s">
        <v>573</v>
      </c>
    </row>
    <row r="25" spans="1:8">
      <c r="A25" s="330" t="s">
        <v>574</v>
      </c>
    </row>
    <row r="26" spans="1:8">
      <c r="A26" s="330" t="s">
        <v>575</v>
      </c>
    </row>
    <row r="28" spans="1:8">
      <c r="A28" s="331" t="s">
        <v>576</v>
      </c>
    </row>
    <row r="30" spans="1:8">
      <c r="A30" t="s">
        <v>577</v>
      </c>
    </row>
    <row r="31" spans="1:8">
      <c r="A31" t="s">
        <v>578</v>
      </c>
    </row>
    <row r="32" spans="1:8">
      <c r="A32" t="s">
        <v>579</v>
      </c>
    </row>
    <row r="33" spans="1:1">
      <c r="A33" s="330" t="s">
        <v>580</v>
      </c>
    </row>
    <row r="35" spans="1:1">
      <c r="A35" t="s">
        <v>581</v>
      </c>
    </row>
    <row r="36" spans="1:1">
      <c r="A36" t="s">
        <v>582</v>
      </c>
    </row>
    <row r="37" spans="1:1">
      <c r="A37" t="s">
        <v>583</v>
      </c>
    </row>
    <row r="38" spans="1:1">
      <c r="A38" t="s">
        <v>584</v>
      </c>
    </row>
    <row r="40" spans="1:1">
      <c r="A40" t="s">
        <v>585</v>
      </c>
    </row>
    <row r="41" spans="1:1">
      <c r="A41" t="s">
        <v>586</v>
      </c>
    </row>
    <row r="42" spans="1:1">
      <c r="A42" t="s">
        <v>587</v>
      </c>
    </row>
    <row r="43" spans="1:1">
      <c r="A43" t="s">
        <v>588</v>
      </c>
    </row>
    <row r="44" spans="1:1">
      <c r="A44" t="s">
        <v>589</v>
      </c>
    </row>
    <row r="45" spans="1:1">
      <c r="A45" t="s">
        <v>590</v>
      </c>
    </row>
    <row r="47" spans="1:1">
      <c r="A47" t="s">
        <v>591</v>
      </c>
    </row>
    <row r="48" spans="1:1">
      <c r="A48" t="s">
        <v>592</v>
      </c>
    </row>
    <row r="49" spans="1:1">
      <c r="A49" s="330" t="s">
        <v>593</v>
      </c>
    </row>
    <row r="50" spans="1:1">
      <c r="A50" s="330" t="s">
        <v>594</v>
      </c>
    </row>
    <row r="52" spans="1:1">
      <c r="A52" t="s">
        <v>444</v>
      </c>
    </row>
  </sheetData>
  <sheetProtection sheet="1"/>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topLeftCell="A100" zoomScaleNormal="100" workbookViewId="0">
      <selection activeCell="O129" sqref="O129"/>
    </sheetView>
  </sheetViews>
  <sheetFormatPr defaultRowHeight="14.25"/>
  <cols>
    <col min="1" max="1" width="7.5546875" style="483" customWidth="1"/>
    <col min="2" max="2" width="11.21875" style="415" customWidth="1"/>
    <col min="3" max="3" width="7.44140625" style="415" customWidth="1"/>
    <col min="4" max="4" width="8.88671875" style="415"/>
    <col min="5" max="5" width="1.5546875" style="415" customWidth="1"/>
    <col min="6" max="6" width="14.33203125" style="415" customWidth="1"/>
    <col min="7" max="7" width="2.5546875" style="415" customWidth="1"/>
    <col min="8" max="8" width="9.77734375" style="415" customWidth="1"/>
    <col min="9" max="9" width="2" style="415" customWidth="1"/>
    <col min="10" max="10" width="8.5546875" style="415" customWidth="1"/>
    <col min="11" max="11" width="11.6640625" style="415" customWidth="1"/>
    <col min="12" max="12" width="7.5546875" style="483" customWidth="1"/>
    <col min="13" max="14" width="8.88671875" style="483"/>
    <col min="15" max="15" width="9.88671875" style="483" bestFit="1" customWidth="1"/>
    <col min="16" max="16384" width="8.88671875" style="483"/>
  </cols>
  <sheetData>
    <row r="1" spans="1:12">
      <c r="A1" s="414"/>
      <c r="B1" s="414"/>
      <c r="C1" s="414"/>
      <c r="D1" s="414"/>
      <c r="E1" s="414"/>
      <c r="F1" s="414"/>
      <c r="G1" s="414"/>
      <c r="H1" s="414"/>
      <c r="I1" s="414"/>
      <c r="J1" s="414"/>
      <c r="K1" s="414"/>
      <c r="L1" s="414"/>
    </row>
    <row r="2" spans="1:12">
      <c r="A2" s="414"/>
      <c r="B2" s="414"/>
      <c r="C2" s="414"/>
      <c r="D2" s="414"/>
      <c r="E2" s="414"/>
      <c r="F2" s="414"/>
      <c r="G2" s="414"/>
      <c r="H2" s="414"/>
      <c r="I2" s="414"/>
      <c r="J2" s="414"/>
      <c r="K2" s="414"/>
      <c r="L2" s="414"/>
    </row>
    <row r="3" spans="1:12">
      <c r="A3" s="414"/>
      <c r="B3" s="414"/>
      <c r="C3" s="414"/>
      <c r="D3" s="414"/>
      <c r="E3" s="414"/>
      <c r="F3" s="414"/>
      <c r="G3" s="414"/>
      <c r="H3" s="414"/>
      <c r="I3" s="414"/>
      <c r="J3" s="414"/>
      <c r="K3" s="414"/>
      <c r="L3" s="414"/>
    </row>
    <row r="4" spans="1:12">
      <c r="A4" s="414"/>
      <c r="L4" s="414"/>
    </row>
    <row r="5" spans="1:12" ht="15" customHeight="1">
      <c r="A5" s="414"/>
      <c r="L5" s="414"/>
    </row>
    <row r="6" spans="1:12" ht="33" customHeight="1">
      <c r="A6" s="414"/>
      <c r="B6" s="821" t="s">
        <v>664</v>
      </c>
      <c r="C6" s="834"/>
      <c r="D6" s="834"/>
      <c r="E6" s="834"/>
      <c r="F6" s="834"/>
      <c r="G6" s="834"/>
      <c r="H6" s="834"/>
      <c r="I6" s="834"/>
      <c r="J6" s="834"/>
      <c r="K6" s="834"/>
      <c r="L6" s="416"/>
    </row>
    <row r="7" spans="1:12" ht="40.5" customHeight="1">
      <c r="A7" s="414"/>
      <c r="B7" s="836" t="s">
        <v>665</v>
      </c>
      <c r="C7" s="837"/>
      <c r="D7" s="837"/>
      <c r="E7" s="837"/>
      <c r="F7" s="837"/>
      <c r="G7" s="837"/>
      <c r="H7" s="837"/>
      <c r="I7" s="837"/>
      <c r="J7" s="837"/>
      <c r="K7" s="837"/>
      <c r="L7" s="414"/>
    </row>
    <row r="8" spans="1:12">
      <c r="A8" s="414"/>
      <c r="B8" s="829" t="s">
        <v>666</v>
      </c>
      <c r="C8" s="829"/>
      <c r="D8" s="829"/>
      <c r="E8" s="829"/>
      <c r="F8" s="829"/>
      <c r="G8" s="829"/>
      <c r="H8" s="829"/>
      <c r="I8" s="829"/>
      <c r="J8" s="829"/>
      <c r="K8" s="829"/>
      <c r="L8" s="414"/>
    </row>
    <row r="9" spans="1:12">
      <c r="A9" s="414"/>
      <c r="L9" s="414"/>
    </row>
    <row r="10" spans="1:12">
      <c r="A10" s="414"/>
      <c r="B10" s="829" t="s">
        <v>667</v>
      </c>
      <c r="C10" s="829"/>
      <c r="D10" s="829"/>
      <c r="E10" s="829"/>
      <c r="F10" s="829"/>
      <c r="G10" s="829"/>
      <c r="H10" s="829"/>
      <c r="I10" s="829"/>
      <c r="J10" s="829"/>
      <c r="K10" s="829"/>
      <c r="L10" s="414"/>
    </row>
    <row r="11" spans="1:12">
      <c r="A11" s="414"/>
      <c r="B11" s="630"/>
      <c r="C11" s="630"/>
      <c r="D11" s="630"/>
      <c r="E11" s="630"/>
      <c r="F11" s="630"/>
      <c r="G11" s="630"/>
      <c r="H11" s="630"/>
      <c r="I11" s="630"/>
      <c r="J11" s="630"/>
      <c r="K11" s="630"/>
      <c r="L11" s="414"/>
    </row>
    <row r="12" spans="1:12" ht="32.25" customHeight="1">
      <c r="A12" s="414"/>
      <c r="B12" s="822" t="s">
        <v>668</v>
      </c>
      <c r="C12" s="822"/>
      <c r="D12" s="822"/>
      <c r="E12" s="822"/>
      <c r="F12" s="822"/>
      <c r="G12" s="822"/>
      <c r="H12" s="822"/>
      <c r="I12" s="822"/>
      <c r="J12" s="822"/>
      <c r="K12" s="822"/>
      <c r="L12" s="414"/>
    </row>
    <row r="13" spans="1:12">
      <c r="A13" s="414"/>
      <c r="L13" s="414"/>
    </row>
    <row r="14" spans="1:12">
      <c r="A14" s="414"/>
      <c r="B14" s="417" t="s">
        <v>669</v>
      </c>
      <c r="L14" s="414"/>
    </row>
    <row r="15" spans="1:12">
      <c r="A15" s="414"/>
      <c r="L15" s="414"/>
    </row>
    <row r="16" spans="1:12">
      <c r="A16" s="414"/>
      <c r="B16" s="415" t="s">
        <v>670</v>
      </c>
      <c r="L16" s="414"/>
    </row>
    <row r="17" spans="1:12">
      <c r="A17" s="414"/>
      <c r="B17" s="415" t="s">
        <v>671</v>
      </c>
      <c r="L17" s="414"/>
    </row>
    <row r="18" spans="1:12">
      <c r="A18" s="414"/>
      <c r="L18" s="414"/>
    </row>
    <row r="19" spans="1:12">
      <c r="A19" s="414"/>
      <c r="B19" s="417" t="s">
        <v>834</v>
      </c>
      <c r="L19" s="414"/>
    </row>
    <row r="20" spans="1:12">
      <c r="A20" s="414"/>
      <c r="B20" s="417"/>
      <c r="L20" s="414"/>
    </row>
    <row r="21" spans="1:12">
      <c r="A21" s="414"/>
      <c r="B21" s="415" t="s">
        <v>835</v>
      </c>
      <c r="L21" s="414"/>
    </row>
    <row r="22" spans="1:12">
      <c r="A22" s="414"/>
      <c r="L22" s="414"/>
    </row>
    <row r="23" spans="1:12">
      <c r="A23" s="414"/>
      <c r="B23" s="415" t="s">
        <v>672</v>
      </c>
      <c r="E23" s="415" t="s">
        <v>673</v>
      </c>
      <c r="F23" s="818">
        <v>7343437</v>
      </c>
      <c r="G23" s="818"/>
      <c r="L23" s="414"/>
    </row>
    <row r="24" spans="1:12">
      <c r="A24" s="414"/>
      <c r="L24" s="414"/>
    </row>
    <row r="25" spans="1:12">
      <c r="A25" s="414"/>
      <c r="C25" s="838">
        <f>F23</f>
        <v>7343437</v>
      </c>
      <c r="D25" s="838"/>
      <c r="E25" s="415" t="s">
        <v>674</v>
      </c>
      <c r="F25" s="418">
        <v>1000</v>
      </c>
      <c r="G25" s="418" t="s">
        <v>673</v>
      </c>
      <c r="H25" s="631">
        <f>F23/F25</f>
        <v>7343.4369999999999</v>
      </c>
      <c r="L25" s="414"/>
    </row>
    <row r="26" spans="1:12" ht="15" thickBot="1">
      <c r="A26" s="414"/>
      <c r="L26" s="414"/>
    </row>
    <row r="27" spans="1:12">
      <c r="A27" s="414"/>
      <c r="B27" s="419" t="s">
        <v>669</v>
      </c>
      <c r="C27" s="420"/>
      <c r="D27" s="420"/>
      <c r="E27" s="420"/>
      <c r="F27" s="420"/>
      <c r="G27" s="420"/>
      <c r="H27" s="420"/>
      <c r="I27" s="420"/>
      <c r="J27" s="420"/>
      <c r="K27" s="421"/>
      <c r="L27" s="414"/>
    </row>
    <row r="28" spans="1:12">
      <c r="A28" s="414"/>
      <c r="B28" s="422">
        <f>F23</f>
        <v>7343437</v>
      </c>
      <c r="C28" s="423" t="s">
        <v>675</v>
      </c>
      <c r="D28" s="423"/>
      <c r="E28" s="423" t="s">
        <v>674</v>
      </c>
      <c r="F28" s="624">
        <v>1000</v>
      </c>
      <c r="G28" s="624" t="s">
        <v>673</v>
      </c>
      <c r="H28" s="424">
        <f>B28/F28</f>
        <v>7343.4369999999999</v>
      </c>
      <c r="I28" s="423" t="s">
        <v>676</v>
      </c>
      <c r="J28" s="423"/>
      <c r="K28" s="425"/>
      <c r="L28" s="414"/>
    </row>
    <row r="29" spans="1:12" ht="15" thickBot="1">
      <c r="A29" s="414"/>
      <c r="B29" s="426"/>
      <c r="C29" s="427"/>
      <c r="D29" s="427"/>
      <c r="E29" s="427"/>
      <c r="F29" s="427"/>
      <c r="G29" s="427"/>
      <c r="H29" s="427"/>
      <c r="I29" s="427"/>
      <c r="J29" s="427"/>
      <c r="K29" s="428"/>
      <c r="L29" s="414"/>
    </row>
    <row r="30" spans="1:12" ht="40.5" customHeight="1">
      <c r="A30" s="414"/>
      <c r="B30" s="820" t="s">
        <v>665</v>
      </c>
      <c r="C30" s="820"/>
      <c r="D30" s="820"/>
      <c r="E30" s="820"/>
      <c r="F30" s="820"/>
      <c r="G30" s="820"/>
      <c r="H30" s="820"/>
      <c r="I30" s="820"/>
      <c r="J30" s="820"/>
      <c r="K30" s="820"/>
      <c r="L30" s="414"/>
    </row>
    <row r="31" spans="1:12">
      <c r="A31" s="414"/>
      <c r="B31" s="829" t="s">
        <v>677</v>
      </c>
      <c r="C31" s="829"/>
      <c r="D31" s="829"/>
      <c r="E31" s="829"/>
      <c r="F31" s="829"/>
      <c r="G31" s="829"/>
      <c r="H31" s="829"/>
      <c r="I31" s="829"/>
      <c r="J31" s="829"/>
      <c r="K31" s="829"/>
      <c r="L31" s="414"/>
    </row>
    <row r="32" spans="1:12">
      <c r="A32" s="414"/>
      <c r="L32" s="414"/>
    </row>
    <row r="33" spans="1:12">
      <c r="A33" s="414"/>
      <c r="B33" s="829" t="s">
        <v>678</v>
      </c>
      <c r="C33" s="829"/>
      <c r="D33" s="829"/>
      <c r="E33" s="829"/>
      <c r="F33" s="829"/>
      <c r="G33" s="829"/>
      <c r="H33" s="829"/>
      <c r="I33" s="829"/>
      <c r="J33" s="829"/>
      <c r="K33" s="829"/>
      <c r="L33" s="414"/>
    </row>
    <row r="34" spans="1:12">
      <c r="A34" s="414"/>
      <c r="L34" s="414"/>
    </row>
    <row r="35" spans="1:12" ht="89.25" customHeight="1">
      <c r="A35" s="414"/>
      <c r="B35" s="822" t="s">
        <v>679</v>
      </c>
      <c r="C35" s="830"/>
      <c r="D35" s="830"/>
      <c r="E35" s="830"/>
      <c r="F35" s="830"/>
      <c r="G35" s="830"/>
      <c r="H35" s="830"/>
      <c r="I35" s="830"/>
      <c r="J35" s="830"/>
      <c r="K35" s="830"/>
      <c r="L35" s="414"/>
    </row>
    <row r="36" spans="1:12">
      <c r="A36" s="414"/>
      <c r="L36" s="414"/>
    </row>
    <row r="37" spans="1:12">
      <c r="A37" s="414"/>
      <c r="B37" s="417" t="s">
        <v>680</v>
      </c>
      <c r="L37" s="414"/>
    </row>
    <row r="38" spans="1:12">
      <c r="A38" s="414"/>
      <c r="L38" s="414"/>
    </row>
    <row r="39" spans="1:12">
      <c r="A39" s="414"/>
      <c r="B39" s="415" t="s">
        <v>681</v>
      </c>
      <c r="L39" s="414"/>
    </row>
    <row r="40" spans="1:12">
      <c r="A40" s="414"/>
      <c r="L40" s="414"/>
    </row>
    <row r="41" spans="1:12">
      <c r="A41" s="414"/>
      <c r="C41" s="831">
        <v>312000000</v>
      </c>
      <c r="D41" s="831"/>
      <c r="E41" s="415" t="s">
        <v>674</v>
      </c>
      <c r="F41" s="418">
        <v>1000</v>
      </c>
      <c r="G41" s="418" t="s">
        <v>673</v>
      </c>
      <c r="H41" s="429">
        <f>C41/F41</f>
        <v>312000</v>
      </c>
      <c r="L41" s="414"/>
    </row>
    <row r="42" spans="1:12">
      <c r="A42" s="414"/>
      <c r="L42" s="414"/>
    </row>
    <row r="43" spans="1:12">
      <c r="A43" s="414"/>
      <c r="B43" s="415" t="s">
        <v>682</v>
      </c>
      <c r="L43" s="414"/>
    </row>
    <row r="44" spans="1:12">
      <c r="A44" s="414"/>
      <c r="L44" s="414"/>
    </row>
    <row r="45" spans="1:12">
      <c r="A45" s="414"/>
      <c r="B45" s="415" t="s">
        <v>683</v>
      </c>
      <c r="L45" s="414"/>
    </row>
    <row r="46" spans="1:12" ht="15" thickBot="1">
      <c r="A46" s="414"/>
      <c r="L46" s="414"/>
    </row>
    <row r="47" spans="1:12">
      <c r="A47" s="414"/>
      <c r="B47" s="430" t="s">
        <v>669</v>
      </c>
      <c r="C47" s="420"/>
      <c r="D47" s="420"/>
      <c r="E47" s="420"/>
      <c r="F47" s="420"/>
      <c r="G47" s="420"/>
      <c r="H47" s="420"/>
      <c r="I47" s="420"/>
      <c r="J47" s="420"/>
      <c r="K47" s="421"/>
      <c r="L47" s="414"/>
    </row>
    <row r="48" spans="1:12">
      <c r="A48" s="414"/>
      <c r="B48" s="824">
        <v>7343437</v>
      </c>
      <c r="C48" s="818"/>
      <c r="D48" s="423" t="s">
        <v>684</v>
      </c>
      <c r="E48" s="423" t="s">
        <v>674</v>
      </c>
      <c r="F48" s="624">
        <v>1000</v>
      </c>
      <c r="G48" s="624" t="s">
        <v>673</v>
      </c>
      <c r="H48" s="424">
        <f>B48/F48</f>
        <v>7343.4369999999999</v>
      </c>
      <c r="I48" s="423" t="s">
        <v>685</v>
      </c>
      <c r="J48" s="423"/>
      <c r="K48" s="425"/>
      <c r="L48" s="414"/>
    </row>
    <row r="49" spans="1:24">
      <c r="A49" s="414"/>
      <c r="B49" s="431"/>
      <c r="C49" s="423"/>
      <c r="D49" s="423"/>
      <c r="E49" s="423"/>
      <c r="F49" s="423"/>
      <c r="G49" s="423"/>
      <c r="H49" s="423"/>
      <c r="I49" s="423"/>
      <c r="J49" s="423"/>
      <c r="K49" s="425"/>
      <c r="L49" s="414"/>
    </row>
    <row r="50" spans="1:24">
      <c r="A50" s="414"/>
      <c r="B50" s="432">
        <v>360000</v>
      </c>
      <c r="C50" s="423" t="s">
        <v>686</v>
      </c>
      <c r="D50" s="423"/>
      <c r="E50" s="423" t="s">
        <v>674</v>
      </c>
      <c r="F50" s="424">
        <f>H48</f>
        <v>7343.4369999999999</v>
      </c>
      <c r="G50" s="825" t="s">
        <v>687</v>
      </c>
      <c r="H50" s="826"/>
      <c r="I50" s="624" t="s">
        <v>673</v>
      </c>
      <c r="J50" s="433">
        <f>B50/F50</f>
        <v>49.023366034188079</v>
      </c>
      <c r="K50" s="425"/>
      <c r="L50" s="414"/>
    </row>
    <row r="51" spans="1:24" ht="15" thickBot="1">
      <c r="A51" s="414"/>
      <c r="B51" s="426"/>
      <c r="C51" s="427"/>
      <c r="D51" s="427"/>
      <c r="E51" s="427"/>
      <c r="F51" s="427"/>
      <c r="G51" s="427"/>
      <c r="H51" s="427"/>
      <c r="I51" s="827" t="s">
        <v>688</v>
      </c>
      <c r="J51" s="827"/>
      <c r="K51" s="828"/>
      <c r="L51" s="414"/>
      <c r="O51" s="533"/>
    </row>
    <row r="52" spans="1:24" ht="40.5" customHeight="1">
      <c r="A52" s="414"/>
      <c r="B52" s="820" t="s">
        <v>665</v>
      </c>
      <c r="C52" s="820"/>
      <c r="D52" s="820"/>
      <c r="E52" s="820"/>
      <c r="F52" s="820"/>
      <c r="G52" s="820"/>
      <c r="H52" s="820"/>
      <c r="I52" s="820"/>
      <c r="J52" s="820"/>
      <c r="K52" s="820"/>
      <c r="L52" s="414"/>
    </row>
    <row r="53" spans="1:24">
      <c r="A53" s="414"/>
      <c r="B53" s="829" t="s">
        <v>689</v>
      </c>
      <c r="C53" s="829"/>
      <c r="D53" s="829"/>
      <c r="E53" s="829"/>
      <c r="F53" s="829"/>
      <c r="G53" s="829"/>
      <c r="H53" s="829"/>
      <c r="I53" s="829"/>
      <c r="J53" s="829"/>
      <c r="K53" s="829"/>
      <c r="L53" s="414"/>
    </row>
    <row r="54" spans="1:24">
      <c r="A54" s="414"/>
      <c r="B54" s="630"/>
      <c r="C54" s="630"/>
      <c r="D54" s="630"/>
      <c r="E54" s="630"/>
      <c r="F54" s="630"/>
      <c r="G54" s="630"/>
      <c r="H54" s="630"/>
      <c r="I54" s="630"/>
      <c r="J54" s="630"/>
      <c r="K54" s="630"/>
      <c r="L54" s="414"/>
    </row>
    <row r="55" spans="1:24">
      <c r="A55" s="414"/>
      <c r="B55" s="821" t="s">
        <v>690</v>
      </c>
      <c r="C55" s="821"/>
      <c r="D55" s="821"/>
      <c r="E55" s="821"/>
      <c r="F55" s="821"/>
      <c r="G55" s="821"/>
      <c r="H55" s="821"/>
      <c r="I55" s="821"/>
      <c r="J55" s="821"/>
      <c r="K55" s="821"/>
      <c r="L55" s="414"/>
    </row>
    <row r="56" spans="1:24" ht="15" customHeight="1">
      <c r="A56" s="414"/>
      <c r="L56" s="414"/>
    </row>
    <row r="57" spans="1:24" ht="74.25" customHeight="1">
      <c r="A57" s="414"/>
      <c r="B57" s="822" t="s">
        <v>691</v>
      </c>
      <c r="C57" s="830"/>
      <c r="D57" s="830"/>
      <c r="E57" s="830"/>
      <c r="F57" s="830"/>
      <c r="G57" s="830"/>
      <c r="H57" s="830"/>
      <c r="I57" s="830"/>
      <c r="J57" s="830"/>
      <c r="K57" s="830"/>
      <c r="L57" s="414"/>
      <c r="M57" s="434"/>
      <c r="N57" s="435"/>
      <c r="O57" s="435"/>
      <c r="P57" s="435"/>
      <c r="Q57" s="435"/>
      <c r="R57" s="435"/>
      <c r="S57" s="435"/>
      <c r="T57" s="435"/>
      <c r="U57" s="435"/>
      <c r="V57" s="435"/>
      <c r="W57" s="435"/>
      <c r="X57" s="435"/>
    </row>
    <row r="58" spans="1:24" ht="15" customHeight="1">
      <c r="A58" s="414"/>
      <c r="B58" s="822"/>
      <c r="C58" s="830"/>
      <c r="D58" s="830"/>
      <c r="E58" s="830"/>
      <c r="F58" s="830"/>
      <c r="G58" s="830"/>
      <c r="H58" s="830"/>
      <c r="I58" s="830"/>
      <c r="J58" s="830"/>
      <c r="K58" s="830"/>
      <c r="L58" s="414"/>
      <c r="M58" s="434"/>
      <c r="N58" s="435"/>
      <c r="O58" s="435"/>
      <c r="P58" s="435"/>
      <c r="Q58" s="435"/>
      <c r="R58" s="435"/>
      <c r="S58" s="435"/>
      <c r="T58" s="435"/>
      <c r="U58" s="435"/>
      <c r="V58" s="435"/>
      <c r="W58" s="435"/>
      <c r="X58" s="435"/>
    </row>
    <row r="59" spans="1:24">
      <c r="A59" s="414"/>
      <c r="B59" s="417" t="s">
        <v>680</v>
      </c>
      <c r="L59" s="414"/>
      <c r="M59" s="435"/>
      <c r="N59" s="435"/>
      <c r="O59" s="435"/>
      <c r="P59" s="435"/>
      <c r="Q59" s="435"/>
      <c r="R59" s="435"/>
      <c r="S59" s="435"/>
      <c r="T59" s="435"/>
      <c r="U59" s="435"/>
      <c r="V59" s="435"/>
      <c r="W59" s="435"/>
      <c r="X59" s="435"/>
    </row>
    <row r="60" spans="1:24">
      <c r="A60" s="414"/>
      <c r="L60" s="414"/>
      <c r="M60" s="435"/>
      <c r="N60" s="435"/>
      <c r="O60" s="435"/>
      <c r="P60" s="435"/>
      <c r="Q60" s="435"/>
      <c r="R60" s="435"/>
      <c r="S60" s="435"/>
      <c r="T60" s="435"/>
      <c r="U60" s="435"/>
      <c r="V60" s="435"/>
      <c r="W60" s="435"/>
      <c r="X60" s="435"/>
    </row>
    <row r="61" spans="1:24">
      <c r="A61" s="414"/>
      <c r="B61" s="415" t="s">
        <v>692</v>
      </c>
      <c r="L61" s="414"/>
      <c r="M61" s="435"/>
      <c r="N61" s="435"/>
      <c r="O61" s="435"/>
      <c r="P61" s="435"/>
      <c r="Q61" s="435"/>
      <c r="R61" s="435"/>
      <c r="S61" s="435"/>
      <c r="T61" s="435"/>
      <c r="U61" s="435"/>
      <c r="V61" s="435"/>
      <c r="W61" s="435"/>
      <c r="X61" s="435"/>
    </row>
    <row r="62" spans="1:24">
      <c r="A62" s="414"/>
      <c r="B62" s="415" t="s">
        <v>836</v>
      </c>
      <c r="L62" s="414"/>
      <c r="M62" s="435"/>
      <c r="N62" s="435"/>
      <c r="O62" s="435"/>
      <c r="P62" s="435"/>
      <c r="Q62" s="435"/>
      <c r="R62" s="435"/>
      <c r="S62" s="435"/>
      <c r="T62" s="435"/>
      <c r="U62" s="435"/>
      <c r="V62" s="435"/>
      <c r="W62" s="435"/>
      <c r="X62" s="435"/>
    </row>
    <row r="63" spans="1:24">
      <c r="A63" s="414"/>
      <c r="B63" s="415" t="s">
        <v>837</v>
      </c>
      <c r="L63" s="414"/>
      <c r="M63" s="435"/>
      <c r="N63" s="435"/>
      <c r="O63" s="435"/>
      <c r="P63" s="435"/>
      <c r="Q63" s="435"/>
      <c r="R63" s="435"/>
      <c r="S63" s="435"/>
      <c r="T63" s="435"/>
      <c r="U63" s="435"/>
      <c r="V63" s="435"/>
      <c r="W63" s="435"/>
      <c r="X63" s="435"/>
    </row>
    <row r="64" spans="1:24">
      <c r="A64" s="414"/>
      <c r="L64" s="414"/>
      <c r="M64" s="435"/>
      <c r="N64" s="435"/>
      <c r="O64" s="435"/>
      <c r="P64" s="435"/>
      <c r="Q64" s="435"/>
      <c r="R64" s="435"/>
      <c r="S64" s="435"/>
      <c r="T64" s="435"/>
      <c r="U64" s="435"/>
      <c r="V64" s="435"/>
      <c r="W64" s="435"/>
      <c r="X64" s="435"/>
    </row>
    <row r="65" spans="1:24">
      <c r="A65" s="414"/>
      <c r="B65" s="415" t="s">
        <v>693</v>
      </c>
      <c r="L65" s="414"/>
      <c r="M65" s="435"/>
      <c r="N65" s="435"/>
      <c r="O65" s="435"/>
      <c r="P65" s="435"/>
      <c r="Q65" s="435"/>
      <c r="R65" s="435"/>
      <c r="S65" s="435"/>
      <c r="T65" s="435"/>
      <c r="U65" s="435"/>
      <c r="V65" s="435"/>
      <c r="W65" s="435"/>
      <c r="X65" s="435"/>
    </row>
    <row r="66" spans="1:24">
      <c r="A66" s="414"/>
      <c r="B66" s="415" t="s">
        <v>694</v>
      </c>
      <c r="L66" s="414"/>
      <c r="M66" s="435"/>
      <c r="N66" s="435"/>
      <c r="O66" s="435"/>
      <c r="P66" s="435"/>
      <c r="Q66" s="435"/>
      <c r="R66" s="435"/>
      <c r="S66" s="435"/>
      <c r="T66" s="435"/>
      <c r="U66" s="435"/>
      <c r="V66" s="435"/>
      <c r="W66" s="435"/>
      <c r="X66" s="435"/>
    </row>
    <row r="67" spans="1:24">
      <c r="A67" s="414"/>
      <c r="L67" s="414"/>
      <c r="M67" s="435"/>
      <c r="N67" s="435"/>
      <c r="O67" s="435"/>
      <c r="P67" s="435"/>
      <c r="Q67" s="435"/>
      <c r="R67" s="435"/>
      <c r="S67" s="435"/>
      <c r="T67" s="435"/>
      <c r="U67" s="435"/>
      <c r="V67" s="435"/>
      <c r="W67" s="435"/>
      <c r="X67" s="435"/>
    </row>
    <row r="68" spans="1:24">
      <c r="A68" s="414"/>
      <c r="B68" s="415" t="s">
        <v>695</v>
      </c>
      <c r="L68" s="414"/>
      <c r="M68" s="436"/>
      <c r="N68" s="437"/>
      <c r="O68" s="437"/>
      <c r="P68" s="437"/>
      <c r="Q68" s="437"/>
      <c r="R68" s="437"/>
      <c r="S68" s="437"/>
      <c r="T68" s="437"/>
      <c r="U68" s="437"/>
      <c r="V68" s="437"/>
      <c r="W68" s="437"/>
      <c r="X68" s="435"/>
    </row>
    <row r="69" spans="1:24">
      <c r="A69" s="414"/>
      <c r="B69" s="415" t="s">
        <v>838</v>
      </c>
      <c r="L69" s="414"/>
      <c r="M69" s="435"/>
      <c r="N69" s="435"/>
      <c r="O69" s="435"/>
      <c r="P69" s="435"/>
      <c r="Q69" s="435"/>
      <c r="R69" s="435"/>
      <c r="S69" s="435"/>
      <c r="T69" s="435"/>
      <c r="U69" s="435"/>
      <c r="V69" s="435"/>
      <c r="W69" s="435"/>
      <c r="X69" s="435"/>
    </row>
    <row r="70" spans="1:24">
      <c r="A70" s="414"/>
      <c r="B70" s="415" t="s">
        <v>839</v>
      </c>
      <c r="L70" s="414"/>
      <c r="M70" s="435"/>
      <c r="N70" s="435"/>
      <c r="O70" s="435"/>
      <c r="P70" s="435"/>
      <c r="Q70" s="435"/>
      <c r="R70" s="435"/>
      <c r="S70" s="435"/>
      <c r="T70" s="435"/>
      <c r="U70" s="435"/>
      <c r="V70" s="435"/>
      <c r="W70" s="435"/>
      <c r="X70" s="435"/>
    </row>
    <row r="71" spans="1:24" ht="15" thickBot="1">
      <c r="A71" s="414"/>
      <c r="B71" s="423"/>
      <c r="C71" s="423"/>
      <c r="D71" s="423"/>
      <c r="E71" s="423"/>
      <c r="F71" s="423"/>
      <c r="G71" s="423"/>
      <c r="H71" s="423"/>
      <c r="I71" s="423"/>
      <c r="J71" s="423"/>
      <c r="K71" s="423"/>
      <c r="L71" s="414"/>
    </row>
    <row r="72" spans="1:24">
      <c r="A72" s="414"/>
      <c r="B72" s="419" t="s">
        <v>669</v>
      </c>
      <c r="C72" s="420"/>
      <c r="D72" s="420"/>
      <c r="E72" s="420"/>
      <c r="F72" s="420"/>
      <c r="G72" s="420"/>
      <c r="H72" s="420"/>
      <c r="I72" s="420"/>
      <c r="J72" s="420"/>
      <c r="K72" s="421"/>
      <c r="L72" s="438"/>
    </row>
    <row r="73" spans="1:24">
      <c r="A73" s="414"/>
      <c r="B73" s="431"/>
      <c r="C73" s="423" t="s">
        <v>675</v>
      </c>
      <c r="D73" s="423"/>
      <c r="E73" s="423"/>
      <c r="F73" s="423"/>
      <c r="G73" s="423"/>
      <c r="H73" s="423"/>
      <c r="I73" s="423"/>
      <c r="J73" s="423"/>
      <c r="K73" s="425"/>
      <c r="L73" s="438"/>
    </row>
    <row r="74" spans="1:24">
      <c r="A74" s="414"/>
      <c r="B74" s="431" t="s">
        <v>696</v>
      </c>
      <c r="C74" s="818">
        <v>7343437</v>
      </c>
      <c r="D74" s="818"/>
      <c r="E74" s="624" t="s">
        <v>674</v>
      </c>
      <c r="F74" s="624">
        <v>1000</v>
      </c>
      <c r="G74" s="624" t="s">
        <v>673</v>
      </c>
      <c r="H74" s="622">
        <f>C74/F74</f>
        <v>7343.4369999999999</v>
      </c>
      <c r="I74" s="423" t="s">
        <v>697</v>
      </c>
      <c r="J74" s="423"/>
      <c r="K74" s="425"/>
      <c r="L74" s="438"/>
    </row>
    <row r="75" spans="1:24">
      <c r="A75" s="414"/>
      <c r="B75" s="431"/>
      <c r="C75" s="423"/>
      <c r="D75" s="423"/>
      <c r="E75" s="624"/>
      <c r="F75" s="423"/>
      <c r="G75" s="423"/>
      <c r="H75" s="423"/>
      <c r="I75" s="423"/>
      <c r="J75" s="423"/>
      <c r="K75" s="425"/>
      <c r="L75" s="438"/>
    </row>
    <row r="76" spans="1:24">
      <c r="A76" s="414"/>
      <c r="B76" s="431"/>
      <c r="C76" s="423" t="s">
        <v>698</v>
      </c>
      <c r="D76" s="423"/>
      <c r="E76" s="624"/>
      <c r="F76" s="423" t="s">
        <v>697</v>
      </c>
      <c r="G76" s="423"/>
      <c r="H76" s="423"/>
      <c r="I76" s="423"/>
      <c r="J76" s="423"/>
      <c r="K76" s="425"/>
      <c r="L76" s="438"/>
    </row>
    <row r="77" spans="1:24">
      <c r="A77" s="414"/>
      <c r="B77" s="431" t="s">
        <v>701</v>
      </c>
      <c r="C77" s="818">
        <v>0</v>
      </c>
      <c r="D77" s="818"/>
      <c r="E77" s="624" t="s">
        <v>674</v>
      </c>
      <c r="F77" s="622">
        <f>H74</f>
        <v>7343.4369999999999</v>
      </c>
      <c r="G77" s="624" t="s">
        <v>673</v>
      </c>
      <c r="H77" s="433">
        <f>C77/F77</f>
        <v>0</v>
      </c>
      <c r="I77" s="423" t="s">
        <v>699</v>
      </c>
      <c r="J77" s="423"/>
      <c r="K77" s="425"/>
      <c r="L77" s="438"/>
    </row>
    <row r="78" spans="1:24">
      <c r="A78" s="414"/>
      <c r="B78" s="431"/>
      <c r="C78" s="423"/>
      <c r="D78" s="423"/>
      <c r="E78" s="624"/>
      <c r="F78" s="423"/>
      <c r="G78" s="423"/>
      <c r="H78" s="423"/>
      <c r="I78" s="423"/>
      <c r="J78" s="423"/>
      <c r="K78" s="425"/>
      <c r="L78" s="438"/>
    </row>
    <row r="79" spans="1:24">
      <c r="A79" s="414"/>
      <c r="B79" s="439"/>
      <c r="C79" s="440" t="s">
        <v>700</v>
      </c>
      <c r="D79" s="440"/>
      <c r="E79" s="626"/>
      <c r="F79" s="440"/>
      <c r="G79" s="440"/>
      <c r="H79" s="440"/>
      <c r="I79" s="440"/>
      <c r="J79" s="440"/>
      <c r="K79" s="441"/>
      <c r="L79" s="438"/>
    </row>
    <row r="80" spans="1:24">
      <c r="A80" s="414"/>
      <c r="B80" s="431" t="s">
        <v>781</v>
      </c>
      <c r="C80" s="818">
        <v>100000</v>
      </c>
      <c r="D80" s="818"/>
      <c r="E80" s="624" t="s">
        <v>13</v>
      </c>
      <c r="F80" s="624">
        <v>0.115</v>
      </c>
      <c r="G80" s="624" t="s">
        <v>673</v>
      </c>
      <c r="H80" s="622">
        <f>C80*F80</f>
        <v>11500</v>
      </c>
      <c r="I80" s="423" t="s">
        <v>702</v>
      </c>
      <c r="J80" s="423"/>
      <c r="K80" s="425"/>
      <c r="L80" s="438"/>
    </row>
    <row r="81" spans="1:12">
      <c r="A81" s="414"/>
      <c r="B81" s="431"/>
      <c r="C81" s="423"/>
      <c r="D81" s="423"/>
      <c r="E81" s="624"/>
      <c r="F81" s="423"/>
      <c r="G81" s="423"/>
      <c r="H81" s="423"/>
      <c r="I81" s="423"/>
      <c r="J81" s="423"/>
      <c r="K81" s="425"/>
      <c r="L81" s="438"/>
    </row>
    <row r="82" spans="1:12">
      <c r="A82" s="414"/>
      <c r="B82" s="439"/>
      <c r="C82" s="440" t="s">
        <v>703</v>
      </c>
      <c r="D82" s="440"/>
      <c r="E82" s="626"/>
      <c r="F82" s="440" t="s">
        <v>699</v>
      </c>
      <c r="G82" s="440"/>
      <c r="H82" s="440"/>
      <c r="I82" s="440"/>
      <c r="J82" s="440" t="s">
        <v>704</v>
      </c>
      <c r="K82" s="441"/>
      <c r="L82" s="438"/>
    </row>
    <row r="83" spans="1:12">
      <c r="A83" s="414"/>
      <c r="B83" s="431" t="s">
        <v>782</v>
      </c>
      <c r="C83" s="816">
        <f>H80</f>
        <v>11500</v>
      </c>
      <c r="D83" s="816"/>
      <c r="E83" s="624" t="s">
        <v>13</v>
      </c>
      <c r="F83" s="433">
        <f>H77</f>
        <v>0</v>
      </c>
      <c r="G83" s="624" t="s">
        <v>674</v>
      </c>
      <c r="H83" s="624">
        <v>1000</v>
      </c>
      <c r="I83" s="624" t="s">
        <v>673</v>
      </c>
      <c r="J83" s="623">
        <f>C83*F83/H83</f>
        <v>0</v>
      </c>
      <c r="K83" s="425"/>
      <c r="L83" s="438"/>
    </row>
    <row r="84" spans="1:12" ht="15" thickBot="1">
      <c r="A84" s="414"/>
      <c r="B84" s="426"/>
      <c r="C84" s="442"/>
      <c r="D84" s="442"/>
      <c r="E84" s="443"/>
      <c r="F84" s="444"/>
      <c r="G84" s="443"/>
      <c r="H84" s="443"/>
      <c r="I84" s="443"/>
      <c r="J84" s="445"/>
      <c r="K84" s="428"/>
      <c r="L84" s="438"/>
    </row>
    <row r="85" spans="1:12" ht="40.5" customHeight="1">
      <c r="A85" s="414"/>
      <c r="B85" s="820" t="s">
        <v>665</v>
      </c>
      <c r="C85" s="820"/>
      <c r="D85" s="820"/>
      <c r="E85" s="820"/>
      <c r="F85" s="820"/>
      <c r="G85" s="820"/>
      <c r="H85" s="820"/>
      <c r="I85" s="820"/>
      <c r="J85" s="820"/>
      <c r="K85" s="820"/>
      <c r="L85" s="414"/>
    </row>
    <row r="86" spans="1:12">
      <c r="A86" s="414"/>
      <c r="B86" s="821" t="s">
        <v>705</v>
      </c>
      <c r="C86" s="821"/>
      <c r="D86" s="821"/>
      <c r="E86" s="821"/>
      <c r="F86" s="821"/>
      <c r="G86" s="821"/>
      <c r="H86" s="821"/>
      <c r="I86" s="821"/>
      <c r="J86" s="821"/>
      <c r="K86" s="821"/>
      <c r="L86" s="414"/>
    </row>
    <row r="87" spans="1:12">
      <c r="A87" s="414"/>
      <c r="B87" s="446"/>
      <c r="C87" s="446"/>
      <c r="D87" s="446"/>
      <c r="E87" s="446"/>
      <c r="F87" s="446"/>
      <c r="G87" s="446"/>
      <c r="H87" s="446"/>
      <c r="I87" s="446"/>
      <c r="J87" s="446"/>
      <c r="K87" s="446"/>
      <c r="L87" s="414"/>
    </row>
    <row r="88" spans="1:12">
      <c r="A88" s="414"/>
      <c r="B88" s="821" t="s">
        <v>706</v>
      </c>
      <c r="C88" s="821"/>
      <c r="D88" s="821"/>
      <c r="E88" s="821"/>
      <c r="F88" s="821"/>
      <c r="G88" s="821"/>
      <c r="H88" s="821"/>
      <c r="I88" s="821"/>
      <c r="J88" s="821"/>
      <c r="K88" s="821"/>
      <c r="L88" s="414"/>
    </row>
    <row r="89" spans="1:12">
      <c r="A89" s="414"/>
      <c r="B89" s="627"/>
      <c r="C89" s="627"/>
      <c r="D89" s="627"/>
      <c r="E89" s="627"/>
      <c r="F89" s="627"/>
      <c r="G89" s="627"/>
      <c r="H89" s="627"/>
      <c r="I89" s="627"/>
      <c r="J89" s="627"/>
      <c r="K89" s="627"/>
      <c r="L89" s="414"/>
    </row>
    <row r="90" spans="1:12" ht="45" customHeight="1">
      <c r="A90" s="414"/>
      <c r="B90" s="822" t="s">
        <v>707</v>
      </c>
      <c r="C90" s="822"/>
      <c r="D90" s="822"/>
      <c r="E90" s="822"/>
      <c r="F90" s="822"/>
      <c r="G90" s="822"/>
      <c r="H90" s="822"/>
      <c r="I90" s="822"/>
      <c r="J90" s="822"/>
      <c r="K90" s="822"/>
      <c r="L90" s="414"/>
    </row>
    <row r="91" spans="1:12" ht="15" customHeight="1" thickBot="1">
      <c r="A91" s="414"/>
      <c r="L91" s="414"/>
    </row>
    <row r="92" spans="1:12" ht="15" customHeight="1">
      <c r="A92" s="414"/>
      <c r="B92" s="447" t="s">
        <v>669</v>
      </c>
      <c r="C92" s="448"/>
      <c r="D92" s="448"/>
      <c r="E92" s="448"/>
      <c r="F92" s="448"/>
      <c r="G92" s="448"/>
      <c r="H92" s="448"/>
      <c r="I92" s="448"/>
      <c r="J92" s="448"/>
      <c r="K92" s="449"/>
      <c r="L92" s="414"/>
    </row>
    <row r="93" spans="1:12" ht="15" customHeight="1">
      <c r="A93" s="414"/>
      <c r="B93" s="450"/>
      <c r="C93" s="628" t="s">
        <v>675</v>
      </c>
      <c r="D93" s="628"/>
      <c r="E93" s="628"/>
      <c r="F93" s="628"/>
      <c r="G93" s="628"/>
      <c r="H93" s="628"/>
      <c r="I93" s="628"/>
      <c r="J93" s="628"/>
      <c r="K93" s="451"/>
      <c r="L93" s="414"/>
    </row>
    <row r="94" spans="1:12" ht="15" customHeight="1">
      <c r="A94" s="414"/>
      <c r="B94" s="450" t="s">
        <v>696</v>
      </c>
      <c r="C94" s="818">
        <v>7343737</v>
      </c>
      <c r="D94" s="818"/>
      <c r="E94" s="624" t="s">
        <v>674</v>
      </c>
      <c r="F94" s="624">
        <v>1000</v>
      </c>
      <c r="G94" s="624" t="s">
        <v>673</v>
      </c>
      <c r="H94" s="622">
        <f>C94/F94</f>
        <v>7343.7370000000001</v>
      </c>
      <c r="I94" s="628" t="s">
        <v>697</v>
      </c>
      <c r="J94" s="628"/>
      <c r="K94" s="451"/>
      <c r="L94" s="414"/>
    </row>
    <row r="95" spans="1:12" ht="15" customHeight="1">
      <c r="A95" s="414"/>
      <c r="B95" s="450"/>
      <c r="C95" s="628"/>
      <c r="D95" s="628"/>
      <c r="E95" s="624"/>
      <c r="F95" s="628"/>
      <c r="G95" s="628"/>
      <c r="H95" s="628"/>
      <c r="I95" s="628"/>
      <c r="J95" s="628"/>
      <c r="K95" s="451"/>
      <c r="L95" s="414"/>
    </row>
    <row r="96" spans="1:12" ht="15" customHeight="1">
      <c r="A96" s="414"/>
      <c r="B96" s="450"/>
      <c r="C96" s="628" t="s">
        <v>698</v>
      </c>
      <c r="D96" s="628"/>
      <c r="E96" s="624"/>
      <c r="F96" s="628" t="s">
        <v>697</v>
      </c>
      <c r="G96" s="628"/>
      <c r="H96" s="628"/>
      <c r="I96" s="628"/>
      <c r="J96" s="628"/>
      <c r="K96" s="451"/>
      <c r="L96" s="414"/>
    </row>
    <row r="97" spans="1:12" ht="15" customHeight="1">
      <c r="A97" s="414"/>
      <c r="B97" s="450" t="s">
        <v>701</v>
      </c>
      <c r="C97" s="818">
        <v>0</v>
      </c>
      <c r="D97" s="818"/>
      <c r="E97" s="624" t="s">
        <v>674</v>
      </c>
      <c r="F97" s="622">
        <f>H94</f>
        <v>7343.7370000000001</v>
      </c>
      <c r="G97" s="624" t="s">
        <v>673</v>
      </c>
      <c r="H97" s="433">
        <f>C97/F97</f>
        <v>0</v>
      </c>
      <c r="I97" s="628" t="s">
        <v>699</v>
      </c>
      <c r="J97" s="628"/>
      <c r="K97" s="451"/>
      <c r="L97" s="414"/>
    </row>
    <row r="98" spans="1:12" ht="15" customHeight="1">
      <c r="A98" s="414"/>
      <c r="B98" s="450"/>
      <c r="C98" s="628"/>
      <c r="D98" s="628"/>
      <c r="E98" s="624"/>
      <c r="F98" s="628"/>
      <c r="G98" s="628"/>
      <c r="H98" s="628"/>
      <c r="I98" s="628"/>
      <c r="J98" s="628"/>
      <c r="K98" s="451"/>
      <c r="L98" s="414"/>
    </row>
    <row r="99" spans="1:12" ht="15" customHeight="1">
      <c r="A99" s="414"/>
      <c r="B99" s="452"/>
      <c r="C99" s="453" t="s">
        <v>708</v>
      </c>
      <c r="D99" s="453"/>
      <c r="E99" s="626"/>
      <c r="F99" s="453"/>
      <c r="G99" s="453"/>
      <c r="H99" s="453"/>
      <c r="I99" s="453"/>
      <c r="J99" s="453"/>
      <c r="K99" s="454"/>
      <c r="L99" s="414"/>
    </row>
    <row r="100" spans="1:12" ht="15" customHeight="1">
      <c r="A100" s="414"/>
      <c r="B100" s="450" t="s">
        <v>781</v>
      </c>
      <c r="C100" s="818">
        <v>0</v>
      </c>
      <c r="D100" s="818"/>
      <c r="E100" s="624" t="s">
        <v>13</v>
      </c>
      <c r="F100" s="455">
        <v>0.3</v>
      </c>
      <c r="G100" s="624" t="s">
        <v>673</v>
      </c>
      <c r="H100" s="622">
        <f>C100*F100</f>
        <v>0</v>
      </c>
      <c r="I100" s="628" t="s">
        <v>702</v>
      </c>
      <c r="J100" s="628"/>
      <c r="K100" s="451"/>
      <c r="L100" s="414"/>
    </row>
    <row r="101" spans="1:12" ht="15" customHeight="1">
      <c r="A101" s="414"/>
      <c r="B101" s="450"/>
      <c r="C101" s="628"/>
      <c r="D101" s="628"/>
      <c r="E101" s="624"/>
      <c r="F101" s="628"/>
      <c r="G101" s="628"/>
      <c r="H101" s="628"/>
      <c r="I101" s="628"/>
      <c r="J101" s="628"/>
      <c r="K101" s="451"/>
      <c r="L101" s="414"/>
    </row>
    <row r="102" spans="1:12" ht="15" customHeight="1">
      <c r="A102" s="414"/>
      <c r="B102" s="452"/>
      <c r="C102" s="453" t="s">
        <v>703</v>
      </c>
      <c r="D102" s="453"/>
      <c r="E102" s="626"/>
      <c r="F102" s="453" t="s">
        <v>699</v>
      </c>
      <c r="G102" s="453"/>
      <c r="H102" s="453"/>
      <c r="I102" s="453"/>
      <c r="J102" s="453" t="s">
        <v>704</v>
      </c>
      <c r="K102" s="454"/>
      <c r="L102" s="414"/>
    </row>
    <row r="103" spans="1:12" ht="15" customHeight="1">
      <c r="A103" s="414"/>
      <c r="B103" s="450" t="s">
        <v>782</v>
      </c>
      <c r="C103" s="816">
        <f>H100</f>
        <v>0</v>
      </c>
      <c r="D103" s="816"/>
      <c r="E103" s="624" t="s">
        <v>13</v>
      </c>
      <c r="F103" s="433">
        <f>H97</f>
        <v>0</v>
      </c>
      <c r="G103" s="624" t="s">
        <v>674</v>
      </c>
      <c r="H103" s="624">
        <v>1000</v>
      </c>
      <c r="I103" s="624" t="s">
        <v>673</v>
      </c>
      <c r="J103" s="623">
        <f>C103*F103/H103</f>
        <v>0</v>
      </c>
      <c r="K103" s="451"/>
      <c r="L103" s="414"/>
    </row>
    <row r="104" spans="1:12" ht="15" customHeight="1" thickBot="1">
      <c r="A104" s="414"/>
      <c r="B104" s="456"/>
      <c r="C104" s="442"/>
      <c r="D104" s="442"/>
      <c r="E104" s="443"/>
      <c r="F104" s="444"/>
      <c r="G104" s="443"/>
      <c r="H104" s="443"/>
      <c r="I104" s="443"/>
      <c r="J104" s="445"/>
      <c r="K104" s="629"/>
      <c r="L104" s="414"/>
    </row>
    <row r="105" spans="1:12" ht="40.5" customHeight="1">
      <c r="A105" s="414"/>
      <c r="B105" s="820" t="s">
        <v>665</v>
      </c>
      <c r="C105" s="823"/>
      <c r="D105" s="823"/>
      <c r="E105" s="823"/>
      <c r="F105" s="823"/>
      <c r="G105" s="823"/>
      <c r="H105" s="823"/>
      <c r="I105" s="823"/>
      <c r="J105" s="823"/>
      <c r="K105" s="823"/>
      <c r="L105" s="414"/>
    </row>
    <row r="106" spans="1:12" ht="15" customHeight="1">
      <c r="A106" s="414"/>
      <c r="B106" s="833" t="s">
        <v>709</v>
      </c>
      <c r="C106" s="834"/>
      <c r="D106" s="834"/>
      <c r="E106" s="834"/>
      <c r="F106" s="834"/>
      <c r="G106" s="834"/>
      <c r="H106" s="834"/>
      <c r="I106" s="834"/>
      <c r="J106" s="834"/>
      <c r="K106" s="834"/>
      <c r="L106" s="414"/>
    </row>
    <row r="107" spans="1:12" ht="15" customHeight="1">
      <c r="A107" s="414"/>
      <c r="B107" s="628"/>
      <c r="C107" s="457"/>
      <c r="D107" s="457"/>
      <c r="E107" s="624"/>
      <c r="F107" s="433"/>
      <c r="G107" s="624"/>
      <c r="H107" s="624"/>
      <c r="I107" s="624"/>
      <c r="J107" s="623"/>
      <c r="K107" s="628"/>
      <c r="L107" s="414"/>
    </row>
    <row r="108" spans="1:12" ht="15" customHeight="1">
      <c r="A108" s="414"/>
      <c r="B108" s="833" t="s">
        <v>710</v>
      </c>
      <c r="C108" s="835"/>
      <c r="D108" s="835"/>
      <c r="E108" s="835"/>
      <c r="F108" s="835"/>
      <c r="G108" s="835"/>
      <c r="H108" s="835"/>
      <c r="I108" s="835"/>
      <c r="J108" s="835"/>
      <c r="K108" s="835"/>
      <c r="L108" s="414"/>
    </row>
    <row r="109" spans="1:12" ht="15" customHeight="1">
      <c r="A109" s="414"/>
      <c r="B109" s="628"/>
      <c r="C109" s="457"/>
      <c r="D109" s="457"/>
      <c r="E109" s="624"/>
      <c r="F109" s="433"/>
      <c r="G109" s="624"/>
      <c r="H109" s="624"/>
      <c r="I109" s="624"/>
      <c r="J109" s="623"/>
      <c r="K109" s="628"/>
      <c r="L109" s="414"/>
    </row>
    <row r="110" spans="1:12" ht="59.25" customHeight="1">
      <c r="A110" s="414"/>
      <c r="B110" s="832" t="s">
        <v>711</v>
      </c>
      <c r="C110" s="830"/>
      <c r="D110" s="830"/>
      <c r="E110" s="830"/>
      <c r="F110" s="830"/>
      <c r="G110" s="830"/>
      <c r="H110" s="830"/>
      <c r="I110" s="830"/>
      <c r="J110" s="830"/>
      <c r="K110" s="830"/>
      <c r="L110" s="414"/>
    </row>
    <row r="111" spans="1:12" ht="15" thickBot="1">
      <c r="A111" s="414"/>
      <c r="B111" s="630"/>
      <c r="C111" s="630"/>
      <c r="D111" s="630"/>
      <c r="E111" s="630"/>
      <c r="F111" s="630"/>
      <c r="G111" s="630"/>
      <c r="H111" s="630"/>
      <c r="I111" s="630"/>
      <c r="J111" s="630"/>
      <c r="K111" s="630"/>
      <c r="L111" s="458"/>
    </row>
    <row r="112" spans="1:12">
      <c r="A112" s="414"/>
      <c r="B112" s="419" t="s">
        <v>669</v>
      </c>
      <c r="C112" s="420"/>
      <c r="D112" s="420"/>
      <c r="E112" s="420"/>
      <c r="F112" s="420"/>
      <c r="G112" s="420"/>
      <c r="H112" s="420"/>
      <c r="I112" s="420"/>
      <c r="J112" s="420"/>
      <c r="K112" s="421"/>
      <c r="L112" s="414"/>
    </row>
    <row r="113" spans="1:12">
      <c r="A113" s="414"/>
      <c r="B113" s="431"/>
      <c r="C113" s="423" t="s">
        <v>675</v>
      </c>
      <c r="D113" s="423"/>
      <c r="E113" s="423"/>
      <c r="F113" s="423"/>
      <c r="G113" s="423"/>
      <c r="H113" s="423"/>
      <c r="I113" s="423"/>
      <c r="J113" s="423"/>
      <c r="K113" s="425"/>
      <c r="L113" s="414"/>
    </row>
    <row r="114" spans="1:12">
      <c r="A114" s="414"/>
      <c r="B114" s="431" t="s">
        <v>696</v>
      </c>
      <c r="C114" s="818">
        <v>312000000</v>
      </c>
      <c r="D114" s="818"/>
      <c r="E114" s="624" t="s">
        <v>674</v>
      </c>
      <c r="F114" s="624">
        <v>1000</v>
      </c>
      <c r="G114" s="624" t="s">
        <v>673</v>
      </c>
      <c r="H114" s="622">
        <f>C114/F114</f>
        <v>312000</v>
      </c>
      <c r="I114" s="423" t="s">
        <v>697</v>
      </c>
      <c r="J114" s="423"/>
      <c r="K114" s="425"/>
      <c r="L114" s="414"/>
    </row>
    <row r="115" spans="1:12">
      <c r="A115" s="414"/>
      <c r="B115" s="431"/>
      <c r="C115" s="423"/>
      <c r="D115" s="423"/>
      <c r="E115" s="624"/>
      <c r="F115" s="423"/>
      <c r="G115" s="423"/>
      <c r="H115" s="423"/>
      <c r="I115" s="423"/>
      <c r="J115" s="423"/>
      <c r="K115" s="425"/>
      <c r="L115" s="414"/>
    </row>
    <row r="116" spans="1:12">
      <c r="A116" s="414"/>
      <c r="B116" s="431"/>
      <c r="C116" s="423" t="s">
        <v>698</v>
      </c>
      <c r="D116" s="423"/>
      <c r="E116" s="624"/>
      <c r="F116" s="423" t="s">
        <v>697</v>
      </c>
      <c r="G116" s="423"/>
      <c r="H116" s="423"/>
      <c r="I116" s="423"/>
      <c r="J116" s="423"/>
      <c r="K116" s="425"/>
      <c r="L116" s="414"/>
    </row>
    <row r="117" spans="1:12">
      <c r="A117" s="414"/>
      <c r="B117" s="431" t="s">
        <v>701</v>
      </c>
      <c r="C117" s="818">
        <v>50000</v>
      </c>
      <c r="D117" s="818"/>
      <c r="E117" s="624" t="s">
        <v>674</v>
      </c>
      <c r="F117" s="622">
        <f>H114</f>
        <v>312000</v>
      </c>
      <c r="G117" s="624" t="s">
        <v>673</v>
      </c>
      <c r="H117" s="433">
        <f>C117/F117</f>
        <v>0.16025641025641027</v>
      </c>
      <c r="I117" s="423" t="s">
        <v>699</v>
      </c>
      <c r="J117" s="423"/>
      <c r="K117" s="425"/>
      <c r="L117" s="414"/>
    </row>
    <row r="118" spans="1:12">
      <c r="A118" s="414"/>
      <c r="B118" s="431"/>
      <c r="C118" s="423"/>
      <c r="D118" s="423"/>
      <c r="E118" s="624"/>
      <c r="F118" s="423"/>
      <c r="G118" s="423"/>
      <c r="H118" s="423"/>
      <c r="I118" s="423"/>
      <c r="J118" s="423"/>
      <c r="K118" s="425"/>
      <c r="L118" s="414"/>
    </row>
    <row r="119" spans="1:12">
      <c r="A119" s="414"/>
      <c r="B119" s="439"/>
      <c r="C119" s="440" t="s">
        <v>708</v>
      </c>
      <c r="D119" s="440"/>
      <c r="E119" s="626"/>
      <c r="F119" s="440"/>
      <c r="G119" s="440"/>
      <c r="H119" s="440"/>
      <c r="I119" s="440"/>
      <c r="J119" s="440"/>
      <c r="K119" s="441"/>
      <c r="L119" s="414"/>
    </row>
    <row r="120" spans="1:12">
      <c r="A120" s="414"/>
      <c r="B120" s="431" t="s">
        <v>781</v>
      </c>
      <c r="C120" s="818">
        <v>2500000</v>
      </c>
      <c r="D120" s="818"/>
      <c r="E120" s="624" t="s">
        <v>13</v>
      </c>
      <c r="F120" s="455">
        <v>0.25</v>
      </c>
      <c r="G120" s="624" t="s">
        <v>673</v>
      </c>
      <c r="H120" s="622">
        <f>C120*F120</f>
        <v>625000</v>
      </c>
      <c r="I120" s="423" t="s">
        <v>702</v>
      </c>
      <c r="J120" s="423"/>
      <c r="K120" s="425"/>
      <c r="L120" s="414"/>
    </row>
    <row r="121" spans="1:12">
      <c r="A121" s="414"/>
      <c r="B121" s="431"/>
      <c r="C121" s="423"/>
      <c r="D121" s="423"/>
      <c r="E121" s="624"/>
      <c r="F121" s="423"/>
      <c r="G121" s="423"/>
      <c r="H121" s="423"/>
      <c r="I121" s="423"/>
      <c r="J121" s="423"/>
      <c r="K121" s="425"/>
      <c r="L121" s="414"/>
    </row>
    <row r="122" spans="1:12">
      <c r="A122" s="414"/>
      <c r="B122" s="439"/>
      <c r="C122" s="440" t="s">
        <v>703</v>
      </c>
      <c r="D122" s="440"/>
      <c r="E122" s="626"/>
      <c r="F122" s="440" t="s">
        <v>699</v>
      </c>
      <c r="G122" s="440"/>
      <c r="H122" s="440"/>
      <c r="I122" s="440"/>
      <c r="J122" s="440" t="s">
        <v>704</v>
      </c>
      <c r="K122" s="441"/>
      <c r="L122" s="414"/>
    </row>
    <row r="123" spans="1:12">
      <c r="A123" s="414"/>
      <c r="B123" s="431" t="s">
        <v>782</v>
      </c>
      <c r="C123" s="816">
        <f>H120</f>
        <v>625000</v>
      </c>
      <c r="D123" s="816"/>
      <c r="E123" s="624" t="s">
        <v>13</v>
      </c>
      <c r="F123" s="433">
        <f>H117</f>
        <v>0.16025641025641027</v>
      </c>
      <c r="G123" s="624" t="s">
        <v>674</v>
      </c>
      <c r="H123" s="624">
        <v>1000</v>
      </c>
      <c r="I123" s="624" t="s">
        <v>673</v>
      </c>
      <c r="J123" s="623">
        <f>C123*F123/H123</f>
        <v>100.16025641025642</v>
      </c>
      <c r="K123" s="425"/>
      <c r="L123" s="414"/>
    </row>
    <row r="124" spans="1:12" ht="15" thickBot="1">
      <c r="A124" s="414"/>
      <c r="B124" s="426"/>
      <c r="C124" s="442"/>
      <c r="D124" s="442"/>
      <c r="E124" s="443"/>
      <c r="F124" s="444"/>
      <c r="G124" s="443"/>
      <c r="H124" s="443"/>
      <c r="I124" s="443"/>
      <c r="J124" s="445"/>
      <c r="K124" s="428"/>
      <c r="L124" s="414"/>
    </row>
    <row r="125" spans="1:12" ht="40.5" customHeight="1">
      <c r="A125" s="414"/>
      <c r="B125" s="820" t="s">
        <v>665</v>
      </c>
      <c r="C125" s="820"/>
      <c r="D125" s="820"/>
      <c r="E125" s="820"/>
      <c r="F125" s="820"/>
      <c r="G125" s="820"/>
      <c r="H125" s="820"/>
      <c r="I125" s="820"/>
      <c r="J125" s="820"/>
      <c r="K125" s="820"/>
      <c r="L125" s="458"/>
    </row>
    <row r="126" spans="1:12">
      <c r="A126" s="414"/>
      <c r="B126" s="821" t="s">
        <v>712</v>
      </c>
      <c r="C126" s="821"/>
      <c r="D126" s="821"/>
      <c r="E126" s="821"/>
      <c r="F126" s="821"/>
      <c r="G126" s="821"/>
      <c r="H126" s="821"/>
      <c r="I126" s="821"/>
      <c r="J126" s="821"/>
      <c r="K126" s="821"/>
      <c r="L126" s="458"/>
    </row>
    <row r="127" spans="1:12">
      <c r="A127" s="414"/>
      <c r="B127" s="630"/>
      <c r="C127" s="630"/>
      <c r="D127" s="630"/>
      <c r="E127" s="630"/>
      <c r="F127" s="630"/>
      <c r="G127" s="630"/>
      <c r="H127" s="630"/>
      <c r="I127" s="630"/>
      <c r="J127" s="630"/>
      <c r="K127" s="630"/>
      <c r="L127" s="458"/>
    </row>
    <row r="128" spans="1:12">
      <c r="A128" s="414"/>
      <c r="B128" s="821" t="s">
        <v>713</v>
      </c>
      <c r="C128" s="821"/>
      <c r="D128" s="821"/>
      <c r="E128" s="821"/>
      <c r="F128" s="821"/>
      <c r="G128" s="821"/>
      <c r="H128" s="821"/>
      <c r="I128" s="821"/>
      <c r="J128" s="821"/>
      <c r="K128" s="821"/>
      <c r="L128" s="458"/>
    </row>
    <row r="129" spans="1:12">
      <c r="A129" s="414"/>
      <c r="B129" s="627"/>
      <c r="C129" s="627"/>
      <c r="D129" s="627"/>
      <c r="E129" s="627"/>
      <c r="F129" s="627"/>
      <c r="G129" s="627"/>
      <c r="H129" s="627"/>
      <c r="I129" s="627"/>
      <c r="J129" s="627"/>
      <c r="K129" s="627"/>
      <c r="L129" s="458"/>
    </row>
    <row r="130" spans="1:12" ht="74.25" customHeight="1">
      <c r="A130" s="414"/>
      <c r="B130" s="822" t="s">
        <v>783</v>
      </c>
      <c r="C130" s="822"/>
      <c r="D130" s="822"/>
      <c r="E130" s="822"/>
      <c r="F130" s="822"/>
      <c r="G130" s="822"/>
      <c r="H130" s="822"/>
      <c r="I130" s="822"/>
      <c r="J130" s="822"/>
      <c r="K130" s="822"/>
      <c r="L130" s="458"/>
    </row>
    <row r="131" spans="1:12" ht="15" thickBot="1">
      <c r="A131" s="414"/>
      <c r="L131" s="414"/>
    </row>
    <row r="132" spans="1:12">
      <c r="A132" s="414"/>
      <c r="B132" s="419" t="s">
        <v>669</v>
      </c>
      <c r="C132" s="420"/>
      <c r="D132" s="420"/>
      <c r="E132" s="420"/>
      <c r="F132" s="420"/>
      <c r="G132" s="420"/>
      <c r="H132" s="420"/>
      <c r="I132" s="420"/>
      <c r="J132" s="420"/>
      <c r="K132" s="421"/>
      <c r="L132" s="414"/>
    </row>
    <row r="133" spans="1:12">
      <c r="A133" s="414"/>
      <c r="B133" s="431"/>
      <c r="C133" s="817" t="s">
        <v>714</v>
      </c>
      <c r="D133" s="817"/>
      <c r="E133" s="423"/>
      <c r="F133" s="624" t="s">
        <v>715</v>
      </c>
      <c r="G133" s="423"/>
      <c r="H133" s="817" t="s">
        <v>702</v>
      </c>
      <c r="I133" s="817"/>
      <c r="J133" s="423"/>
      <c r="K133" s="425"/>
      <c r="L133" s="414"/>
    </row>
    <row r="134" spans="1:12">
      <c r="A134" s="414"/>
      <c r="B134" s="431" t="s">
        <v>696</v>
      </c>
      <c r="C134" s="818">
        <v>100000</v>
      </c>
      <c r="D134" s="818"/>
      <c r="E134" s="624" t="s">
        <v>13</v>
      </c>
      <c r="F134" s="624">
        <v>0.115</v>
      </c>
      <c r="G134" s="624" t="s">
        <v>673</v>
      </c>
      <c r="H134" s="811">
        <f>C134*F134</f>
        <v>11500</v>
      </c>
      <c r="I134" s="811"/>
      <c r="J134" s="423"/>
      <c r="K134" s="425"/>
      <c r="L134" s="414"/>
    </row>
    <row r="135" spans="1:12">
      <c r="A135" s="414"/>
      <c r="B135" s="431"/>
      <c r="C135" s="423"/>
      <c r="D135" s="423"/>
      <c r="E135" s="423"/>
      <c r="F135" s="423"/>
      <c r="G135" s="423"/>
      <c r="H135" s="423"/>
      <c r="I135" s="423"/>
      <c r="J135" s="423"/>
      <c r="K135" s="425"/>
      <c r="L135" s="414"/>
    </row>
    <row r="136" spans="1:12">
      <c r="A136" s="414"/>
      <c r="B136" s="439"/>
      <c r="C136" s="819" t="s">
        <v>702</v>
      </c>
      <c r="D136" s="819"/>
      <c r="E136" s="440"/>
      <c r="F136" s="626" t="s">
        <v>716</v>
      </c>
      <c r="G136" s="626"/>
      <c r="H136" s="440"/>
      <c r="I136" s="440"/>
      <c r="J136" s="440" t="s">
        <v>717</v>
      </c>
      <c r="K136" s="441"/>
      <c r="L136" s="414"/>
    </row>
    <row r="137" spans="1:12">
      <c r="A137" s="414"/>
      <c r="B137" s="431" t="s">
        <v>701</v>
      </c>
      <c r="C137" s="811">
        <f>H134</f>
        <v>11500</v>
      </c>
      <c r="D137" s="811"/>
      <c r="E137" s="624" t="s">
        <v>13</v>
      </c>
      <c r="F137" s="459">
        <v>49</v>
      </c>
      <c r="G137" s="624" t="s">
        <v>674</v>
      </c>
      <c r="H137" s="624">
        <v>1000</v>
      </c>
      <c r="I137" s="624" t="s">
        <v>673</v>
      </c>
      <c r="J137" s="460">
        <f>C137*F137/H137</f>
        <v>563.5</v>
      </c>
      <c r="K137" s="425"/>
      <c r="L137" s="414"/>
    </row>
    <row r="138" spans="1:12" ht="15" thickBot="1">
      <c r="A138" s="414"/>
      <c r="B138" s="426"/>
      <c r="C138" s="534"/>
      <c r="D138" s="534"/>
      <c r="E138" s="443"/>
      <c r="F138" s="535"/>
      <c r="G138" s="443"/>
      <c r="H138" s="443"/>
      <c r="I138" s="443"/>
      <c r="J138" s="536"/>
      <c r="K138" s="428"/>
      <c r="L138" s="414"/>
    </row>
    <row r="139" spans="1:12" ht="40.5" customHeight="1">
      <c r="A139" s="414"/>
      <c r="B139" s="521" t="s">
        <v>665</v>
      </c>
      <c r="C139" s="522"/>
      <c r="D139" s="522"/>
      <c r="E139" s="523"/>
      <c r="F139" s="524"/>
      <c r="G139" s="523"/>
      <c r="H139" s="523"/>
      <c r="I139" s="523"/>
      <c r="J139" s="525"/>
      <c r="K139" s="526"/>
      <c r="L139" s="414"/>
    </row>
    <row r="140" spans="1:12">
      <c r="A140" s="414"/>
      <c r="B140" s="527" t="s">
        <v>784</v>
      </c>
      <c r="C140" s="528"/>
      <c r="D140" s="528"/>
      <c r="E140" s="529"/>
      <c r="F140" s="530"/>
      <c r="G140" s="529"/>
      <c r="H140" s="529"/>
      <c r="I140" s="529"/>
      <c r="J140" s="531"/>
      <c r="K140" s="532"/>
      <c r="L140" s="414"/>
    </row>
    <row r="141" spans="1:12">
      <c r="A141" s="414"/>
      <c r="B141" s="431"/>
      <c r="C141" s="622"/>
      <c r="D141" s="622"/>
      <c r="E141" s="624"/>
      <c r="F141" s="537"/>
      <c r="G141" s="624"/>
      <c r="H141" s="624"/>
      <c r="I141" s="624"/>
      <c r="J141" s="460"/>
      <c r="K141" s="425"/>
      <c r="L141" s="414"/>
    </row>
    <row r="142" spans="1:12">
      <c r="A142" s="414"/>
      <c r="B142" s="527" t="s">
        <v>785</v>
      </c>
      <c r="C142" s="528"/>
      <c r="D142" s="528"/>
      <c r="E142" s="529"/>
      <c r="F142" s="530"/>
      <c r="G142" s="529"/>
      <c r="H142" s="529"/>
      <c r="I142" s="529"/>
      <c r="J142" s="531"/>
      <c r="K142" s="532"/>
      <c r="L142" s="414"/>
    </row>
    <row r="143" spans="1:12">
      <c r="A143" s="414"/>
      <c r="B143" s="431"/>
      <c r="C143" s="622"/>
      <c r="D143" s="622"/>
      <c r="E143" s="624"/>
      <c r="F143" s="537"/>
      <c r="G143" s="624"/>
      <c r="H143" s="624"/>
      <c r="I143" s="624"/>
      <c r="J143" s="460"/>
      <c r="K143" s="425"/>
      <c r="L143" s="414"/>
    </row>
    <row r="144" spans="1:12" ht="76.5" customHeight="1">
      <c r="A144" s="414"/>
      <c r="B144" s="808" t="s">
        <v>786</v>
      </c>
      <c r="C144" s="809"/>
      <c r="D144" s="809"/>
      <c r="E144" s="809"/>
      <c r="F144" s="809"/>
      <c r="G144" s="809"/>
      <c r="H144" s="809"/>
      <c r="I144" s="809"/>
      <c r="J144" s="809"/>
      <c r="K144" s="810"/>
      <c r="L144" s="414"/>
    </row>
    <row r="145" spans="1:12" ht="15" thickBot="1">
      <c r="A145" s="414"/>
      <c r="B145" s="431"/>
      <c r="C145" s="622"/>
      <c r="D145" s="622"/>
      <c r="E145" s="624"/>
      <c r="F145" s="537"/>
      <c r="G145" s="624"/>
      <c r="H145" s="624"/>
      <c r="I145" s="624"/>
      <c r="J145" s="460"/>
      <c r="K145" s="425"/>
      <c r="L145" s="414"/>
    </row>
    <row r="146" spans="1:12">
      <c r="A146" s="414"/>
      <c r="B146" s="419" t="s">
        <v>669</v>
      </c>
      <c r="C146" s="538"/>
      <c r="D146" s="538"/>
      <c r="E146" s="539"/>
      <c r="F146" s="540"/>
      <c r="G146" s="539"/>
      <c r="H146" s="539"/>
      <c r="I146" s="539"/>
      <c r="J146" s="541"/>
      <c r="K146" s="421"/>
      <c r="L146" s="414"/>
    </row>
    <row r="147" spans="1:12">
      <c r="A147" s="414"/>
      <c r="B147" s="431"/>
      <c r="C147" s="811" t="s">
        <v>787</v>
      </c>
      <c r="D147" s="811"/>
      <c r="E147" s="624"/>
      <c r="F147" s="537" t="s">
        <v>788</v>
      </c>
      <c r="G147" s="624"/>
      <c r="H147" s="624"/>
      <c r="I147" s="624"/>
      <c r="J147" s="812" t="s">
        <v>789</v>
      </c>
      <c r="K147" s="813"/>
      <c r="L147" s="414"/>
    </row>
    <row r="148" spans="1:12">
      <c r="A148" s="414"/>
      <c r="B148" s="431"/>
      <c r="C148" s="814">
        <v>49</v>
      </c>
      <c r="D148" s="814"/>
      <c r="E148" s="624" t="s">
        <v>13</v>
      </c>
      <c r="F148" s="625">
        <v>7343000</v>
      </c>
      <c r="G148" s="542" t="s">
        <v>674</v>
      </c>
      <c r="H148" s="624">
        <v>1000</v>
      </c>
      <c r="I148" s="624" t="s">
        <v>673</v>
      </c>
      <c r="J148" s="812">
        <f>C148*(F148/1000)</f>
        <v>359807</v>
      </c>
      <c r="K148" s="815"/>
      <c r="L148" s="414"/>
    </row>
    <row r="149" spans="1:12" ht="15" thickBot="1">
      <c r="A149" s="414"/>
      <c r="B149" s="426"/>
      <c r="C149" s="534"/>
      <c r="D149" s="534"/>
      <c r="E149" s="443"/>
      <c r="F149" s="535"/>
      <c r="G149" s="443"/>
      <c r="H149" s="443"/>
      <c r="I149" s="443"/>
      <c r="J149" s="536"/>
      <c r="K149" s="428"/>
      <c r="L149" s="414"/>
    </row>
    <row r="150" spans="1:12" ht="15" thickBot="1">
      <c r="A150" s="414"/>
      <c r="B150" s="426"/>
      <c r="C150" s="427"/>
      <c r="D150" s="427"/>
      <c r="E150" s="427"/>
      <c r="F150" s="427"/>
      <c r="G150" s="427"/>
      <c r="H150" s="427"/>
      <c r="I150" s="427"/>
      <c r="J150" s="427"/>
      <c r="K150" s="428"/>
      <c r="L150" s="414"/>
    </row>
    <row r="151" spans="1:12">
      <c r="A151" s="414"/>
      <c r="B151" s="414"/>
      <c r="C151" s="414"/>
      <c r="D151" s="414"/>
      <c r="E151" s="414"/>
      <c r="F151" s="414"/>
      <c r="G151" s="414"/>
      <c r="H151" s="414"/>
      <c r="I151" s="414"/>
      <c r="J151" s="414"/>
      <c r="K151" s="414"/>
      <c r="L151" s="414"/>
    </row>
    <row r="152" spans="1:12">
      <c r="A152" s="414"/>
      <c r="B152" s="414"/>
      <c r="C152" s="414"/>
      <c r="D152" s="414"/>
      <c r="E152" s="414"/>
      <c r="F152" s="414"/>
      <c r="G152" s="414"/>
      <c r="H152" s="414"/>
      <c r="I152" s="414"/>
      <c r="J152" s="414"/>
      <c r="K152" s="414"/>
      <c r="L152" s="414"/>
    </row>
    <row r="153" spans="1:12">
      <c r="A153" s="414"/>
      <c r="B153" s="414"/>
      <c r="C153" s="414"/>
      <c r="D153" s="414"/>
      <c r="E153" s="414"/>
      <c r="F153" s="414"/>
      <c r="G153" s="414"/>
      <c r="H153" s="414"/>
      <c r="I153" s="414"/>
      <c r="J153" s="414"/>
      <c r="K153" s="414"/>
      <c r="L153" s="414"/>
    </row>
    <row r="154" spans="1:12">
      <c r="A154" s="461"/>
      <c r="B154" s="461"/>
      <c r="C154" s="461"/>
      <c r="D154" s="461"/>
      <c r="E154" s="461"/>
      <c r="F154" s="461"/>
      <c r="G154" s="461"/>
      <c r="H154" s="461"/>
      <c r="I154" s="461"/>
      <c r="J154" s="461"/>
      <c r="K154" s="461"/>
      <c r="L154" s="461"/>
    </row>
    <row r="155" spans="1:12">
      <c r="A155" s="461"/>
      <c r="B155" s="461"/>
      <c r="C155" s="461"/>
      <c r="D155" s="461"/>
      <c r="E155" s="461"/>
      <c r="F155" s="461"/>
      <c r="G155" s="461"/>
      <c r="H155" s="461"/>
      <c r="I155" s="461"/>
      <c r="J155" s="461"/>
      <c r="K155" s="461"/>
      <c r="L155" s="461"/>
    </row>
    <row r="156" spans="1:12">
      <c r="A156" s="461"/>
      <c r="B156" s="461"/>
      <c r="C156" s="461"/>
      <c r="D156" s="461"/>
      <c r="E156" s="461"/>
      <c r="F156" s="461"/>
      <c r="G156" s="461"/>
      <c r="H156" s="461"/>
      <c r="I156" s="461"/>
      <c r="J156" s="461"/>
      <c r="K156" s="461"/>
      <c r="L156" s="461"/>
    </row>
    <row r="157" spans="1:12">
      <c r="A157" s="461"/>
      <c r="B157" s="461"/>
      <c r="C157" s="461"/>
      <c r="D157" s="461"/>
      <c r="E157" s="461"/>
      <c r="F157" s="461"/>
      <c r="G157" s="461"/>
      <c r="H157" s="461"/>
      <c r="I157" s="461"/>
      <c r="J157" s="461"/>
      <c r="K157" s="461"/>
      <c r="L157" s="461"/>
    </row>
    <row r="158" spans="1:12">
      <c r="A158" s="461"/>
      <c r="B158" s="461"/>
      <c r="C158" s="461"/>
      <c r="D158" s="461"/>
      <c r="E158" s="461"/>
      <c r="F158" s="461"/>
      <c r="G158" s="461"/>
      <c r="H158" s="461"/>
      <c r="I158" s="461"/>
      <c r="J158" s="461"/>
      <c r="K158" s="461"/>
      <c r="L158" s="461"/>
    </row>
    <row r="159" spans="1:12">
      <c r="A159" s="461"/>
      <c r="B159" s="461"/>
      <c r="C159" s="461"/>
      <c r="D159" s="461"/>
      <c r="E159" s="461"/>
      <c r="F159" s="461"/>
      <c r="G159" s="461"/>
      <c r="H159" s="461"/>
      <c r="I159" s="461"/>
      <c r="J159" s="461"/>
      <c r="K159" s="461"/>
      <c r="L159" s="461"/>
    </row>
    <row r="160" spans="1:12">
      <c r="A160" s="461"/>
      <c r="B160" s="461"/>
      <c r="C160" s="461"/>
      <c r="D160" s="461"/>
      <c r="E160" s="461"/>
      <c r="F160" s="461"/>
      <c r="G160" s="461"/>
      <c r="H160" s="461"/>
      <c r="I160" s="461"/>
      <c r="J160" s="461"/>
      <c r="K160" s="461"/>
      <c r="L160" s="461"/>
    </row>
    <row r="161" spans="1:12">
      <c r="A161" s="461"/>
      <c r="B161" s="461"/>
      <c r="C161" s="461"/>
      <c r="D161" s="461"/>
      <c r="E161" s="461"/>
      <c r="F161" s="461"/>
      <c r="G161" s="461"/>
      <c r="H161" s="461"/>
      <c r="I161" s="461"/>
      <c r="J161" s="461"/>
      <c r="K161" s="461"/>
      <c r="L161" s="461"/>
    </row>
    <row r="162" spans="1:12">
      <c r="A162" s="461"/>
      <c r="B162" s="461"/>
      <c r="C162" s="461"/>
      <c r="D162" s="461"/>
      <c r="E162" s="461"/>
      <c r="F162" s="461"/>
      <c r="G162" s="461"/>
      <c r="H162" s="461"/>
      <c r="I162" s="461"/>
      <c r="J162" s="461"/>
      <c r="K162" s="461"/>
      <c r="L162" s="461"/>
    </row>
    <row r="163" spans="1:12">
      <c r="A163" s="461"/>
      <c r="B163" s="461"/>
      <c r="C163" s="461"/>
      <c r="D163" s="461"/>
      <c r="E163" s="461"/>
      <c r="F163" s="461"/>
      <c r="G163" s="461"/>
      <c r="H163" s="461"/>
      <c r="I163" s="461"/>
      <c r="J163" s="461"/>
      <c r="K163" s="461"/>
      <c r="L163" s="461"/>
    </row>
    <row r="164" spans="1:12">
      <c r="A164" s="461"/>
      <c r="B164" s="461"/>
      <c r="C164" s="461"/>
      <c r="D164" s="461"/>
      <c r="E164" s="461"/>
      <c r="F164" s="461"/>
      <c r="G164" s="461"/>
      <c r="H164" s="461"/>
      <c r="I164" s="461"/>
      <c r="J164" s="461"/>
      <c r="K164" s="461"/>
      <c r="L164" s="461"/>
    </row>
    <row r="165" spans="1:12">
      <c r="A165" s="461"/>
      <c r="B165" s="461"/>
      <c r="C165" s="461"/>
      <c r="D165" s="461"/>
      <c r="E165" s="461"/>
      <c r="F165" s="461"/>
      <c r="G165" s="461"/>
      <c r="H165" s="461"/>
      <c r="I165" s="461"/>
      <c r="J165" s="461"/>
      <c r="K165" s="461"/>
      <c r="L165" s="461"/>
    </row>
    <row r="166" spans="1:12">
      <c r="A166" s="461"/>
      <c r="B166" s="461"/>
      <c r="C166" s="461"/>
      <c r="D166" s="461"/>
      <c r="E166" s="461"/>
      <c r="F166" s="461"/>
      <c r="G166" s="461"/>
      <c r="H166" s="461"/>
      <c r="I166" s="461"/>
      <c r="J166" s="461"/>
      <c r="K166" s="461"/>
      <c r="L166" s="461"/>
    </row>
    <row r="167" spans="1:12">
      <c r="A167" s="461"/>
      <c r="B167" s="461"/>
      <c r="C167" s="461"/>
      <c r="D167" s="461"/>
      <c r="E167" s="461"/>
      <c r="F167" s="461"/>
      <c r="G167" s="461"/>
      <c r="H167" s="461"/>
      <c r="I167" s="461"/>
      <c r="J167" s="461"/>
      <c r="K167" s="461"/>
      <c r="L167" s="461"/>
    </row>
    <row r="168" spans="1:12">
      <c r="A168" s="461"/>
      <c r="B168" s="461"/>
      <c r="C168" s="461"/>
      <c r="D168" s="461"/>
      <c r="E168" s="461"/>
      <c r="F168" s="461"/>
      <c r="G168" s="461"/>
      <c r="H168" s="461"/>
      <c r="I168" s="461"/>
      <c r="J168" s="461"/>
      <c r="K168" s="461"/>
      <c r="L168" s="461"/>
    </row>
    <row r="169" spans="1:12">
      <c r="A169" s="461"/>
      <c r="B169" s="461"/>
      <c r="C169" s="461"/>
      <c r="D169" s="461"/>
      <c r="E169" s="461"/>
      <c r="F169" s="461"/>
      <c r="G169" s="461"/>
      <c r="H169" s="461"/>
      <c r="I169" s="461"/>
      <c r="J169" s="461"/>
      <c r="K169" s="461"/>
      <c r="L169" s="461"/>
    </row>
    <row r="170" spans="1:12">
      <c r="A170" s="461"/>
      <c r="B170" s="461"/>
      <c r="C170" s="461"/>
      <c r="D170" s="461"/>
      <c r="E170" s="461"/>
      <c r="F170" s="461"/>
      <c r="G170" s="461"/>
      <c r="H170" s="461"/>
      <c r="I170" s="461"/>
      <c r="J170" s="461"/>
      <c r="K170" s="461"/>
      <c r="L170" s="461"/>
    </row>
    <row r="171" spans="1:12">
      <c r="A171" s="461"/>
      <c r="B171" s="461"/>
      <c r="C171" s="461"/>
      <c r="D171" s="461"/>
      <c r="E171" s="461"/>
      <c r="F171" s="461"/>
      <c r="G171" s="461"/>
      <c r="H171" s="461"/>
      <c r="I171" s="461"/>
      <c r="J171" s="461"/>
      <c r="K171" s="461"/>
      <c r="L171" s="461"/>
    </row>
    <row r="172" spans="1:12">
      <c r="A172" s="461"/>
      <c r="B172" s="461"/>
      <c r="C172" s="461"/>
      <c r="D172" s="461"/>
      <c r="E172" s="461"/>
      <c r="F172" s="461"/>
      <c r="G172" s="461"/>
      <c r="H172" s="461"/>
      <c r="I172" s="461"/>
      <c r="J172" s="461"/>
      <c r="K172" s="461"/>
      <c r="L172" s="461"/>
    </row>
    <row r="173" spans="1:12">
      <c r="A173" s="461"/>
      <c r="B173" s="461"/>
      <c r="C173" s="461"/>
      <c r="D173" s="461"/>
      <c r="E173" s="461"/>
      <c r="F173" s="461"/>
      <c r="G173" s="461"/>
      <c r="H173" s="461"/>
      <c r="I173" s="461"/>
      <c r="J173" s="461"/>
      <c r="K173" s="461"/>
      <c r="L173" s="461"/>
    </row>
    <row r="174" spans="1:12">
      <c r="A174" s="461"/>
      <c r="B174" s="461"/>
      <c r="C174" s="461"/>
      <c r="D174" s="461"/>
      <c r="E174" s="461"/>
      <c r="F174" s="461"/>
      <c r="G174" s="461"/>
      <c r="H174" s="461"/>
      <c r="I174" s="461"/>
      <c r="J174" s="461"/>
      <c r="K174" s="461"/>
      <c r="L174" s="461"/>
    </row>
    <row r="175" spans="1:12">
      <c r="A175" s="461"/>
      <c r="B175" s="461"/>
      <c r="C175" s="461"/>
      <c r="D175" s="461"/>
      <c r="E175" s="461"/>
      <c r="F175" s="461"/>
      <c r="G175" s="461"/>
      <c r="H175" s="461"/>
      <c r="I175" s="461"/>
      <c r="J175" s="461"/>
      <c r="K175" s="461"/>
      <c r="L175" s="461"/>
    </row>
    <row r="176" spans="1:12">
      <c r="A176" s="461"/>
      <c r="B176" s="461"/>
      <c r="C176" s="461"/>
      <c r="D176" s="461"/>
      <c r="E176" s="461"/>
      <c r="F176" s="461"/>
      <c r="G176" s="461"/>
      <c r="H176" s="461"/>
      <c r="I176" s="461"/>
      <c r="J176" s="461"/>
      <c r="K176" s="461"/>
      <c r="L176" s="461"/>
    </row>
    <row r="177" spans="1:12">
      <c r="A177" s="461"/>
      <c r="B177" s="461"/>
      <c r="C177" s="461"/>
      <c r="D177" s="461"/>
      <c r="E177" s="461"/>
      <c r="F177" s="461"/>
      <c r="G177" s="461"/>
      <c r="H177" s="461"/>
      <c r="I177" s="461"/>
      <c r="J177" s="461"/>
      <c r="K177" s="461"/>
      <c r="L177" s="461"/>
    </row>
    <row r="178" spans="1:12">
      <c r="A178" s="461"/>
      <c r="B178" s="461"/>
      <c r="C178" s="461"/>
      <c r="D178" s="461"/>
      <c r="E178" s="461"/>
      <c r="F178" s="461"/>
      <c r="G178" s="461"/>
      <c r="H178" s="461"/>
      <c r="I178" s="461"/>
      <c r="J178" s="461"/>
      <c r="K178" s="461"/>
      <c r="L178" s="461"/>
    </row>
    <row r="179" spans="1:12">
      <c r="A179" s="461"/>
      <c r="B179" s="461"/>
      <c r="C179" s="461"/>
      <c r="D179" s="461"/>
      <c r="E179" s="461"/>
      <c r="F179" s="461"/>
      <c r="G179" s="461"/>
      <c r="H179" s="461"/>
      <c r="I179" s="461"/>
      <c r="J179" s="461"/>
      <c r="K179" s="461"/>
      <c r="L179" s="461"/>
    </row>
    <row r="180" spans="1:12">
      <c r="A180" s="461"/>
      <c r="B180" s="461"/>
      <c r="C180" s="461"/>
      <c r="D180" s="461"/>
      <c r="E180" s="461"/>
      <c r="F180" s="461"/>
      <c r="G180" s="461"/>
      <c r="H180" s="461"/>
      <c r="I180" s="461"/>
      <c r="J180" s="461"/>
      <c r="K180" s="461"/>
      <c r="L180" s="461"/>
    </row>
    <row r="181" spans="1:12">
      <c r="A181" s="461"/>
      <c r="B181" s="461"/>
      <c r="C181" s="461"/>
      <c r="D181" s="461"/>
      <c r="E181" s="461"/>
      <c r="F181" s="461"/>
      <c r="G181" s="461"/>
      <c r="H181" s="461"/>
      <c r="I181" s="461"/>
      <c r="J181" s="461"/>
      <c r="K181" s="461"/>
      <c r="L181" s="461"/>
    </row>
    <row r="182" spans="1:12">
      <c r="A182" s="461"/>
      <c r="B182" s="461"/>
      <c r="C182" s="461"/>
      <c r="D182" s="461"/>
      <c r="E182" s="461"/>
      <c r="F182" s="461"/>
      <c r="G182" s="461"/>
      <c r="H182" s="461"/>
      <c r="I182" s="461"/>
      <c r="J182" s="461"/>
      <c r="K182" s="461"/>
      <c r="L182" s="461"/>
    </row>
    <row r="183" spans="1:12">
      <c r="A183" s="461"/>
      <c r="B183" s="461"/>
      <c r="C183" s="461"/>
      <c r="D183" s="461"/>
      <c r="E183" s="461"/>
      <c r="F183" s="461"/>
      <c r="G183" s="461"/>
      <c r="H183" s="461"/>
      <c r="I183" s="461"/>
      <c r="J183" s="461"/>
      <c r="K183" s="461"/>
      <c r="L183" s="461"/>
    </row>
    <row r="184" spans="1:12">
      <c r="A184" s="461"/>
      <c r="B184" s="461"/>
      <c r="C184" s="461"/>
      <c r="D184" s="461"/>
      <c r="E184" s="461"/>
      <c r="F184" s="461"/>
      <c r="G184" s="461"/>
      <c r="H184" s="461"/>
      <c r="I184" s="461"/>
      <c r="J184" s="461"/>
      <c r="K184" s="461"/>
      <c r="L184" s="461"/>
    </row>
    <row r="185" spans="1:12">
      <c r="A185" s="461"/>
      <c r="B185" s="461"/>
      <c r="C185" s="461"/>
      <c r="D185" s="461"/>
      <c r="E185" s="461"/>
      <c r="F185" s="461"/>
      <c r="G185" s="461"/>
      <c r="H185" s="461"/>
      <c r="I185" s="461"/>
      <c r="J185" s="461"/>
      <c r="K185" s="461"/>
      <c r="L185" s="461"/>
    </row>
    <row r="186" spans="1:12">
      <c r="A186" s="461"/>
      <c r="B186" s="461"/>
      <c r="C186" s="461"/>
      <c r="D186" s="461"/>
      <c r="E186" s="461"/>
      <c r="F186" s="461"/>
      <c r="G186" s="461"/>
      <c r="H186" s="461"/>
      <c r="I186" s="461"/>
      <c r="J186" s="461"/>
      <c r="K186" s="461"/>
      <c r="L186" s="461"/>
    </row>
    <row r="187" spans="1:12">
      <c r="A187" s="461"/>
      <c r="B187" s="461"/>
      <c r="C187" s="461"/>
      <c r="D187" s="461"/>
      <c r="E187" s="461"/>
      <c r="F187" s="461"/>
      <c r="G187" s="461"/>
      <c r="H187" s="461"/>
      <c r="I187" s="461"/>
      <c r="J187" s="461"/>
      <c r="K187" s="461"/>
      <c r="L187" s="461"/>
    </row>
    <row r="188" spans="1:12">
      <c r="A188" s="461"/>
      <c r="B188" s="461"/>
      <c r="C188" s="461"/>
      <c r="D188" s="461"/>
      <c r="E188" s="461"/>
      <c r="F188" s="461"/>
      <c r="G188" s="461"/>
      <c r="H188" s="461"/>
      <c r="I188" s="461"/>
      <c r="J188" s="461"/>
      <c r="K188" s="461"/>
      <c r="L188" s="461"/>
    </row>
    <row r="189" spans="1:12">
      <c r="A189" s="461"/>
      <c r="B189" s="461"/>
      <c r="C189" s="461"/>
      <c r="D189" s="461"/>
      <c r="E189" s="461"/>
      <c r="F189" s="461"/>
      <c r="G189" s="461"/>
      <c r="H189" s="461"/>
      <c r="I189" s="461"/>
      <c r="J189" s="461"/>
      <c r="K189" s="461"/>
      <c r="L189" s="461"/>
    </row>
    <row r="190" spans="1:12">
      <c r="A190" s="461"/>
      <c r="B190" s="461"/>
      <c r="C190" s="461"/>
      <c r="D190" s="461"/>
      <c r="E190" s="461"/>
      <c r="F190" s="461"/>
      <c r="G190" s="461"/>
      <c r="H190" s="461"/>
      <c r="I190" s="461"/>
      <c r="J190" s="461"/>
      <c r="K190" s="461"/>
      <c r="L190" s="461"/>
    </row>
    <row r="191" spans="1:12">
      <c r="A191" s="461"/>
      <c r="B191" s="461"/>
      <c r="C191" s="461"/>
      <c r="D191" s="461"/>
      <c r="E191" s="461"/>
      <c r="F191" s="461"/>
      <c r="G191" s="461"/>
      <c r="H191" s="461"/>
      <c r="I191" s="461"/>
      <c r="J191" s="461"/>
      <c r="K191" s="461"/>
      <c r="L191" s="461"/>
    </row>
    <row r="192" spans="1:12">
      <c r="A192" s="461"/>
      <c r="B192" s="461"/>
      <c r="C192" s="461"/>
      <c r="D192" s="461"/>
      <c r="E192" s="461"/>
      <c r="F192" s="461"/>
      <c r="G192" s="461"/>
      <c r="H192" s="461"/>
      <c r="I192" s="461"/>
      <c r="J192" s="461"/>
      <c r="K192" s="461"/>
      <c r="L192" s="461"/>
    </row>
    <row r="193" spans="1:12">
      <c r="A193" s="461"/>
      <c r="B193" s="461"/>
      <c r="C193" s="461"/>
      <c r="D193" s="461"/>
      <c r="E193" s="461"/>
      <c r="F193" s="461"/>
      <c r="G193" s="461"/>
      <c r="H193" s="461"/>
      <c r="I193" s="461"/>
      <c r="J193" s="461"/>
      <c r="K193" s="461"/>
      <c r="L193" s="461"/>
    </row>
    <row r="194" spans="1:12">
      <c r="A194" s="461"/>
      <c r="B194" s="461"/>
      <c r="C194" s="461"/>
      <c r="D194" s="461"/>
      <c r="E194" s="461"/>
      <c r="F194" s="461"/>
      <c r="G194" s="461"/>
      <c r="H194" s="461"/>
      <c r="I194" s="461"/>
      <c r="J194" s="461"/>
      <c r="K194" s="461"/>
      <c r="L194" s="461"/>
    </row>
    <row r="195" spans="1:12">
      <c r="A195" s="461"/>
      <c r="B195" s="461"/>
      <c r="C195" s="461"/>
      <c r="D195" s="461"/>
      <c r="E195" s="461"/>
      <c r="F195" s="461"/>
      <c r="G195" s="461"/>
      <c r="H195" s="461"/>
      <c r="I195" s="461"/>
      <c r="J195" s="461"/>
      <c r="K195" s="461"/>
      <c r="L195" s="461"/>
    </row>
    <row r="196" spans="1:12">
      <c r="A196" s="461"/>
      <c r="B196" s="461"/>
      <c r="C196" s="461"/>
      <c r="D196" s="461"/>
      <c r="E196" s="461"/>
      <c r="F196" s="461"/>
      <c r="G196" s="461"/>
      <c r="H196" s="461"/>
      <c r="I196" s="461"/>
      <c r="J196" s="461"/>
      <c r="K196" s="461"/>
      <c r="L196" s="461"/>
    </row>
    <row r="197" spans="1:12">
      <c r="A197" s="461"/>
      <c r="B197" s="461"/>
      <c r="C197" s="461"/>
      <c r="D197" s="461"/>
      <c r="E197" s="461"/>
      <c r="F197" s="461"/>
      <c r="G197" s="461"/>
      <c r="H197" s="461"/>
      <c r="I197" s="461"/>
      <c r="J197" s="461"/>
      <c r="K197" s="461"/>
      <c r="L197" s="461"/>
    </row>
    <row r="198" spans="1:12">
      <c r="A198" s="461"/>
      <c r="B198" s="461"/>
      <c r="C198" s="461"/>
      <c r="D198" s="461"/>
      <c r="E198" s="461"/>
      <c r="F198" s="461"/>
      <c r="G198" s="461"/>
      <c r="H198" s="461"/>
      <c r="I198" s="461"/>
      <c r="J198" s="461"/>
      <c r="K198" s="461"/>
      <c r="L198" s="461"/>
    </row>
    <row r="199" spans="1:12">
      <c r="A199" s="461"/>
      <c r="B199" s="461"/>
      <c r="C199" s="461"/>
      <c r="D199" s="461"/>
      <c r="E199" s="461"/>
      <c r="F199" s="461"/>
      <c r="G199" s="461"/>
      <c r="H199" s="461"/>
      <c r="I199" s="461"/>
      <c r="J199" s="461"/>
      <c r="K199" s="461"/>
      <c r="L199" s="461"/>
    </row>
    <row r="200" spans="1:12">
      <c r="A200" s="461"/>
      <c r="B200" s="461"/>
      <c r="C200" s="461"/>
      <c r="D200" s="461"/>
      <c r="E200" s="461"/>
      <c r="F200" s="461"/>
      <c r="G200" s="461"/>
      <c r="H200" s="461"/>
      <c r="I200" s="461"/>
      <c r="J200" s="461"/>
      <c r="K200" s="461"/>
      <c r="L200" s="461"/>
    </row>
    <row r="201" spans="1:12">
      <c r="A201" s="461"/>
      <c r="B201" s="461"/>
      <c r="C201" s="461"/>
      <c r="D201" s="461"/>
      <c r="E201" s="461"/>
      <c r="F201" s="461"/>
      <c r="G201" s="461"/>
      <c r="H201" s="461"/>
      <c r="I201" s="461"/>
      <c r="J201" s="461"/>
      <c r="K201" s="461"/>
      <c r="L201" s="461"/>
    </row>
    <row r="202" spans="1:12">
      <c r="A202" s="461"/>
      <c r="B202" s="461"/>
      <c r="C202" s="461"/>
      <c r="D202" s="461"/>
      <c r="E202" s="461"/>
      <c r="F202" s="461"/>
      <c r="G202" s="461"/>
      <c r="H202" s="461"/>
      <c r="I202" s="461"/>
      <c r="J202" s="461"/>
      <c r="K202" s="461"/>
      <c r="L202" s="461"/>
    </row>
    <row r="203" spans="1:12">
      <c r="A203" s="461"/>
      <c r="B203" s="461"/>
      <c r="C203" s="461"/>
      <c r="D203" s="461"/>
      <c r="E203" s="461"/>
      <c r="F203" s="461"/>
      <c r="G203" s="461"/>
      <c r="H203" s="461"/>
      <c r="I203" s="461"/>
      <c r="J203" s="461"/>
      <c r="K203" s="461"/>
      <c r="L203" s="461"/>
    </row>
    <row r="204" spans="1:12">
      <c r="A204" s="461"/>
      <c r="B204" s="461"/>
      <c r="C204" s="461"/>
      <c r="D204" s="461"/>
      <c r="E204" s="461"/>
      <c r="F204" s="461"/>
      <c r="G204" s="461"/>
      <c r="H204" s="461"/>
      <c r="I204" s="461"/>
      <c r="J204" s="461"/>
      <c r="K204" s="461"/>
      <c r="L204" s="461"/>
    </row>
    <row r="205" spans="1:12">
      <c r="A205" s="461"/>
      <c r="B205" s="461"/>
      <c r="C205" s="461"/>
      <c r="D205" s="461"/>
      <c r="E205" s="461"/>
      <c r="F205" s="461"/>
      <c r="G205" s="461"/>
      <c r="H205" s="461"/>
      <c r="I205" s="461"/>
      <c r="J205" s="461"/>
      <c r="K205" s="461"/>
      <c r="L205" s="461"/>
    </row>
    <row r="206" spans="1:12">
      <c r="A206" s="461"/>
      <c r="B206" s="461"/>
      <c r="C206" s="461"/>
      <c r="D206" s="461"/>
      <c r="E206" s="461"/>
      <c r="F206" s="461"/>
      <c r="G206" s="461"/>
      <c r="H206" s="461"/>
      <c r="I206" s="461"/>
      <c r="J206" s="461"/>
      <c r="K206" s="461"/>
      <c r="L206" s="461"/>
    </row>
    <row r="207" spans="1:12">
      <c r="A207" s="461"/>
      <c r="B207" s="461"/>
      <c r="C207" s="461"/>
      <c r="D207" s="461"/>
      <c r="E207" s="461"/>
      <c r="F207" s="461"/>
      <c r="G207" s="461"/>
      <c r="H207" s="461"/>
      <c r="I207" s="461"/>
      <c r="J207" s="461"/>
      <c r="K207" s="461"/>
      <c r="L207" s="461"/>
    </row>
    <row r="208" spans="1:12">
      <c r="A208" s="461"/>
      <c r="B208" s="461"/>
      <c r="C208" s="461"/>
      <c r="D208" s="461"/>
      <c r="E208" s="461"/>
      <c r="F208" s="461"/>
      <c r="G208" s="461"/>
      <c r="H208" s="461"/>
      <c r="I208" s="461"/>
      <c r="J208" s="461"/>
      <c r="K208" s="461"/>
      <c r="L208" s="461"/>
    </row>
    <row r="209" spans="1:12">
      <c r="A209" s="461"/>
      <c r="B209" s="461"/>
      <c r="C209" s="461"/>
      <c r="D209" s="461"/>
      <c r="E209" s="461"/>
      <c r="F209" s="461"/>
      <c r="G209" s="461"/>
      <c r="H209" s="461"/>
      <c r="I209" s="461"/>
      <c r="J209" s="461"/>
      <c r="K209" s="461"/>
      <c r="L209" s="461"/>
    </row>
    <row r="210" spans="1:12">
      <c r="A210" s="461"/>
      <c r="B210" s="461"/>
      <c r="C210" s="461"/>
      <c r="D210" s="461"/>
      <c r="E210" s="461"/>
      <c r="F210" s="461"/>
      <c r="G210" s="461"/>
      <c r="H210" s="461"/>
      <c r="I210" s="461"/>
      <c r="J210" s="461"/>
      <c r="K210" s="461"/>
      <c r="L210" s="461"/>
    </row>
    <row r="211" spans="1:12">
      <c r="A211" s="461"/>
      <c r="B211" s="461"/>
      <c r="C211" s="461"/>
      <c r="D211" s="461"/>
      <c r="E211" s="461"/>
      <c r="F211" s="461"/>
      <c r="G211" s="461"/>
      <c r="H211" s="461"/>
      <c r="I211" s="461"/>
      <c r="J211" s="461"/>
      <c r="K211" s="461"/>
      <c r="L211" s="461"/>
    </row>
    <row r="212" spans="1:12">
      <c r="A212" s="461"/>
      <c r="B212" s="461"/>
      <c r="C212" s="461"/>
      <c r="D212" s="461"/>
      <c r="E212" s="461"/>
      <c r="F212" s="461"/>
      <c r="G212" s="461"/>
      <c r="H212" s="461"/>
      <c r="I212" s="461"/>
      <c r="J212" s="461"/>
      <c r="K212" s="461"/>
      <c r="L212" s="461"/>
    </row>
    <row r="213" spans="1:12">
      <c r="A213" s="461"/>
      <c r="B213" s="461"/>
      <c r="C213" s="461"/>
      <c r="D213" s="461"/>
      <c r="E213" s="461"/>
      <c r="F213" s="461"/>
      <c r="G213" s="461"/>
      <c r="H213" s="461"/>
      <c r="I213" s="461"/>
      <c r="J213" s="461"/>
      <c r="K213" s="461"/>
      <c r="L213" s="461"/>
    </row>
    <row r="214" spans="1:12">
      <c r="A214" s="461"/>
      <c r="B214" s="461"/>
      <c r="C214" s="461"/>
      <c r="D214" s="461"/>
      <c r="E214" s="461"/>
      <c r="F214" s="461"/>
      <c r="G214" s="461"/>
      <c r="H214" s="461"/>
      <c r="I214" s="461"/>
      <c r="J214" s="461"/>
      <c r="K214" s="461"/>
      <c r="L214" s="461"/>
    </row>
    <row r="215" spans="1:12">
      <c r="A215" s="461"/>
      <c r="B215" s="461"/>
      <c r="C215" s="461"/>
      <c r="D215" s="461"/>
      <c r="E215" s="461"/>
      <c r="F215" s="461"/>
      <c r="G215" s="461"/>
      <c r="H215" s="461"/>
      <c r="I215" s="461"/>
      <c r="J215" s="461"/>
      <c r="K215" s="461"/>
      <c r="L215" s="461"/>
    </row>
    <row r="216" spans="1:12">
      <c r="A216" s="461"/>
      <c r="B216" s="461"/>
      <c r="C216" s="461"/>
      <c r="D216" s="461"/>
      <c r="E216" s="461"/>
      <c r="F216" s="461"/>
      <c r="G216" s="461"/>
      <c r="H216" s="461"/>
      <c r="I216" s="461"/>
      <c r="J216" s="461"/>
      <c r="K216" s="461"/>
      <c r="L216" s="461"/>
    </row>
    <row r="217" spans="1:12">
      <c r="A217" s="461"/>
      <c r="B217" s="461"/>
      <c r="C217" s="461"/>
      <c r="D217" s="461"/>
      <c r="E217" s="461"/>
      <c r="F217" s="461"/>
      <c r="G217" s="461"/>
      <c r="H217" s="461"/>
      <c r="I217" s="461"/>
      <c r="J217" s="461"/>
      <c r="K217" s="461"/>
      <c r="L217" s="461"/>
    </row>
    <row r="218" spans="1:12">
      <c r="A218" s="461"/>
      <c r="B218" s="461"/>
      <c r="C218" s="461"/>
      <c r="D218" s="461"/>
      <c r="E218" s="461"/>
      <c r="F218" s="461"/>
      <c r="G218" s="461"/>
      <c r="H218" s="461"/>
      <c r="I218" s="461"/>
      <c r="J218" s="461"/>
      <c r="K218" s="461"/>
      <c r="L218" s="461"/>
    </row>
    <row r="219" spans="1:12">
      <c r="A219" s="461"/>
      <c r="B219" s="461"/>
      <c r="C219" s="461"/>
      <c r="D219" s="461"/>
      <c r="E219" s="461"/>
      <c r="F219" s="461"/>
      <c r="G219" s="461"/>
      <c r="H219" s="461"/>
      <c r="I219" s="461"/>
      <c r="J219" s="461"/>
      <c r="K219" s="461"/>
      <c r="L219" s="461"/>
    </row>
    <row r="220" spans="1:12">
      <c r="A220" s="461"/>
      <c r="B220" s="461"/>
      <c r="C220" s="461"/>
      <c r="D220" s="461"/>
      <c r="E220" s="461"/>
      <c r="F220" s="461"/>
      <c r="G220" s="461"/>
      <c r="H220" s="461"/>
      <c r="I220" s="461"/>
      <c r="J220" s="461"/>
      <c r="K220" s="461"/>
      <c r="L220" s="461"/>
    </row>
    <row r="221" spans="1:12">
      <c r="A221" s="461"/>
      <c r="B221" s="461"/>
      <c r="C221" s="461"/>
      <c r="D221" s="461"/>
      <c r="E221" s="461"/>
      <c r="F221" s="461"/>
      <c r="G221" s="461"/>
      <c r="H221" s="461"/>
      <c r="I221" s="461"/>
      <c r="J221" s="461"/>
      <c r="K221" s="461"/>
      <c r="L221" s="461"/>
    </row>
    <row r="222" spans="1:12">
      <c r="A222" s="461"/>
      <c r="B222" s="461"/>
      <c r="C222" s="461"/>
      <c r="D222" s="461"/>
      <c r="E222" s="461"/>
      <c r="F222" s="461"/>
      <c r="G222" s="461"/>
      <c r="H222" s="461"/>
      <c r="I222" s="461"/>
      <c r="J222" s="461"/>
      <c r="K222" s="461"/>
      <c r="L222" s="461"/>
    </row>
    <row r="223" spans="1:12">
      <c r="A223" s="461"/>
      <c r="B223" s="461"/>
      <c r="C223" s="461"/>
      <c r="D223" s="461"/>
      <c r="E223" s="461"/>
      <c r="F223" s="461"/>
      <c r="G223" s="461"/>
      <c r="H223" s="461"/>
      <c r="I223" s="461"/>
      <c r="J223" s="461"/>
      <c r="K223" s="461"/>
      <c r="L223" s="461"/>
    </row>
    <row r="224" spans="1:12">
      <c r="A224" s="461"/>
      <c r="B224" s="461"/>
      <c r="C224" s="461"/>
      <c r="D224" s="461"/>
      <c r="E224" s="461"/>
      <c r="F224" s="461"/>
      <c r="G224" s="461"/>
      <c r="H224" s="461"/>
      <c r="I224" s="461"/>
      <c r="J224" s="461"/>
      <c r="K224" s="461"/>
      <c r="L224" s="461"/>
    </row>
    <row r="225" spans="1:12">
      <c r="A225" s="461"/>
      <c r="B225" s="461"/>
      <c r="C225" s="461"/>
      <c r="D225" s="461"/>
      <c r="E225" s="461"/>
      <c r="F225" s="461"/>
      <c r="G225" s="461"/>
      <c r="H225" s="461"/>
      <c r="I225" s="461"/>
      <c r="J225" s="461"/>
      <c r="K225" s="461"/>
      <c r="L225" s="461"/>
    </row>
    <row r="226" spans="1:12">
      <c r="A226" s="461"/>
      <c r="B226" s="461"/>
      <c r="C226" s="461"/>
      <c r="D226" s="461"/>
      <c r="E226" s="461"/>
      <c r="F226" s="461"/>
      <c r="G226" s="461"/>
      <c r="H226" s="461"/>
      <c r="I226" s="461"/>
      <c r="J226" s="461"/>
      <c r="K226" s="461"/>
      <c r="L226" s="461"/>
    </row>
    <row r="227" spans="1:12">
      <c r="A227" s="461"/>
      <c r="B227" s="461"/>
      <c r="C227" s="461"/>
      <c r="D227" s="461"/>
      <c r="E227" s="461"/>
      <c r="F227" s="461"/>
      <c r="G227" s="461"/>
      <c r="H227" s="461"/>
      <c r="I227" s="461"/>
      <c r="J227" s="461"/>
      <c r="K227" s="461"/>
      <c r="L227" s="461"/>
    </row>
    <row r="228" spans="1:12">
      <c r="A228" s="461"/>
      <c r="B228" s="461"/>
      <c r="C228" s="461"/>
      <c r="D228" s="461"/>
      <c r="E228" s="461"/>
      <c r="F228" s="461"/>
      <c r="G228" s="461"/>
      <c r="H228" s="461"/>
      <c r="I228" s="461"/>
      <c r="J228" s="461"/>
      <c r="K228" s="461"/>
      <c r="L228" s="461"/>
    </row>
    <row r="229" spans="1:12">
      <c r="A229" s="461"/>
      <c r="B229" s="461"/>
      <c r="C229" s="461"/>
      <c r="D229" s="461"/>
      <c r="E229" s="461"/>
      <c r="F229" s="461"/>
      <c r="G229" s="461"/>
      <c r="H229" s="461"/>
      <c r="I229" s="461"/>
      <c r="J229" s="461"/>
      <c r="K229" s="461"/>
      <c r="L229" s="461"/>
    </row>
    <row r="230" spans="1:12">
      <c r="A230" s="461"/>
      <c r="B230" s="461"/>
      <c r="C230" s="461"/>
      <c r="D230" s="461"/>
      <c r="E230" s="461"/>
      <c r="F230" s="461"/>
      <c r="G230" s="461"/>
      <c r="H230" s="461"/>
      <c r="I230" s="461"/>
      <c r="J230" s="461"/>
      <c r="K230" s="461"/>
      <c r="L230" s="461"/>
    </row>
    <row r="231" spans="1:12">
      <c r="A231" s="461"/>
      <c r="B231" s="461"/>
      <c r="C231" s="461"/>
      <c r="D231" s="461"/>
      <c r="E231" s="461"/>
      <c r="F231" s="461"/>
      <c r="G231" s="461"/>
      <c r="H231" s="461"/>
      <c r="I231" s="461"/>
      <c r="J231" s="461"/>
      <c r="K231" s="461"/>
      <c r="L231" s="461"/>
    </row>
    <row r="232" spans="1:12">
      <c r="A232" s="461"/>
      <c r="B232" s="461"/>
      <c r="C232" s="461"/>
      <c r="D232" s="461"/>
      <c r="E232" s="461"/>
      <c r="F232" s="461"/>
      <c r="G232" s="461"/>
      <c r="H232" s="461"/>
      <c r="I232" s="461"/>
      <c r="J232" s="461"/>
      <c r="K232" s="461"/>
      <c r="L232" s="461"/>
    </row>
    <row r="233" spans="1:12">
      <c r="A233" s="461"/>
      <c r="B233" s="461"/>
      <c r="C233" s="461"/>
      <c r="D233" s="461"/>
      <c r="E233" s="461"/>
      <c r="F233" s="461"/>
      <c r="G233" s="461"/>
      <c r="H233" s="461"/>
      <c r="I233" s="461"/>
      <c r="J233" s="461"/>
      <c r="K233" s="461"/>
      <c r="L233" s="461"/>
    </row>
    <row r="234" spans="1:12">
      <c r="A234" s="461"/>
      <c r="B234" s="461"/>
      <c r="C234" s="461"/>
      <c r="D234" s="461"/>
      <c r="E234" s="461"/>
      <c r="F234" s="461"/>
      <c r="G234" s="461"/>
      <c r="H234" s="461"/>
      <c r="I234" s="461"/>
      <c r="J234" s="461"/>
      <c r="K234" s="461"/>
      <c r="L234" s="461"/>
    </row>
    <row r="235" spans="1:12">
      <c r="A235" s="461"/>
      <c r="B235" s="461"/>
      <c r="C235" s="461"/>
      <c r="D235" s="461"/>
      <c r="E235" s="461"/>
      <c r="F235" s="461"/>
      <c r="G235" s="461"/>
      <c r="H235" s="461"/>
      <c r="I235" s="461"/>
      <c r="J235" s="461"/>
      <c r="K235" s="461"/>
      <c r="L235" s="461"/>
    </row>
    <row r="236" spans="1:12">
      <c r="A236" s="461"/>
      <c r="B236" s="461"/>
      <c r="C236" s="461"/>
      <c r="D236" s="461"/>
      <c r="E236" s="461"/>
      <c r="F236" s="461"/>
      <c r="G236" s="461"/>
      <c r="H236" s="461"/>
      <c r="I236" s="461"/>
      <c r="J236" s="461"/>
      <c r="K236" s="461"/>
      <c r="L236" s="461"/>
    </row>
    <row r="237" spans="1:12">
      <c r="A237" s="461"/>
      <c r="B237" s="461"/>
      <c r="C237" s="461"/>
      <c r="D237" s="461"/>
      <c r="E237" s="461"/>
      <c r="F237" s="461"/>
      <c r="G237" s="461"/>
      <c r="H237" s="461"/>
      <c r="I237" s="461"/>
      <c r="J237" s="461"/>
      <c r="K237" s="461"/>
      <c r="L237" s="461"/>
    </row>
    <row r="238" spans="1:12">
      <c r="A238" s="461"/>
      <c r="B238" s="461"/>
      <c r="C238" s="461"/>
      <c r="D238" s="461"/>
      <c r="E238" s="461"/>
      <c r="F238" s="461"/>
      <c r="G238" s="461"/>
      <c r="H238" s="461"/>
      <c r="I238" s="461"/>
      <c r="J238" s="461"/>
      <c r="K238" s="461"/>
      <c r="L238" s="461"/>
    </row>
    <row r="239" spans="1:12">
      <c r="A239" s="461"/>
      <c r="B239" s="461"/>
      <c r="C239" s="461"/>
      <c r="D239" s="461"/>
      <c r="E239" s="461"/>
      <c r="F239" s="461"/>
      <c r="G239" s="461"/>
      <c r="H239" s="461"/>
      <c r="I239" s="461"/>
      <c r="J239" s="461"/>
      <c r="K239" s="461"/>
      <c r="L239" s="461"/>
    </row>
    <row r="240" spans="1:12">
      <c r="A240" s="461"/>
      <c r="B240" s="461"/>
      <c r="C240" s="461"/>
      <c r="D240" s="461"/>
      <c r="E240" s="461"/>
      <c r="F240" s="461"/>
      <c r="G240" s="461"/>
      <c r="H240" s="461"/>
      <c r="I240" s="461"/>
      <c r="J240" s="461"/>
      <c r="K240" s="461"/>
      <c r="L240" s="461"/>
    </row>
    <row r="241" spans="1:12">
      <c r="A241" s="461"/>
      <c r="B241" s="461"/>
      <c r="C241" s="461"/>
      <c r="D241" s="461"/>
      <c r="E241" s="461"/>
      <c r="F241" s="461"/>
      <c r="G241" s="461"/>
      <c r="H241" s="461"/>
      <c r="I241" s="461"/>
      <c r="J241" s="461"/>
      <c r="K241" s="461"/>
      <c r="L241" s="461"/>
    </row>
    <row r="242" spans="1:12">
      <c r="A242" s="461"/>
      <c r="B242" s="461"/>
      <c r="C242" s="461"/>
      <c r="D242" s="461"/>
      <c r="E242" s="461"/>
      <c r="F242" s="461"/>
      <c r="G242" s="461"/>
      <c r="H242" s="461"/>
      <c r="I242" s="461"/>
      <c r="J242" s="461"/>
      <c r="K242" s="461"/>
      <c r="L242" s="461"/>
    </row>
    <row r="243" spans="1:12">
      <c r="A243" s="461"/>
      <c r="B243" s="461"/>
      <c r="C243" s="461"/>
      <c r="D243" s="461"/>
      <c r="E243" s="461"/>
      <c r="F243" s="461"/>
      <c r="G243" s="461"/>
      <c r="H243" s="461"/>
      <c r="I243" s="461"/>
      <c r="J243" s="461"/>
      <c r="K243" s="461"/>
      <c r="L243" s="461"/>
    </row>
    <row r="244" spans="1:12">
      <c r="A244" s="461"/>
      <c r="B244" s="461"/>
      <c r="C244" s="461"/>
      <c r="D244" s="461"/>
      <c r="E244" s="461"/>
      <c r="F244" s="461"/>
      <c r="G244" s="461"/>
      <c r="H244" s="461"/>
      <c r="I244" s="461"/>
      <c r="J244" s="461"/>
      <c r="K244" s="461"/>
      <c r="L244" s="461"/>
    </row>
    <row r="245" spans="1:12">
      <c r="A245" s="461"/>
      <c r="B245" s="461"/>
      <c r="C245" s="461"/>
      <c r="D245" s="461"/>
      <c r="E245" s="461"/>
      <c r="F245" s="461"/>
      <c r="G245" s="461"/>
      <c r="H245" s="461"/>
      <c r="I245" s="461"/>
      <c r="J245" s="461"/>
      <c r="K245" s="461"/>
      <c r="L245" s="461"/>
    </row>
    <row r="246" spans="1:12">
      <c r="A246" s="461"/>
      <c r="B246" s="461"/>
      <c r="C246" s="461"/>
      <c r="D246" s="461"/>
      <c r="E246" s="461"/>
      <c r="F246" s="461"/>
      <c r="G246" s="461"/>
      <c r="H246" s="461"/>
      <c r="I246" s="461"/>
      <c r="J246" s="461"/>
      <c r="K246" s="461"/>
      <c r="L246" s="461"/>
    </row>
    <row r="247" spans="1:12">
      <c r="A247" s="461"/>
      <c r="B247" s="461"/>
      <c r="C247" s="461"/>
      <c r="D247" s="461"/>
      <c r="E247" s="461"/>
      <c r="F247" s="461"/>
      <c r="G247" s="461"/>
      <c r="H247" s="461"/>
      <c r="I247" s="461"/>
      <c r="J247" s="461"/>
      <c r="K247" s="461"/>
      <c r="L247" s="461"/>
    </row>
    <row r="248" spans="1:12">
      <c r="A248" s="461"/>
      <c r="B248" s="461"/>
      <c r="C248" s="461"/>
      <c r="D248" s="461"/>
      <c r="E248" s="461"/>
      <c r="F248" s="461"/>
      <c r="G248" s="461"/>
      <c r="H248" s="461"/>
      <c r="I248" s="461"/>
      <c r="J248" s="461"/>
      <c r="K248" s="461"/>
      <c r="L248" s="461"/>
    </row>
    <row r="249" spans="1:12">
      <c r="A249" s="461"/>
      <c r="B249" s="461"/>
      <c r="C249" s="461"/>
      <c r="D249" s="461"/>
      <c r="E249" s="461"/>
      <c r="F249" s="461"/>
      <c r="G249" s="461"/>
      <c r="H249" s="461"/>
      <c r="I249" s="461"/>
      <c r="J249" s="461"/>
      <c r="K249" s="461"/>
      <c r="L249" s="461"/>
    </row>
    <row r="250" spans="1:12">
      <c r="A250" s="461"/>
      <c r="B250" s="461"/>
      <c r="C250" s="461"/>
      <c r="D250" s="461"/>
      <c r="E250" s="461"/>
      <c r="F250" s="461"/>
      <c r="G250" s="461"/>
      <c r="H250" s="461"/>
      <c r="I250" s="461"/>
      <c r="J250" s="461"/>
      <c r="K250" s="461"/>
      <c r="L250" s="461"/>
    </row>
    <row r="251" spans="1:12">
      <c r="A251" s="461"/>
      <c r="B251" s="461"/>
      <c r="C251" s="461"/>
      <c r="D251" s="461"/>
      <c r="E251" s="461"/>
      <c r="F251" s="461"/>
      <c r="G251" s="461"/>
      <c r="H251" s="461"/>
      <c r="I251" s="461"/>
      <c r="J251" s="461"/>
      <c r="K251" s="461"/>
      <c r="L251" s="461"/>
    </row>
    <row r="252" spans="1:12">
      <c r="A252" s="461"/>
      <c r="B252" s="461"/>
      <c r="C252" s="461"/>
      <c r="D252" s="461"/>
      <c r="E252" s="461"/>
      <c r="F252" s="461"/>
      <c r="G252" s="461"/>
      <c r="H252" s="461"/>
      <c r="I252" s="461"/>
      <c r="J252" s="461"/>
      <c r="K252" s="461"/>
      <c r="L252" s="461"/>
    </row>
    <row r="253" spans="1:12">
      <c r="A253" s="461"/>
      <c r="B253" s="461"/>
      <c r="C253" s="461"/>
      <c r="D253" s="461"/>
      <c r="E253" s="461"/>
      <c r="F253" s="461"/>
      <c r="G253" s="461"/>
      <c r="H253" s="461"/>
      <c r="I253" s="461"/>
      <c r="J253" s="461"/>
      <c r="K253" s="461"/>
      <c r="L253" s="461"/>
    </row>
    <row r="254" spans="1:12">
      <c r="A254" s="461"/>
      <c r="B254" s="461"/>
      <c r="C254" s="461"/>
      <c r="D254" s="461"/>
      <c r="E254" s="461"/>
      <c r="F254" s="461"/>
      <c r="G254" s="461"/>
      <c r="H254" s="461"/>
      <c r="I254" s="461"/>
      <c r="J254" s="461"/>
      <c r="K254" s="461"/>
      <c r="L254" s="461"/>
    </row>
    <row r="255" spans="1:12">
      <c r="A255" s="461"/>
      <c r="B255" s="461"/>
      <c r="C255" s="461"/>
      <c r="D255" s="461"/>
      <c r="E255" s="461"/>
      <c r="F255" s="461"/>
      <c r="G255" s="461"/>
      <c r="H255" s="461"/>
      <c r="I255" s="461"/>
      <c r="J255" s="461"/>
      <c r="K255" s="461"/>
      <c r="L255" s="461"/>
    </row>
    <row r="256" spans="1:12">
      <c r="A256" s="461"/>
      <c r="B256" s="461"/>
      <c r="C256" s="461"/>
      <c r="D256" s="461"/>
      <c r="E256" s="461"/>
      <c r="F256" s="461"/>
      <c r="G256" s="461"/>
      <c r="H256" s="461"/>
      <c r="I256" s="461"/>
      <c r="J256" s="461"/>
      <c r="K256" s="461"/>
      <c r="L256" s="461"/>
    </row>
    <row r="257" spans="1:12">
      <c r="A257" s="461"/>
      <c r="B257" s="461"/>
      <c r="C257" s="461"/>
      <c r="D257" s="461"/>
      <c r="E257" s="461"/>
      <c r="F257" s="461"/>
      <c r="G257" s="461"/>
      <c r="H257" s="461"/>
      <c r="I257" s="461"/>
      <c r="J257" s="461"/>
      <c r="K257" s="461"/>
      <c r="L257" s="461"/>
    </row>
    <row r="258" spans="1:12">
      <c r="A258" s="461"/>
      <c r="B258" s="461"/>
      <c r="C258" s="461"/>
      <c r="D258" s="461"/>
      <c r="E258" s="461"/>
      <c r="F258" s="461"/>
      <c r="G258" s="461"/>
      <c r="H258" s="461"/>
      <c r="I258" s="461"/>
      <c r="J258" s="461"/>
      <c r="K258" s="461"/>
      <c r="L258" s="461"/>
    </row>
    <row r="259" spans="1:12">
      <c r="A259" s="461"/>
      <c r="B259" s="461"/>
      <c r="C259" s="461"/>
      <c r="D259" s="461"/>
      <c r="E259" s="461"/>
      <c r="F259" s="461"/>
      <c r="G259" s="461"/>
      <c r="H259" s="461"/>
      <c r="I259" s="461"/>
      <c r="J259" s="461"/>
      <c r="K259" s="461"/>
      <c r="L259" s="461"/>
    </row>
    <row r="260" spans="1:12">
      <c r="A260" s="461"/>
      <c r="B260" s="461"/>
      <c r="C260" s="461"/>
      <c r="D260" s="461"/>
      <c r="E260" s="461"/>
      <c r="F260" s="461"/>
      <c r="G260" s="461"/>
      <c r="H260" s="461"/>
      <c r="I260" s="461"/>
      <c r="J260" s="461"/>
      <c r="K260" s="461"/>
      <c r="L260" s="461"/>
    </row>
    <row r="261" spans="1:12">
      <c r="A261" s="461"/>
      <c r="B261" s="461"/>
      <c r="C261" s="461"/>
      <c r="D261" s="461"/>
      <c r="E261" s="461"/>
      <c r="F261" s="461"/>
      <c r="G261" s="461"/>
      <c r="H261" s="461"/>
      <c r="I261" s="461"/>
      <c r="J261" s="461"/>
      <c r="K261" s="461"/>
      <c r="L261" s="461"/>
    </row>
    <row r="262" spans="1:12">
      <c r="A262" s="461"/>
      <c r="B262" s="461"/>
      <c r="C262" s="461"/>
      <c r="D262" s="461"/>
      <c r="E262" s="461"/>
      <c r="F262" s="461"/>
      <c r="G262" s="461"/>
      <c r="H262" s="461"/>
      <c r="I262" s="461"/>
      <c r="J262" s="461"/>
      <c r="K262" s="461"/>
      <c r="L262" s="461"/>
    </row>
    <row r="263" spans="1:12">
      <c r="A263" s="461"/>
      <c r="B263" s="461"/>
      <c r="C263" s="461"/>
      <c r="D263" s="461"/>
      <c r="E263" s="461"/>
      <c r="F263" s="461"/>
      <c r="G263" s="461"/>
      <c r="H263" s="461"/>
      <c r="I263" s="461"/>
      <c r="J263" s="461"/>
      <c r="K263" s="461"/>
      <c r="L263" s="461"/>
    </row>
    <row r="264" spans="1:12">
      <c r="A264" s="461"/>
      <c r="B264" s="461"/>
      <c r="C264" s="461"/>
      <c r="D264" s="461"/>
      <c r="E264" s="461"/>
      <c r="F264" s="461"/>
      <c r="G264" s="461"/>
      <c r="H264" s="461"/>
      <c r="I264" s="461"/>
      <c r="J264" s="461"/>
      <c r="K264" s="461"/>
      <c r="L264" s="461"/>
    </row>
    <row r="265" spans="1:12">
      <c r="A265" s="461"/>
      <c r="B265" s="461"/>
      <c r="C265" s="461"/>
      <c r="D265" s="461"/>
      <c r="E265" s="461"/>
      <c r="F265" s="461"/>
      <c r="G265" s="461"/>
      <c r="H265" s="461"/>
      <c r="I265" s="461"/>
      <c r="J265" s="461"/>
      <c r="K265" s="461"/>
      <c r="L265" s="461"/>
    </row>
    <row r="266" spans="1:12">
      <c r="A266" s="461"/>
      <c r="B266" s="461"/>
      <c r="C266" s="461"/>
      <c r="D266" s="461"/>
      <c r="E266" s="461"/>
      <c r="F266" s="461"/>
      <c r="G266" s="461"/>
      <c r="H266" s="461"/>
      <c r="I266" s="461"/>
      <c r="J266" s="461"/>
      <c r="K266" s="461"/>
      <c r="L266" s="461"/>
    </row>
    <row r="267" spans="1:12">
      <c r="A267" s="461"/>
      <c r="B267" s="461"/>
      <c r="C267" s="461"/>
      <c r="D267" s="461"/>
      <c r="E267" s="461"/>
      <c r="F267" s="461"/>
      <c r="G267" s="461"/>
      <c r="H267" s="461"/>
      <c r="I267" s="461"/>
      <c r="J267" s="461"/>
      <c r="K267" s="461"/>
      <c r="L267" s="461"/>
    </row>
    <row r="268" spans="1:12">
      <c r="A268" s="461"/>
      <c r="B268" s="461"/>
      <c r="C268" s="461"/>
      <c r="D268" s="461"/>
      <c r="E268" s="461"/>
      <c r="F268" s="461"/>
      <c r="G268" s="461"/>
      <c r="H268" s="461"/>
      <c r="I268" s="461"/>
      <c r="J268" s="461"/>
      <c r="K268" s="461"/>
      <c r="L268" s="461"/>
    </row>
    <row r="269" spans="1:12">
      <c r="A269" s="461"/>
      <c r="B269" s="461"/>
      <c r="C269" s="461"/>
      <c r="D269" s="461"/>
      <c r="E269" s="461"/>
      <c r="F269" s="461"/>
      <c r="G269" s="461"/>
      <c r="H269" s="461"/>
      <c r="I269" s="461"/>
      <c r="J269" s="461"/>
      <c r="K269" s="461"/>
      <c r="L269" s="461"/>
    </row>
    <row r="270" spans="1:12">
      <c r="A270" s="461"/>
      <c r="B270" s="461"/>
      <c r="C270" s="461"/>
      <c r="D270" s="461"/>
      <c r="E270" s="461"/>
      <c r="F270" s="461"/>
      <c r="G270" s="461"/>
      <c r="H270" s="461"/>
      <c r="I270" s="461"/>
      <c r="J270" s="461"/>
      <c r="K270" s="461"/>
      <c r="L270" s="461"/>
    </row>
    <row r="271" spans="1:12">
      <c r="A271" s="461"/>
      <c r="B271" s="461"/>
      <c r="C271" s="461"/>
      <c r="D271" s="461"/>
      <c r="E271" s="461"/>
      <c r="F271" s="461"/>
      <c r="G271" s="461"/>
      <c r="H271" s="461"/>
      <c r="I271" s="461"/>
      <c r="J271" s="461"/>
      <c r="K271" s="461"/>
      <c r="L271" s="461"/>
    </row>
    <row r="272" spans="1:12">
      <c r="A272" s="461"/>
      <c r="B272" s="461"/>
      <c r="C272" s="461"/>
      <c r="D272" s="461"/>
      <c r="E272" s="461"/>
      <c r="F272" s="461"/>
      <c r="G272" s="461"/>
      <c r="H272" s="461"/>
      <c r="I272" s="461"/>
      <c r="J272" s="461"/>
      <c r="K272" s="461"/>
      <c r="L272" s="461"/>
    </row>
    <row r="273" spans="1:12">
      <c r="A273" s="461"/>
      <c r="B273" s="461"/>
      <c r="C273" s="461"/>
      <c r="D273" s="461"/>
      <c r="E273" s="461"/>
      <c r="F273" s="461"/>
      <c r="G273" s="461"/>
      <c r="H273" s="461"/>
      <c r="I273" s="461"/>
      <c r="J273" s="461"/>
      <c r="K273" s="461"/>
      <c r="L273" s="461"/>
    </row>
    <row r="274" spans="1:12">
      <c r="A274" s="461"/>
      <c r="B274" s="461"/>
      <c r="C274" s="461"/>
      <c r="D274" s="461"/>
      <c r="E274" s="461"/>
      <c r="F274" s="461"/>
      <c r="G274" s="461"/>
      <c r="H274" s="461"/>
      <c r="I274" s="461"/>
      <c r="J274" s="461"/>
      <c r="K274" s="461"/>
      <c r="L274" s="461"/>
    </row>
    <row r="275" spans="1:12">
      <c r="A275" s="461"/>
      <c r="B275" s="461"/>
      <c r="C275" s="461"/>
      <c r="D275" s="461"/>
      <c r="E275" s="461"/>
      <c r="F275" s="461"/>
      <c r="G275" s="461"/>
      <c r="H275" s="461"/>
      <c r="I275" s="461"/>
      <c r="J275" s="461"/>
      <c r="K275" s="461"/>
      <c r="L275" s="461"/>
    </row>
    <row r="276" spans="1:12">
      <c r="A276" s="461"/>
      <c r="B276" s="461"/>
      <c r="C276" s="461"/>
      <c r="D276" s="461"/>
      <c r="E276" s="461"/>
      <c r="F276" s="461"/>
      <c r="G276" s="461"/>
      <c r="H276" s="461"/>
      <c r="I276" s="461"/>
      <c r="J276" s="461"/>
      <c r="K276" s="461"/>
      <c r="L276" s="461"/>
    </row>
    <row r="277" spans="1:12">
      <c r="A277" s="461"/>
      <c r="B277" s="461"/>
      <c r="C277" s="461"/>
      <c r="D277" s="461"/>
      <c r="E277" s="461"/>
      <c r="F277" s="461"/>
      <c r="G277" s="461"/>
      <c r="H277" s="461"/>
      <c r="I277" s="461"/>
      <c r="J277" s="461"/>
      <c r="K277" s="461"/>
      <c r="L277" s="461"/>
    </row>
    <row r="278" spans="1:12">
      <c r="A278" s="461"/>
      <c r="B278" s="461"/>
      <c r="C278" s="461"/>
      <c r="D278" s="461"/>
      <c r="E278" s="461"/>
      <c r="F278" s="461"/>
      <c r="G278" s="461"/>
      <c r="H278" s="461"/>
      <c r="I278" s="461"/>
      <c r="J278" s="461"/>
      <c r="K278" s="461"/>
      <c r="L278" s="461"/>
    </row>
    <row r="279" spans="1:12">
      <c r="A279" s="461"/>
      <c r="B279" s="461"/>
      <c r="C279" s="461"/>
      <c r="D279" s="461"/>
      <c r="E279" s="461"/>
      <c r="F279" s="461"/>
      <c r="G279" s="461"/>
      <c r="H279" s="461"/>
      <c r="I279" s="461"/>
      <c r="J279" s="461"/>
      <c r="K279" s="461"/>
      <c r="L279" s="461"/>
    </row>
    <row r="280" spans="1:12">
      <c r="A280" s="461"/>
      <c r="B280" s="461"/>
      <c r="C280" s="461"/>
      <c r="D280" s="461"/>
      <c r="E280" s="461"/>
      <c r="F280" s="461"/>
      <c r="G280" s="461"/>
      <c r="H280" s="461"/>
      <c r="I280" s="461"/>
      <c r="J280" s="461"/>
      <c r="K280" s="461"/>
      <c r="L280" s="461"/>
    </row>
    <row r="281" spans="1:12">
      <c r="A281" s="461"/>
      <c r="B281" s="461"/>
      <c r="C281" s="461"/>
      <c r="D281" s="461"/>
      <c r="E281" s="461"/>
      <c r="F281" s="461"/>
      <c r="G281" s="461"/>
      <c r="H281" s="461"/>
      <c r="I281" s="461"/>
      <c r="J281" s="461"/>
      <c r="K281" s="461"/>
      <c r="L281" s="461"/>
    </row>
    <row r="282" spans="1:12">
      <c r="A282" s="461"/>
      <c r="B282" s="461"/>
      <c r="C282" s="461"/>
      <c r="D282" s="461"/>
      <c r="E282" s="461"/>
      <c r="F282" s="461"/>
      <c r="G282" s="461"/>
      <c r="H282" s="461"/>
      <c r="I282" s="461"/>
      <c r="J282" s="461"/>
      <c r="K282" s="461"/>
      <c r="L282" s="461"/>
    </row>
    <row r="283" spans="1:12">
      <c r="A283" s="461"/>
      <c r="B283" s="461"/>
      <c r="C283" s="461"/>
      <c r="D283" s="461"/>
      <c r="E283" s="461"/>
      <c r="F283" s="461"/>
      <c r="G283" s="461"/>
      <c r="H283" s="461"/>
      <c r="I283" s="461"/>
      <c r="J283" s="461"/>
      <c r="K283" s="461"/>
      <c r="L283" s="461"/>
    </row>
    <row r="284" spans="1:12">
      <c r="A284" s="461"/>
      <c r="B284" s="461"/>
      <c r="C284" s="461"/>
      <c r="D284" s="461"/>
      <c r="E284" s="461"/>
      <c r="F284" s="461"/>
      <c r="G284" s="461"/>
      <c r="H284" s="461"/>
      <c r="I284" s="461"/>
      <c r="J284" s="461"/>
      <c r="K284" s="461"/>
      <c r="L284" s="461"/>
    </row>
    <row r="285" spans="1:12">
      <c r="A285" s="461"/>
      <c r="B285" s="461"/>
      <c r="C285" s="461"/>
      <c r="D285" s="461"/>
      <c r="E285" s="461"/>
      <c r="F285" s="461"/>
      <c r="G285" s="461"/>
      <c r="H285" s="461"/>
      <c r="I285" s="461"/>
      <c r="J285" s="461"/>
      <c r="K285" s="461"/>
      <c r="L285" s="461"/>
    </row>
    <row r="286" spans="1:12">
      <c r="A286" s="461"/>
      <c r="B286" s="461"/>
      <c r="C286" s="461"/>
      <c r="D286" s="461"/>
      <c r="E286" s="461"/>
      <c r="F286" s="461"/>
      <c r="G286" s="461"/>
      <c r="H286" s="461"/>
      <c r="I286" s="461"/>
      <c r="J286" s="461"/>
      <c r="K286" s="461"/>
      <c r="L286" s="461"/>
    </row>
    <row r="287" spans="1:12">
      <c r="A287" s="461"/>
      <c r="B287" s="461"/>
      <c r="C287" s="461"/>
      <c r="D287" s="461"/>
      <c r="E287" s="461"/>
      <c r="F287" s="461"/>
      <c r="G287" s="461"/>
      <c r="H287" s="461"/>
      <c r="I287" s="461"/>
      <c r="J287" s="461"/>
      <c r="K287" s="461"/>
      <c r="L287" s="461"/>
    </row>
    <row r="288" spans="1:12">
      <c r="A288" s="461"/>
      <c r="B288" s="461"/>
      <c r="C288" s="461"/>
      <c r="D288" s="461"/>
      <c r="E288" s="461"/>
      <c r="F288" s="461"/>
      <c r="G288" s="461"/>
      <c r="H288" s="461"/>
      <c r="I288" s="461"/>
      <c r="J288" s="461"/>
      <c r="K288" s="461"/>
      <c r="L288" s="461"/>
    </row>
    <row r="289" spans="1:12">
      <c r="A289" s="461"/>
      <c r="B289" s="461"/>
      <c r="C289" s="461"/>
      <c r="D289" s="461"/>
      <c r="E289" s="461"/>
      <c r="F289" s="461"/>
      <c r="G289" s="461"/>
      <c r="H289" s="461"/>
      <c r="I289" s="461"/>
      <c r="J289" s="461"/>
      <c r="K289" s="461"/>
      <c r="L289" s="461"/>
    </row>
    <row r="290" spans="1:12">
      <c r="A290" s="461"/>
      <c r="B290" s="461"/>
      <c r="C290" s="461"/>
      <c r="D290" s="461"/>
      <c r="E290" s="461"/>
      <c r="F290" s="461"/>
      <c r="G290" s="461"/>
      <c r="H290" s="461"/>
      <c r="I290" s="461"/>
      <c r="J290" s="461"/>
      <c r="K290" s="461"/>
      <c r="L290" s="461"/>
    </row>
    <row r="291" spans="1:12">
      <c r="A291" s="461"/>
      <c r="B291" s="461"/>
      <c r="C291" s="461"/>
      <c r="D291" s="461"/>
      <c r="E291" s="461"/>
      <c r="F291" s="461"/>
      <c r="G291" s="461"/>
      <c r="H291" s="461"/>
      <c r="I291" s="461"/>
      <c r="J291" s="461"/>
      <c r="K291" s="461"/>
      <c r="L291" s="461"/>
    </row>
    <row r="292" spans="1:12">
      <c r="A292" s="461"/>
      <c r="B292" s="461"/>
      <c r="C292" s="461"/>
      <c r="D292" s="461"/>
      <c r="E292" s="461"/>
      <c r="F292" s="461"/>
      <c r="G292" s="461"/>
      <c r="H292" s="461"/>
      <c r="I292" s="461"/>
      <c r="J292" s="461"/>
      <c r="K292" s="461"/>
      <c r="L292" s="461"/>
    </row>
    <row r="293" spans="1:12">
      <c r="A293" s="461"/>
      <c r="B293" s="461"/>
      <c r="C293" s="461"/>
      <c r="D293" s="461"/>
      <c r="E293" s="461"/>
      <c r="F293" s="461"/>
      <c r="G293" s="461"/>
      <c r="H293" s="461"/>
      <c r="I293" s="461"/>
      <c r="J293" s="461"/>
      <c r="K293" s="461"/>
      <c r="L293" s="461"/>
    </row>
    <row r="294" spans="1:12">
      <c r="A294" s="461"/>
      <c r="B294" s="461"/>
      <c r="C294" s="461"/>
      <c r="D294" s="461"/>
      <c r="E294" s="461"/>
      <c r="F294" s="461"/>
      <c r="G294" s="461"/>
      <c r="H294" s="461"/>
      <c r="I294" s="461"/>
      <c r="J294" s="461"/>
      <c r="K294" s="461"/>
      <c r="L294" s="461"/>
    </row>
    <row r="295" spans="1:12">
      <c r="A295" s="461"/>
      <c r="B295" s="461"/>
      <c r="C295" s="461"/>
      <c r="D295" s="461"/>
      <c r="E295" s="461"/>
      <c r="F295" s="461"/>
      <c r="G295" s="461"/>
      <c r="H295" s="461"/>
      <c r="I295" s="461"/>
      <c r="J295" s="461"/>
      <c r="K295" s="461"/>
      <c r="L295" s="461"/>
    </row>
    <row r="296" spans="1:12">
      <c r="A296" s="461"/>
      <c r="B296" s="461"/>
      <c r="C296" s="461"/>
      <c r="D296" s="461"/>
      <c r="E296" s="461"/>
      <c r="F296" s="461"/>
      <c r="G296" s="461"/>
      <c r="H296" s="461"/>
      <c r="I296" s="461"/>
      <c r="J296" s="461"/>
      <c r="K296" s="461"/>
      <c r="L296" s="461"/>
    </row>
    <row r="297" spans="1:12">
      <c r="A297" s="461"/>
      <c r="B297" s="461"/>
      <c r="C297" s="461"/>
      <c r="D297" s="461"/>
      <c r="E297" s="461"/>
      <c r="F297" s="461"/>
      <c r="G297" s="461"/>
      <c r="H297" s="461"/>
      <c r="I297" s="461"/>
      <c r="J297" s="461"/>
      <c r="K297" s="461"/>
      <c r="L297" s="461"/>
    </row>
    <row r="298" spans="1:12">
      <c r="A298" s="461"/>
      <c r="B298" s="461"/>
      <c r="C298" s="461"/>
      <c r="D298" s="461"/>
      <c r="E298" s="461"/>
      <c r="F298" s="461"/>
      <c r="G298" s="461"/>
      <c r="H298" s="461"/>
      <c r="I298" s="461"/>
      <c r="J298" s="461"/>
      <c r="K298" s="461"/>
      <c r="L298" s="461"/>
    </row>
    <row r="299" spans="1:12">
      <c r="A299" s="461"/>
      <c r="B299" s="461"/>
      <c r="C299" s="461"/>
      <c r="D299" s="461"/>
      <c r="E299" s="461"/>
      <c r="F299" s="461"/>
      <c r="G299" s="461"/>
      <c r="H299" s="461"/>
      <c r="I299" s="461"/>
      <c r="J299" s="461"/>
      <c r="K299" s="461"/>
      <c r="L299" s="461"/>
    </row>
    <row r="300" spans="1:12">
      <c r="A300" s="461"/>
      <c r="B300" s="461"/>
      <c r="C300" s="461"/>
      <c r="D300" s="461"/>
      <c r="E300" s="461"/>
      <c r="F300" s="461"/>
      <c r="G300" s="461"/>
      <c r="H300" s="461"/>
      <c r="I300" s="461"/>
      <c r="J300" s="461"/>
      <c r="K300" s="461"/>
      <c r="L300" s="461"/>
    </row>
    <row r="301" spans="1:12">
      <c r="A301" s="461"/>
      <c r="B301" s="461"/>
      <c r="C301" s="461"/>
      <c r="D301" s="461"/>
      <c r="E301" s="461"/>
      <c r="F301" s="461"/>
      <c r="G301" s="461"/>
      <c r="H301" s="461"/>
      <c r="I301" s="461"/>
      <c r="J301" s="461"/>
      <c r="K301" s="461"/>
      <c r="L301" s="461"/>
    </row>
    <row r="302" spans="1:12">
      <c r="A302" s="461"/>
      <c r="B302" s="461"/>
      <c r="C302" s="461"/>
      <c r="D302" s="461"/>
      <c r="E302" s="461"/>
      <c r="F302" s="461"/>
      <c r="G302" s="461"/>
      <c r="H302" s="461"/>
      <c r="I302" s="461"/>
      <c r="J302" s="461"/>
      <c r="K302" s="461"/>
      <c r="L302" s="461"/>
    </row>
    <row r="303" spans="1:12">
      <c r="A303" s="461"/>
      <c r="B303" s="461"/>
      <c r="C303" s="461"/>
      <c r="D303" s="461"/>
      <c r="E303" s="461"/>
      <c r="F303" s="461"/>
      <c r="G303" s="461"/>
      <c r="H303" s="461"/>
      <c r="I303" s="461"/>
      <c r="J303" s="461"/>
      <c r="K303" s="461"/>
      <c r="L303" s="461"/>
    </row>
    <row r="304" spans="1:12">
      <c r="A304" s="461"/>
      <c r="B304" s="461"/>
      <c r="C304" s="461"/>
      <c r="D304" s="461"/>
      <c r="E304" s="461"/>
      <c r="F304" s="461"/>
      <c r="G304" s="461"/>
      <c r="H304" s="461"/>
      <c r="I304" s="461"/>
      <c r="J304" s="461"/>
      <c r="K304" s="461"/>
      <c r="L304" s="461"/>
    </row>
    <row r="305" spans="1:12">
      <c r="A305" s="461"/>
      <c r="B305" s="461"/>
      <c r="C305" s="461"/>
      <c r="D305" s="461"/>
      <c r="E305" s="461"/>
      <c r="F305" s="461"/>
      <c r="G305" s="461"/>
      <c r="H305" s="461"/>
      <c r="I305" s="461"/>
      <c r="J305" s="461"/>
      <c r="K305" s="461"/>
      <c r="L305" s="461"/>
    </row>
    <row r="306" spans="1:12">
      <c r="A306" s="461"/>
      <c r="B306" s="461"/>
      <c r="C306" s="461"/>
      <c r="D306" s="461"/>
      <c r="E306" s="461"/>
      <c r="F306" s="461"/>
      <c r="G306" s="461"/>
      <c r="H306" s="461"/>
      <c r="I306" s="461"/>
      <c r="J306" s="461"/>
      <c r="K306" s="461"/>
      <c r="L306" s="461"/>
    </row>
    <row r="307" spans="1:12">
      <c r="A307" s="461"/>
      <c r="B307" s="461"/>
      <c r="C307" s="461"/>
      <c r="D307" s="461"/>
      <c r="E307" s="461"/>
      <c r="F307" s="461"/>
      <c r="G307" s="461"/>
      <c r="H307" s="461"/>
      <c r="I307" s="461"/>
      <c r="J307" s="461"/>
      <c r="K307" s="461"/>
      <c r="L307" s="461"/>
    </row>
    <row r="308" spans="1:12">
      <c r="A308" s="461"/>
      <c r="B308" s="461"/>
      <c r="C308" s="461"/>
      <c r="D308" s="461"/>
      <c r="E308" s="461"/>
      <c r="F308" s="461"/>
      <c r="G308" s="461"/>
      <c r="H308" s="461"/>
      <c r="I308" s="461"/>
      <c r="J308" s="461"/>
      <c r="K308" s="461"/>
      <c r="L308" s="461"/>
    </row>
    <row r="309" spans="1:12">
      <c r="A309" s="461"/>
      <c r="B309" s="461"/>
      <c r="C309" s="461"/>
      <c r="D309" s="461"/>
      <c r="E309" s="461"/>
      <c r="F309" s="461"/>
      <c r="G309" s="461"/>
      <c r="H309" s="461"/>
      <c r="I309" s="461"/>
      <c r="J309" s="461"/>
      <c r="K309" s="461"/>
      <c r="L309" s="461"/>
    </row>
    <row r="310" spans="1:12">
      <c r="A310" s="461"/>
      <c r="B310" s="461"/>
      <c r="C310" s="461"/>
      <c r="D310" s="461"/>
      <c r="E310" s="461"/>
      <c r="F310" s="461"/>
      <c r="G310" s="461"/>
      <c r="H310" s="461"/>
      <c r="I310" s="461"/>
      <c r="J310" s="461"/>
      <c r="K310" s="461"/>
      <c r="L310" s="461"/>
    </row>
    <row r="311" spans="1:12">
      <c r="A311" s="461"/>
      <c r="B311" s="461"/>
      <c r="C311" s="461"/>
      <c r="D311" s="461"/>
      <c r="E311" s="461"/>
      <c r="F311" s="461"/>
      <c r="G311" s="461"/>
      <c r="H311" s="461"/>
      <c r="I311" s="461"/>
      <c r="J311" s="461"/>
      <c r="K311" s="461"/>
      <c r="L311" s="461"/>
    </row>
    <row r="312" spans="1:12">
      <c r="A312" s="461"/>
      <c r="B312" s="461"/>
      <c r="C312" s="461"/>
      <c r="D312" s="461"/>
      <c r="E312" s="461"/>
      <c r="F312" s="461"/>
      <c r="G312" s="461"/>
      <c r="H312" s="461"/>
      <c r="I312" s="461"/>
      <c r="J312" s="461"/>
      <c r="K312" s="461"/>
      <c r="L312" s="461"/>
    </row>
    <row r="313" spans="1:12">
      <c r="A313" s="461"/>
      <c r="B313" s="461"/>
      <c r="C313" s="461"/>
      <c r="D313" s="461"/>
      <c r="E313" s="461"/>
      <c r="F313" s="461"/>
      <c r="G313" s="461"/>
      <c r="H313" s="461"/>
      <c r="I313" s="461"/>
      <c r="J313" s="461"/>
      <c r="K313" s="461"/>
      <c r="L313" s="461"/>
    </row>
    <row r="314" spans="1:12">
      <c r="A314" s="461"/>
      <c r="B314" s="461"/>
      <c r="C314" s="461"/>
      <c r="D314" s="461"/>
      <c r="E314" s="461"/>
      <c r="F314" s="461"/>
      <c r="G314" s="461"/>
      <c r="H314" s="461"/>
      <c r="I314" s="461"/>
      <c r="J314" s="461"/>
      <c r="K314" s="461"/>
      <c r="L314" s="461"/>
    </row>
    <row r="315" spans="1:12">
      <c r="A315" s="461"/>
      <c r="B315" s="461"/>
      <c r="C315" s="461"/>
      <c r="D315" s="461"/>
      <c r="E315" s="461"/>
      <c r="F315" s="461"/>
      <c r="G315" s="461"/>
      <c r="H315" s="461"/>
      <c r="I315" s="461"/>
      <c r="J315" s="461"/>
      <c r="K315" s="461"/>
      <c r="L315" s="461"/>
    </row>
    <row r="316" spans="1:12">
      <c r="A316" s="461"/>
      <c r="B316" s="461"/>
      <c r="C316" s="461"/>
      <c r="D316" s="461"/>
      <c r="E316" s="461"/>
      <c r="F316" s="461"/>
      <c r="G316" s="461"/>
      <c r="H316" s="461"/>
      <c r="I316" s="461"/>
      <c r="J316" s="461"/>
      <c r="K316" s="461"/>
      <c r="L316" s="461"/>
    </row>
    <row r="317" spans="1:12">
      <c r="A317" s="461"/>
      <c r="B317" s="461"/>
      <c r="C317" s="461"/>
      <c r="D317" s="461"/>
      <c r="E317" s="461"/>
      <c r="F317" s="461"/>
      <c r="G317" s="461"/>
      <c r="H317" s="461"/>
      <c r="I317" s="461"/>
      <c r="J317" s="461"/>
      <c r="K317" s="461"/>
      <c r="L317" s="461"/>
    </row>
    <row r="318" spans="1:12">
      <c r="A318" s="461"/>
      <c r="B318" s="461"/>
      <c r="C318" s="461"/>
      <c r="D318" s="461"/>
      <c r="E318" s="461"/>
      <c r="F318" s="461"/>
      <c r="G318" s="461"/>
      <c r="H318" s="461"/>
      <c r="I318" s="461"/>
      <c r="J318" s="461"/>
      <c r="K318" s="461"/>
      <c r="L318" s="461"/>
    </row>
    <row r="319" spans="1:12">
      <c r="A319" s="461"/>
      <c r="B319" s="461"/>
      <c r="C319" s="461"/>
      <c r="D319" s="461"/>
      <c r="E319" s="461"/>
      <c r="F319" s="461"/>
      <c r="G319" s="461"/>
      <c r="H319" s="461"/>
      <c r="I319" s="461"/>
      <c r="J319" s="461"/>
      <c r="K319" s="461"/>
      <c r="L319" s="461"/>
    </row>
    <row r="320" spans="1:12">
      <c r="A320" s="461"/>
      <c r="B320" s="461"/>
      <c r="C320" s="461"/>
      <c r="D320" s="461"/>
      <c r="E320" s="461"/>
      <c r="F320" s="461"/>
      <c r="G320" s="461"/>
      <c r="H320" s="461"/>
      <c r="I320" s="461"/>
      <c r="J320" s="461"/>
      <c r="K320" s="461"/>
      <c r="L320" s="461"/>
    </row>
    <row r="321" spans="1:12">
      <c r="A321" s="461"/>
      <c r="B321" s="461"/>
      <c r="C321" s="461"/>
      <c r="D321" s="461"/>
      <c r="E321" s="461"/>
      <c r="F321" s="461"/>
      <c r="G321" s="461"/>
      <c r="H321" s="461"/>
      <c r="I321" s="461"/>
      <c r="J321" s="461"/>
      <c r="K321" s="461"/>
      <c r="L321" s="461"/>
    </row>
    <row r="322" spans="1:12">
      <c r="A322" s="461"/>
      <c r="B322" s="461"/>
      <c r="C322" s="461"/>
      <c r="D322" s="461"/>
      <c r="E322" s="461"/>
      <c r="F322" s="461"/>
      <c r="G322" s="461"/>
      <c r="H322" s="461"/>
      <c r="I322" s="461"/>
      <c r="J322" s="461"/>
      <c r="K322" s="461"/>
      <c r="L322" s="461"/>
    </row>
    <row r="323" spans="1:12">
      <c r="A323" s="461"/>
      <c r="B323" s="461"/>
      <c r="C323" s="461"/>
      <c r="D323" s="461"/>
      <c r="E323" s="461"/>
      <c r="F323" s="461"/>
      <c r="G323" s="461"/>
      <c r="H323" s="461"/>
      <c r="I323" s="461"/>
      <c r="J323" s="461"/>
      <c r="K323" s="461"/>
      <c r="L323" s="461"/>
    </row>
    <row r="324" spans="1:12">
      <c r="A324" s="461"/>
      <c r="B324" s="461"/>
      <c r="C324" s="461"/>
      <c r="D324" s="461"/>
      <c r="E324" s="461"/>
      <c r="F324" s="461"/>
      <c r="G324" s="461"/>
      <c r="H324" s="461"/>
      <c r="I324" s="461"/>
      <c r="J324" s="461"/>
      <c r="K324" s="461"/>
      <c r="L324" s="461"/>
    </row>
    <row r="325" spans="1:12">
      <c r="A325" s="461"/>
      <c r="B325" s="461"/>
      <c r="C325" s="461"/>
      <c r="D325" s="461"/>
      <c r="E325" s="461"/>
      <c r="F325" s="461"/>
      <c r="G325" s="461"/>
      <c r="H325" s="461"/>
      <c r="I325" s="461"/>
      <c r="J325" s="461"/>
      <c r="K325" s="461"/>
      <c r="L325" s="461"/>
    </row>
    <row r="326" spans="1:12">
      <c r="A326" s="461"/>
      <c r="B326" s="461"/>
      <c r="C326" s="461"/>
      <c r="D326" s="461"/>
      <c r="E326" s="461"/>
      <c r="F326" s="461"/>
      <c r="G326" s="461"/>
      <c r="H326" s="461"/>
      <c r="I326" s="461"/>
      <c r="J326" s="461"/>
      <c r="K326" s="461"/>
      <c r="L326" s="461"/>
    </row>
    <row r="327" spans="1:12">
      <c r="A327" s="461"/>
      <c r="B327" s="461"/>
      <c r="C327" s="461"/>
      <c r="D327" s="461"/>
      <c r="E327" s="461"/>
      <c r="F327" s="461"/>
      <c r="G327" s="461"/>
      <c r="H327" s="461"/>
      <c r="I327" s="461"/>
      <c r="J327" s="461"/>
      <c r="K327" s="461"/>
      <c r="L327" s="461"/>
    </row>
    <row r="328" spans="1:12">
      <c r="A328" s="461"/>
      <c r="B328" s="461"/>
      <c r="C328" s="461"/>
      <c r="D328" s="461"/>
      <c r="E328" s="461"/>
      <c r="F328" s="461"/>
      <c r="G328" s="461"/>
      <c r="H328" s="461"/>
      <c r="I328" s="461"/>
      <c r="J328" s="461"/>
      <c r="K328" s="461"/>
      <c r="L328" s="461"/>
    </row>
    <row r="329" spans="1:12">
      <c r="A329" s="461"/>
      <c r="B329" s="461"/>
      <c r="C329" s="461"/>
      <c r="D329" s="461"/>
      <c r="E329" s="461"/>
      <c r="F329" s="461"/>
      <c r="G329" s="461"/>
      <c r="H329" s="461"/>
      <c r="I329" s="461"/>
      <c r="J329" s="461"/>
      <c r="K329" s="461"/>
      <c r="L329" s="461"/>
    </row>
    <row r="330" spans="1:12">
      <c r="A330" s="461"/>
      <c r="B330" s="461"/>
      <c r="C330" s="461"/>
      <c r="D330" s="461"/>
      <c r="E330" s="461"/>
      <c r="F330" s="461"/>
      <c r="G330" s="461"/>
      <c r="H330" s="461"/>
      <c r="I330" s="461"/>
      <c r="J330" s="461"/>
      <c r="K330" s="461"/>
      <c r="L330" s="461"/>
    </row>
    <row r="331" spans="1:12">
      <c r="A331" s="461"/>
      <c r="B331" s="461"/>
      <c r="C331" s="461"/>
      <c r="D331" s="461"/>
      <c r="E331" s="461"/>
      <c r="F331" s="461"/>
      <c r="G331" s="461"/>
      <c r="H331" s="461"/>
      <c r="I331" s="461"/>
      <c r="J331" s="461"/>
      <c r="K331" s="461"/>
      <c r="L331" s="461"/>
    </row>
    <row r="332" spans="1:12">
      <c r="A332" s="461"/>
      <c r="B332" s="461"/>
      <c r="C332" s="461"/>
      <c r="D332" s="461"/>
      <c r="E332" s="461"/>
      <c r="F332" s="461"/>
      <c r="G332" s="461"/>
      <c r="H332" s="461"/>
      <c r="I332" s="461"/>
      <c r="J332" s="461"/>
      <c r="K332" s="461"/>
      <c r="L332" s="461"/>
    </row>
    <row r="333" spans="1:12">
      <c r="A333" s="461"/>
      <c r="B333" s="461"/>
      <c r="C333" s="461"/>
      <c r="D333" s="461"/>
      <c r="E333" s="461"/>
      <c r="F333" s="461"/>
      <c r="G333" s="461"/>
      <c r="H333" s="461"/>
      <c r="I333" s="461"/>
      <c r="J333" s="461"/>
      <c r="K333" s="461"/>
      <c r="L333" s="461"/>
    </row>
    <row r="334" spans="1:12">
      <c r="A334" s="461"/>
      <c r="B334" s="461"/>
      <c r="C334" s="461"/>
      <c r="D334" s="461"/>
      <c r="E334" s="461"/>
      <c r="F334" s="461"/>
      <c r="G334" s="461"/>
      <c r="H334" s="461"/>
      <c r="I334" s="461"/>
      <c r="J334" s="461"/>
      <c r="K334" s="461"/>
      <c r="L334" s="461"/>
    </row>
    <row r="335" spans="1:12">
      <c r="A335" s="461"/>
      <c r="B335" s="461"/>
      <c r="C335" s="461"/>
      <c r="D335" s="461"/>
      <c r="E335" s="461"/>
      <c r="F335" s="461"/>
      <c r="G335" s="461"/>
      <c r="H335" s="461"/>
      <c r="I335" s="461"/>
      <c r="J335" s="461"/>
      <c r="K335" s="461"/>
      <c r="L335" s="461"/>
    </row>
    <row r="336" spans="1:12">
      <c r="A336" s="461"/>
      <c r="B336" s="461"/>
      <c r="C336" s="461"/>
      <c r="D336" s="461"/>
      <c r="E336" s="461"/>
      <c r="F336" s="461"/>
      <c r="G336" s="461"/>
      <c r="H336" s="461"/>
      <c r="I336" s="461"/>
      <c r="J336" s="461"/>
      <c r="K336" s="461"/>
      <c r="L336" s="461"/>
    </row>
    <row r="337" spans="1:12">
      <c r="A337" s="461"/>
      <c r="B337" s="461"/>
      <c r="C337" s="461"/>
      <c r="D337" s="461"/>
      <c r="E337" s="461"/>
      <c r="F337" s="461"/>
      <c r="G337" s="461"/>
      <c r="H337" s="461"/>
      <c r="I337" s="461"/>
      <c r="J337" s="461"/>
      <c r="K337" s="461"/>
      <c r="L337" s="461"/>
    </row>
    <row r="338" spans="1:12">
      <c r="A338" s="461"/>
      <c r="B338" s="461"/>
      <c r="C338" s="461"/>
      <c r="D338" s="461"/>
      <c r="E338" s="461"/>
      <c r="F338" s="461"/>
      <c r="G338" s="461"/>
      <c r="H338" s="461"/>
      <c r="I338" s="461"/>
      <c r="J338" s="461"/>
      <c r="K338" s="461"/>
      <c r="L338" s="461"/>
    </row>
    <row r="339" spans="1:12">
      <c r="A339" s="461"/>
      <c r="B339" s="461"/>
      <c r="C339" s="461"/>
      <c r="D339" s="461"/>
      <c r="E339" s="461"/>
      <c r="F339" s="461"/>
      <c r="G339" s="461"/>
      <c r="H339" s="461"/>
      <c r="I339" s="461"/>
      <c r="J339" s="461"/>
      <c r="K339" s="461"/>
      <c r="L339" s="461"/>
    </row>
    <row r="340" spans="1:12">
      <c r="A340" s="461"/>
      <c r="B340" s="461"/>
      <c r="C340" s="461"/>
      <c r="D340" s="461"/>
      <c r="E340" s="461"/>
      <c r="F340" s="461"/>
      <c r="G340" s="461"/>
      <c r="H340" s="461"/>
      <c r="I340" s="461"/>
      <c r="J340" s="461"/>
      <c r="K340" s="461"/>
      <c r="L340" s="461"/>
    </row>
    <row r="341" spans="1:12">
      <c r="A341" s="461"/>
      <c r="B341" s="461"/>
      <c r="C341" s="461"/>
      <c r="D341" s="461"/>
      <c r="E341" s="461"/>
      <c r="F341" s="461"/>
      <c r="G341" s="461"/>
      <c r="H341" s="461"/>
      <c r="I341" s="461"/>
      <c r="J341" s="461"/>
      <c r="K341" s="461"/>
      <c r="L341" s="461"/>
    </row>
    <row r="342" spans="1:12">
      <c r="A342" s="461"/>
      <c r="B342" s="461"/>
      <c r="C342" s="461"/>
      <c r="D342" s="461"/>
      <c r="E342" s="461"/>
      <c r="F342" s="461"/>
      <c r="G342" s="461"/>
      <c r="H342" s="461"/>
      <c r="I342" s="461"/>
      <c r="J342" s="461"/>
      <c r="K342" s="461"/>
      <c r="L342" s="461"/>
    </row>
    <row r="343" spans="1:12">
      <c r="A343" s="461"/>
      <c r="B343" s="461"/>
      <c r="C343" s="461"/>
      <c r="D343" s="461"/>
      <c r="E343" s="461"/>
      <c r="F343" s="461"/>
      <c r="G343" s="461"/>
      <c r="H343" s="461"/>
      <c r="I343" s="461"/>
      <c r="J343" s="461"/>
      <c r="K343" s="461"/>
      <c r="L343" s="461"/>
    </row>
    <row r="344" spans="1:12">
      <c r="A344" s="461"/>
      <c r="B344" s="461"/>
      <c r="C344" s="461"/>
      <c r="D344" s="461"/>
      <c r="E344" s="461"/>
      <c r="F344" s="461"/>
      <c r="G344" s="461"/>
      <c r="H344" s="461"/>
      <c r="I344" s="461"/>
      <c r="J344" s="461"/>
      <c r="K344" s="461"/>
      <c r="L344" s="461"/>
    </row>
    <row r="345" spans="1:12">
      <c r="A345" s="461"/>
      <c r="B345" s="461"/>
      <c r="C345" s="461"/>
      <c r="D345" s="461"/>
      <c r="E345" s="461"/>
      <c r="F345" s="461"/>
      <c r="G345" s="461"/>
      <c r="H345" s="461"/>
      <c r="I345" s="461"/>
      <c r="J345" s="461"/>
      <c r="K345" s="461"/>
      <c r="L345" s="461"/>
    </row>
    <row r="346" spans="1:12">
      <c r="A346" s="461"/>
      <c r="B346" s="461"/>
      <c r="C346" s="461"/>
      <c r="D346" s="461"/>
      <c r="E346" s="461"/>
      <c r="F346" s="461"/>
      <c r="G346" s="461"/>
      <c r="H346" s="461"/>
      <c r="I346" s="461"/>
      <c r="J346" s="461"/>
      <c r="K346" s="461"/>
      <c r="L346" s="461"/>
    </row>
    <row r="347" spans="1:12">
      <c r="A347" s="461"/>
      <c r="B347" s="461"/>
      <c r="C347" s="461"/>
      <c r="D347" s="461"/>
      <c r="E347" s="461"/>
      <c r="F347" s="461"/>
      <c r="G347" s="461"/>
      <c r="H347" s="461"/>
      <c r="I347" s="461"/>
      <c r="J347" s="461"/>
      <c r="K347" s="461"/>
      <c r="L347" s="461"/>
    </row>
    <row r="348" spans="1:12">
      <c r="A348" s="461"/>
      <c r="B348" s="461"/>
      <c r="C348" s="461"/>
      <c r="D348" s="461"/>
      <c r="E348" s="461"/>
      <c r="F348" s="461"/>
      <c r="G348" s="461"/>
      <c r="H348" s="461"/>
      <c r="I348" s="461"/>
      <c r="J348" s="461"/>
      <c r="K348" s="461"/>
      <c r="L348" s="461"/>
    </row>
    <row r="349" spans="1:12">
      <c r="A349" s="461"/>
      <c r="B349" s="461"/>
      <c r="C349" s="461"/>
      <c r="D349" s="461"/>
      <c r="E349" s="461"/>
      <c r="F349" s="461"/>
      <c r="G349" s="461"/>
      <c r="H349" s="461"/>
      <c r="I349" s="461"/>
      <c r="J349" s="461"/>
      <c r="K349" s="461"/>
      <c r="L349" s="461"/>
    </row>
    <row r="350" spans="1:12">
      <c r="A350" s="461"/>
      <c r="B350" s="461"/>
      <c r="C350" s="461"/>
      <c r="D350" s="461"/>
      <c r="E350" s="461"/>
      <c r="F350" s="461"/>
      <c r="G350" s="461"/>
      <c r="H350" s="461"/>
      <c r="I350" s="461"/>
      <c r="J350" s="461"/>
      <c r="K350" s="461"/>
      <c r="L350" s="461"/>
    </row>
    <row r="351" spans="1:12">
      <c r="A351" s="461"/>
      <c r="B351" s="461"/>
      <c r="C351" s="461"/>
      <c r="D351" s="461"/>
      <c r="E351" s="461"/>
      <c r="F351" s="461"/>
      <c r="G351" s="461"/>
      <c r="H351" s="461"/>
      <c r="I351" s="461"/>
      <c r="J351" s="461"/>
      <c r="K351" s="461"/>
      <c r="L351" s="461"/>
    </row>
    <row r="352" spans="1:12">
      <c r="A352" s="461"/>
      <c r="B352" s="461"/>
      <c r="C352" s="461"/>
      <c r="D352" s="461"/>
      <c r="E352" s="461"/>
      <c r="F352" s="461"/>
      <c r="G352" s="461"/>
      <c r="H352" s="461"/>
      <c r="I352" s="461"/>
      <c r="J352" s="461"/>
      <c r="K352" s="461"/>
      <c r="L352" s="461"/>
    </row>
    <row r="353" spans="1:12">
      <c r="A353" s="461"/>
      <c r="B353" s="461"/>
      <c r="C353" s="461"/>
      <c r="D353" s="461"/>
      <c r="E353" s="461"/>
      <c r="F353" s="461"/>
      <c r="G353" s="461"/>
      <c r="H353" s="461"/>
      <c r="I353" s="461"/>
      <c r="J353" s="461"/>
      <c r="K353" s="461"/>
      <c r="L353" s="461"/>
    </row>
    <row r="354" spans="1:12">
      <c r="A354" s="461"/>
      <c r="B354" s="461"/>
      <c r="C354" s="461"/>
      <c r="D354" s="461"/>
      <c r="E354" s="461"/>
      <c r="F354" s="461"/>
      <c r="G354" s="461"/>
      <c r="H354" s="461"/>
      <c r="I354" s="461"/>
      <c r="J354" s="461"/>
      <c r="K354" s="461"/>
      <c r="L354" s="461"/>
    </row>
  </sheetData>
  <sheetProtection sheet="1" objects="1" scenarios="1"/>
  <mergeCells count="55">
    <mergeCell ref="B110:K110"/>
    <mergeCell ref="C120:D120"/>
    <mergeCell ref="B106:K106"/>
    <mergeCell ref="B108:K108"/>
    <mergeCell ref="B6:K6"/>
    <mergeCell ref="B7:K7"/>
    <mergeCell ref="B8:K8"/>
    <mergeCell ref="B10:K10"/>
    <mergeCell ref="B12:K12"/>
    <mergeCell ref="C25:D25"/>
    <mergeCell ref="F23:G23"/>
    <mergeCell ref="B30:K30"/>
    <mergeCell ref="B31:K31"/>
    <mergeCell ref="B33:K33"/>
    <mergeCell ref="B35:K35"/>
    <mergeCell ref="C41:D41"/>
    <mergeCell ref="B48:C48"/>
    <mergeCell ref="G50:H50"/>
    <mergeCell ref="I51:K51"/>
    <mergeCell ref="B52:K52"/>
    <mergeCell ref="B53:K53"/>
    <mergeCell ref="B58:K58"/>
    <mergeCell ref="B55:K55"/>
    <mergeCell ref="B57:K57"/>
    <mergeCell ref="C74:D74"/>
    <mergeCell ref="C77:D77"/>
    <mergeCell ref="C80:D80"/>
    <mergeCell ref="C83:D83"/>
    <mergeCell ref="B85:K85"/>
    <mergeCell ref="B86:K86"/>
    <mergeCell ref="B88:K88"/>
    <mergeCell ref="B90:K90"/>
    <mergeCell ref="C94:D94"/>
    <mergeCell ref="C97:D97"/>
    <mergeCell ref="C100:D100"/>
    <mergeCell ref="B105:K105"/>
    <mergeCell ref="C136:D136"/>
    <mergeCell ref="C137:D137"/>
    <mergeCell ref="C114:D114"/>
    <mergeCell ref="C117:D117"/>
    <mergeCell ref="B125:K125"/>
    <mergeCell ref="B126:K126"/>
    <mergeCell ref="B128:K128"/>
    <mergeCell ref="B130:K130"/>
    <mergeCell ref="C123:D123"/>
    <mergeCell ref="B144:K144"/>
    <mergeCell ref="C147:D147"/>
    <mergeCell ref="J147:K147"/>
    <mergeCell ref="C148:D148"/>
    <mergeCell ref="J148:K148"/>
    <mergeCell ref="C103:D103"/>
    <mergeCell ref="C133:D133"/>
    <mergeCell ref="H133:I133"/>
    <mergeCell ref="C134:D134"/>
    <mergeCell ref="H134:I134"/>
  </mergeCells>
  <pageMargins left="0.7" right="0.7" top="0.75" bottom="0.75" header="0.3" footer="0.3"/>
  <pageSetup scale="71"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C11" sqref="C11"/>
    </sheetView>
  </sheetViews>
  <sheetFormatPr defaultRowHeight="15"/>
  <cols>
    <col min="1" max="1" width="71.21875" customWidth="1"/>
  </cols>
  <sheetData>
    <row r="1" spans="1:1" ht="16.5">
      <c r="A1" s="484" t="s">
        <v>643</v>
      </c>
    </row>
    <row r="3" spans="1:1" ht="31.5">
      <c r="A3" s="485" t="s">
        <v>644</v>
      </c>
    </row>
    <row r="4" spans="1:1" ht="15.75">
      <c r="A4" s="486" t="s">
        <v>645</v>
      </c>
    </row>
    <row r="7" spans="1:1" ht="31.5">
      <c r="A7" s="485" t="s">
        <v>646</v>
      </c>
    </row>
    <row r="8" spans="1:1" ht="15.75">
      <c r="A8" s="486" t="s">
        <v>647</v>
      </c>
    </row>
    <row r="11" spans="1:1" ht="15.75">
      <c r="A11" s="386" t="s">
        <v>648</v>
      </c>
    </row>
    <row r="12" spans="1:1" ht="15.75">
      <c r="A12" s="486" t="s">
        <v>649</v>
      </c>
    </row>
    <row r="15" spans="1:1" ht="15.75">
      <c r="A15" s="386" t="s">
        <v>650</v>
      </c>
    </row>
    <row r="16" spans="1:1" ht="15.75">
      <c r="A16" s="486" t="s">
        <v>651</v>
      </c>
    </row>
    <row r="19" spans="1:1" ht="15.75">
      <c r="A19" s="386" t="s">
        <v>652</v>
      </c>
    </row>
    <row r="20" spans="1:1" ht="15.75">
      <c r="A20" s="486" t="s">
        <v>653</v>
      </c>
    </row>
    <row r="23" spans="1:1" ht="15.75">
      <c r="A23" s="386" t="s">
        <v>654</v>
      </c>
    </row>
    <row r="24" spans="1:1" ht="15.75">
      <c r="A24" s="486" t="s">
        <v>655</v>
      </c>
    </row>
    <row r="27" spans="1:1" ht="15.75">
      <c r="A27" s="386" t="s">
        <v>656</v>
      </c>
    </row>
    <row r="28" spans="1:1" ht="15.75">
      <c r="A28" s="486" t="s">
        <v>657</v>
      </c>
    </row>
    <row r="31" spans="1:1" ht="15.75">
      <c r="A31" s="386" t="s">
        <v>658</v>
      </c>
    </row>
    <row r="32" spans="1:1" ht="15.75">
      <c r="A32" s="486" t="s">
        <v>659</v>
      </c>
    </row>
    <row r="35" spans="1:1" ht="15.75">
      <c r="A35" s="386" t="s">
        <v>660</v>
      </c>
    </row>
    <row r="36" spans="1:1" ht="15.75">
      <c r="A36" s="486" t="s">
        <v>661</v>
      </c>
    </row>
    <row r="39" spans="1:1" ht="15.75">
      <c r="A39" s="386" t="s">
        <v>662</v>
      </c>
    </row>
    <row r="40" spans="1:1" ht="15.75">
      <c r="A40" s="486" t="s">
        <v>663</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8"/>
  <sheetViews>
    <sheetView workbookViewId="0">
      <selection activeCell="C13" sqref="C13"/>
    </sheetView>
  </sheetViews>
  <sheetFormatPr defaultRowHeight="15.75"/>
  <cols>
    <col min="1" max="1" width="82.88671875" style="8" customWidth="1"/>
    <col min="2" max="16384" width="8.88671875" style="8"/>
  </cols>
  <sheetData>
    <row r="1" spans="1:1">
      <c r="A1" s="405" t="s">
        <v>920</v>
      </c>
    </row>
    <row r="2" spans="1:1">
      <c r="A2" s="8" t="s">
        <v>921</v>
      </c>
    </row>
    <row r="4" spans="1:1">
      <c r="A4" s="405" t="s">
        <v>918</v>
      </c>
    </row>
    <row r="5" spans="1:1">
      <c r="A5" s="8" t="s">
        <v>919</v>
      </c>
    </row>
    <row r="7" spans="1:1">
      <c r="A7" s="405" t="s">
        <v>915</v>
      </c>
    </row>
    <row r="8" spans="1:1">
      <c r="A8" s="8" t="s">
        <v>916</v>
      </c>
    </row>
    <row r="9" spans="1:1">
      <c r="A9" s="8" t="s">
        <v>917</v>
      </c>
    </row>
    <row r="11" spans="1:1">
      <c r="A11" s="405" t="s">
        <v>840</v>
      </c>
    </row>
    <row r="12" spans="1:1">
      <c r="A12" s="714" t="s">
        <v>841</v>
      </c>
    </row>
    <row r="13" spans="1:1">
      <c r="A13" s="8" t="s">
        <v>842</v>
      </c>
    </row>
    <row r="14" spans="1:1">
      <c r="A14" s="8" t="s">
        <v>843</v>
      </c>
    </row>
    <row r="15" spans="1:1">
      <c r="A15" s="8" t="s">
        <v>844</v>
      </c>
    </row>
    <row r="16" spans="1:1">
      <c r="A16" s="8" t="s">
        <v>845</v>
      </c>
    </row>
    <row r="17" spans="1:1">
      <c r="A17" s="8" t="s">
        <v>846</v>
      </c>
    </row>
    <row r="18" spans="1:1">
      <c r="A18" s="8" t="s">
        <v>847</v>
      </c>
    </row>
    <row r="19" spans="1:1">
      <c r="A19" s="8" t="s">
        <v>848</v>
      </c>
    </row>
    <row r="20" spans="1:1">
      <c r="A20" s="8" t="s">
        <v>849</v>
      </c>
    </row>
    <row r="21" spans="1:1">
      <c r="A21" s="8" t="s">
        <v>850</v>
      </c>
    </row>
    <row r="22" spans="1:1">
      <c r="A22" s="8" t="s">
        <v>851</v>
      </c>
    </row>
    <row r="23" spans="1:1">
      <c r="A23" s="8" t="s">
        <v>852</v>
      </c>
    </row>
    <row r="24" spans="1:1">
      <c r="A24" s="8" t="s">
        <v>853</v>
      </c>
    </row>
    <row r="25" spans="1:1">
      <c r="A25" s="8" t="s">
        <v>854</v>
      </c>
    </row>
    <row r="26" spans="1:1">
      <c r="A26" s="8" t="s">
        <v>855</v>
      </c>
    </row>
    <row r="27" spans="1:1">
      <c r="A27" s="8" t="s">
        <v>856</v>
      </c>
    </row>
    <row r="28" spans="1:1" ht="47.25">
      <c r="A28" s="11" t="s">
        <v>857</v>
      </c>
    </row>
    <row r="29" spans="1:1">
      <c r="A29" s="10" t="s">
        <v>858</v>
      </c>
    </row>
    <row r="30" spans="1:1" ht="31.5">
      <c r="A30" s="11" t="s">
        <v>859</v>
      </c>
    </row>
    <row r="31" spans="1:1">
      <c r="A31" s="8" t="s">
        <v>860</v>
      </c>
    </row>
    <row r="32" spans="1:1">
      <c r="A32" s="8" t="s">
        <v>861</v>
      </c>
    </row>
    <row r="33" spans="1:1">
      <c r="A33" s="8" t="s">
        <v>862</v>
      </c>
    </row>
    <row r="34" spans="1:1">
      <c r="A34" s="8" t="s">
        <v>863</v>
      </c>
    </row>
    <row r="35" spans="1:1">
      <c r="A35" s="8" t="s">
        <v>864</v>
      </c>
    </row>
    <row r="36" spans="1:1">
      <c r="A36" s="8" t="s">
        <v>865</v>
      </c>
    </row>
    <row r="37" spans="1:1">
      <c r="A37" s="8" t="s">
        <v>866</v>
      </c>
    </row>
    <row r="38" spans="1:1">
      <c r="A38" s="8" t="s">
        <v>867</v>
      </c>
    </row>
    <row r="39" spans="1:1">
      <c r="A39" s="8" t="s">
        <v>868</v>
      </c>
    </row>
    <row r="40" spans="1:1">
      <c r="A40" s="8" t="s">
        <v>869</v>
      </c>
    </row>
    <row r="41" spans="1:1">
      <c r="A41" s="8" t="s">
        <v>870</v>
      </c>
    </row>
    <row r="42" spans="1:1">
      <c r="A42" s="8" t="s">
        <v>871</v>
      </c>
    </row>
    <row r="43" spans="1:1">
      <c r="A43" s="8" t="s">
        <v>872</v>
      </c>
    </row>
    <row r="44" spans="1:1">
      <c r="A44" s="8" t="s">
        <v>873</v>
      </c>
    </row>
    <row r="45" spans="1:1">
      <c r="A45" s="8" t="s">
        <v>874</v>
      </c>
    </row>
    <row r="46" spans="1:1">
      <c r="A46" s="8" t="s">
        <v>875</v>
      </c>
    </row>
    <row r="48" spans="1:1">
      <c r="A48" s="405" t="s">
        <v>798</v>
      </c>
    </row>
    <row r="49" spans="1:1">
      <c r="A49" s="8" t="s">
        <v>799</v>
      </c>
    </row>
    <row r="50" spans="1:1">
      <c r="A50" s="8" t="s">
        <v>800</v>
      </c>
    </row>
    <row r="52" spans="1:1">
      <c r="A52" s="405" t="s">
        <v>796</v>
      </c>
    </row>
    <row r="53" spans="1:1">
      <c r="A53" s="8" t="s">
        <v>797</v>
      </c>
    </row>
    <row r="55" spans="1:1">
      <c r="A55" s="405" t="s">
        <v>794</v>
      </c>
    </row>
    <row r="56" spans="1:1">
      <c r="A56" s="8" t="s">
        <v>795</v>
      </c>
    </row>
    <row r="58" spans="1:1">
      <c r="A58" s="405" t="s">
        <v>793</v>
      </c>
    </row>
    <row r="59" spans="1:1">
      <c r="A59" s="407" t="s">
        <v>792</v>
      </c>
    </row>
    <row r="61" spans="1:1">
      <c r="A61" s="405" t="s">
        <v>640</v>
      </c>
    </row>
    <row r="62" spans="1:1">
      <c r="A62" s="407" t="s">
        <v>637</v>
      </c>
    </row>
    <row r="63" spans="1:1">
      <c r="A63" s="407" t="s">
        <v>638</v>
      </c>
    </row>
    <row r="64" spans="1:1" ht="31.5">
      <c r="A64" s="406" t="s">
        <v>639</v>
      </c>
    </row>
    <row r="65" spans="1:1">
      <c r="A65" s="407" t="s">
        <v>756</v>
      </c>
    </row>
    <row r="66" spans="1:1">
      <c r="A66" s="407" t="s">
        <v>757</v>
      </c>
    </row>
    <row r="67" spans="1:1">
      <c r="A67" s="407" t="s">
        <v>758</v>
      </c>
    </row>
    <row r="68" spans="1:1">
      <c r="A68" s="407" t="s">
        <v>759</v>
      </c>
    </row>
    <row r="69" spans="1:1">
      <c r="A69" s="407" t="s">
        <v>760</v>
      </c>
    </row>
    <row r="70" spans="1:1">
      <c r="A70" s="407" t="s">
        <v>761</v>
      </c>
    </row>
    <row r="71" spans="1:1">
      <c r="A71" s="407" t="s">
        <v>762</v>
      </c>
    </row>
    <row r="72" spans="1:1">
      <c r="A72" s="407" t="s">
        <v>763</v>
      </c>
    </row>
    <row r="73" spans="1:1">
      <c r="A73" s="407" t="s">
        <v>764</v>
      </c>
    </row>
    <row r="74" spans="1:1">
      <c r="A74" s="407" t="s">
        <v>765</v>
      </c>
    </row>
    <row r="75" spans="1:1">
      <c r="A75" s="407" t="s">
        <v>766</v>
      </c>
    </row>
    <row r="76" spans="1:1">
      <c r="A76" s="407" t="s">
        <v>767</v>
      </c>
    </row>
    <row r="77" spans="1:1">
      <c r="A77" s="407" t="s">
        <v>768</v>
      </c>
    </row>
    <row r="78" spans="1:1">
      <c r="A78" s="407" t="s">
        <v>769</v>
      </c>
    </row>
    <row r="79" spans="1:1">
      <c r="A79" s="407" t="s">
        <v>770</v>
      </c>
    </row>
    <row r="80" spans="1:1">
      <c r="A80" s="407" t="s">
        <v>771</v>
      </c>
    </row>
    <row r="81" spans="1:1">
      <c r="A81" s="407" t="s">
        <v>772</v>
      </c>
    </row>
    <row r="82" spans="1:1">
      <c r="A82" s="407" t="s">
        <v>773</v>
      </c>
    </row>
    <row r="83" spans="1:1">
      <c r="A83" s="407" t="s">
        <v>774</v>
      </c>
    </row>
    <row r="84" spans="1:1">
      <c r="A84" s="407" t="s">
        <v>775</v>
      </c>
    </row>
    <row r="85" spans="1:1">
      <c r="A85" s="407" t="s">
        <v>776</v>
      </c>
    </row>
    <row r="86" spans="1:1">
      <c r="A86" s="407" t="s">
        <v>777</v>
      </c>
    </row>
    <row r="87" spans="1:1">
      <c r="A87" s="407" t="s">
        <v>778</v>
      </c>
    </row>
    <row r="88" spans="1:1">
      <c r="A88" s="407" t="s">
        <v>779</v>
      </c>
    </row>
    <row r="89" spans="1:1">
      <c r="A89" s="407" t="s">
        <v>780</v>
      </c>
    </row>
    <row r="92" spans="1:1">
      <c r="A92" s="341" t="s">
        <v>621</v>
      </c>
    </row>
    <row r="93" spans="1:1">
      <c r="A93" s="8" t="s">
        <v>622</v>
      </c>
    </row>
    <row r="94" spans="1:1">
      <c r="A94" s="8" t="s">
        <v>623</v>
      </c>
    </row>
    <row r="95" spans="1:1">
      <c r="A95" s="8" t="s">
        <v>624</v>
      </c>
    </row>
    <row r="97" spans="1:1">
      <c r="A97" s="341" t="s">
        <v>611</v>
      </c>
    </row>
    <row r="98" spans="1:1">
      <c r="A98" s="8" t="s">
        <v>620</v>
      </c>
    </row>
    <row r="100" spans="1:1">
      <c r="A100" s="341" t="s">
        <v>595</v>
      </c>
    </row>
    <row r="101" spans="1:1">
      <c r="A101" s="339" t="s">
        <v>596</v>
      </c>
    </row>
    <row r="102" spans="1:1">
      <c r="A102" s="339" t="s">
        <v>597</v>
      </c>
    </row>
    <row r="103" spans="1:1">
      <c r="A103" s="339" t="s">
        <v>598</v>
      </c>
    </row>
    <row r="105" spans="1:1">
      <c r="A105" s="317" t="s">
        <v>368</v>
      </c>
    </row>
    <row r="106" spans="1:1">
      <c r="A106" s="326" t="s">
        <v>370</v>
      </c>
    </row>
    <row r="107" spans="1:1">
      <c r="A107" s="324" t="s">
        <v>371</v>
      </c>
    </row>
    <row r="108" spans="1:1">
      <c r="A108" s="324" t="s">
        <v>372</v>
      </c>
    </row>
    <row r="109" spans="1:1" ht="21" customHeight="1">
      <c r="A109" s="325" t="s">
        <v>373</v>
      </c>
    </row>
    <row r="110" spans="1:1">
      <c r="A110" s="324" t="s">
        <v>374</v>
      </c>
    </row>
    <row r="111" spans="1:1">
      <c r="A111" s="324" t="s">
        <v>375</v>
      </c>
    </row>
    <row r="112" spans="1:1">
      <c r="A112" s="324" t="s">
        <v>376</v>
      </c>
    </row>
    <row r="113" spans="1:1">
      <c r="A113" s="324" t="s">
        <v>377</v>
      </c>
    </row>
    <row r="114" spans="1:1">
      <c r="A114" s="8" t="s">
        <v>378</v>
      </c>
    </row>
    <row r="116" spans="1:1">
      <c r="A116" s="317" t="s">
        <v>339</v>
      </c>
    </row>
    <row r="117" spans="1:1">
      <c r="A117" s="8" t="s">
        <v>340</v>
      </c>
    </row>
    <row r="118" spans="1:1">
      <c r="A118" s="8" t="s">
        <v>341</v>
      </c>
    </row>
    <row r="119" spans="1:1">
      <c r="A119" s="8" t="s">
        <v>342</v>
      </c>
    </row>
    <row r="120" spans="1:1">
      <c r="A120" s="8" t="s">
        <v>343</v>
      </c>
    </row>
    <row r="122" spans="1:1">
      <c r="A122" s="317" t="s">
        <v>336</v>
      </c>
    </row>
    <row r="123" spans="1:1">
      <c r="A123" s="8" t="s">
        <v>337</v>
      </c>
    </row>
    <row r="124" spans="1:1">
      <c r="A124" s="8" t="s">
        <v>338</v>
      </c>
    </row>
    <row r="126" spans="1:1">
      <c r="A126" s="317" t="s">
        <v>318</v>
      </c>
    </row>
    <row r="127" spans="1:1">
      <c r="A127" s="8" t="s">
        <v>306</v>
      </c>
    </row>
    <row r="128" spans="1:1">
      <c r="A128" s="8" t="s">
        <v>307</v>
      </c>
    </row>
    <row r="129" spans="1:1">
      <c r="A129" s="8" t="s">
        <v>308</v>
      </c>
    </row>
    <row r="130" spans="1:1">
      <c r="A130" s="8" t="s">
        <v>301</v>
      </c>
    </row>
    <row r="131" spans="1:1">
      <c r="A131" s="8" t="s">
        <v>309</v>
      </c>
    </row>
    <row r="132" spans="1:1">
      <c r="A132" s="8" t="s">
        <v>310</v>
      </c>
    </row>
    <row r="133" spans="1:1" ht="31.5">
      <c r="A133" s="11" t="s">
        <v>311</v>
      </c>
    </row>
    <row r="134" spans="1:1" ht="31.5">
      <c r="A134" s="11" t="s">
        <v>312</v>
      </c>
    </row>
    <row r="135" spans="1:1">
      <c r="A135" s="11" t="s">
        <v>319</v>
      </c>
    </row>
    <row r="136" spans="1:1">
      <c r="A136" s="11" t="s">
        <v>313</v>
      </c>
    </row>
    <row r="137" spans="1:1" ht="31.5">
      <c r="A137" s="11" t="s">
        <v>314</v>
      </c>
    </row>
    <row r="138" spans="1:1">
      <c r="A138" s="8" t="s">
        <v>315</v>
      </c>
    </row>
    <row r="139" spans="1:1" ht="31.5">
      <c r="A139" s="11" t="s">
        <v>320</v>
      </c>
    </row>
    <row r="140" spans="1:1">
      <c r="A140" s="8" t="s">
        <v>187</v>
      </c>
    </row>
    <row r="141" spans="1:1">
      <c r="A141" s="8" t="s">
        <v>316</v>
      </c>
    </row>
    <row r="142" spans="1:1" ht="35.25" customHeight="1">
      <c r="A142" s="8" t="s">
        <v>317</v>
      </c>
    </row>
    <row r="143" spans="1:1" ht="20.25" customHeight="1">
      <c r="A143" s="11" t="s">
        <v>186</v>
      </c>
    </row>
    <row r="144" spans="1:1">
      <c r="A144" s="8" t="s">
        <v>188</v>
      </c>
    </row>
    <row r="145" spans="1:1" ht="31.5">
      <c r="A145" s="11" t="s">
        <v>184</v>
      </c>
    </row>
    <row r="146" spans="1:1">
      <c r="A146" s="8" t="s">
        <v>185</v>
      </c>
    </row>
    <row r="148" spans="1:1">
      <c r="A148" s="317" t="s">
        <v>321</v>
      </c>
    </row>
    <row r="149" spans="1:1">
      <c r="A149" s="8" t="s">
        <v>322</v>
      </c>
    </row>
    <row r="150" spans="1:1">
      <c r="A150" s="8" t="s">
        <v>323</v>
      </c>
    </row>
    <row r="151" spans="1:1">
      <c r="A151" s="8" t="s">
        <v>324</v>
      </c>
    </row>
    <row r="152" spans="1:1">
      <c r="A152" s="8" t="s">
        <v>325</v>
      </c>
    </row>
    <row r="154" spans="1:1">
      <c r="A154" s="317" t="s">
        <v>298</v>
      </c>
    </row>
    <row r="155" spans="1:1">
      <c r="A155" s="8" t="s">
        <v>299</v>
      </c>
    </row>
    <row r="157" spans="1:1">
      <c r="A157" s="317" t="s">
        <v>293</v>
      </c>
    </row>
    <row r="158" spans="1:1" ht="31.5">
      <c r="A158" s="11" t="s">
        <v>294</v>
      </c>
    </row>
    <row r="159" spans="1:1">
      <c r="A159" s="8" t="s">
        <v>295</v>
      </c>
    </row>
    <row r="160" spans="1:1">
      <c r="A160" s="8" t="s">
        <v>297</v>
      </c>
    </row>
    <row r="161" spans="1:1">
      <c r="A161" s="8" t="s">
        <v>296</v>
      </c>
    </row>
    <row r="162" spans="1:1" ht="18" customHeight="1"/>
    <row r="163" spans="1:1" ht="48.75" customHeight="1">
      <c r="A163" s="8" t="s">
        <v>221</v>
      </c>
    </row>
    <row r="164" spans="1:1" ht="47.25">
      <c r="A164" s="11" t="s">
        <v>252</v>
      </c>
    </row>
    <row r="165" spans="1:1">
      <c r="A165" s="8" t="s">
        <v>222</v>
      </c>
    </row>
    <row r="166" spans="1:1">
      <c r="A166" s="8" t="s">
        <v>223</v>
      </c>
    </row>
    <row r="167" spans="1:1">
      <c r="A167" s="8" t="s">
        <v>253</v>
      </c>
    </row>
    <row r="168" spans="1:1">
      <c r="A168" s="8" t="s">
        <v>224</v>
      </c>
    </row>
    <row r="169" spans="1:1">
      <c r="A169" s="8" t="s">
        <v>225</v>
      </c>
    </row>
    <row r="170" spans="1:1">
      <c r="A170" s="8" t="s">
        <v>262</v>
      </c>
    </row>
    <row r="171" spans="1:1">
      <c r="A171" s="8" t="s">
        <v>226</v>
      </c>
    </row>
    <row r="172" spans="1:1">
      <c r="A172" s="8" t="s">
        <v>227</v>
      </c>
    </row>
    <row r="173" spans="1:1" ht="31.5">
      <c r="A173" s="11" t="s">
        <v>228</v>
      </c>
    </row>
    <row r="174" spans="1:1" ht="31.5">
      <c r="A174" s="11" t="s">
        <v>327</v>
      </c>
    </row>
    <row r="175" spans="1:1">
      <c r="A175" s="8" t="s">
        <v>229</v>
      </c>
    </row>
    <row r="176" spans="1:1">
      <c r="A176" s="8" t="s">
        <v>230</v>
      </c>
    </row>
    <row r="177" spans="1:1">
      <c r="A177" s="8" t="s">
        <v>254</v>
      </c>
    </row>
    <row r="178" spans="1:1">
      <c r="A178" s="8" t="s">
        <v>231</v>
      </c>
    </row>
    <row r="179" spans="1:1">
      <c r="A179" s="8" t="s">
        <v>255</v>
      </c>
    </row>
    <row r="180" spans="1:1" ht="31.5">
      <c r="A180" s="11" t="s">
        <v>256</v>
      </c>
    </row>
    <row r="181" spans="1:1">
      <c r="A181" s="8" t="s">
        <v>238</v>
      </c>
    </row>
    <row r="182" spans="1:1">
      <c r="A182" s="8" t="s">
        <v>239</v>
      </c>
    </row>
    <row r="183" spans="1:1" ht="31.5">
      <c r="A183" s="11" t="s">
        <v>240</v>
      </c>
    </row>
    <row r="184" spans="1:1">
      <c r="A184" s="8" t="s">
        <v>279</v>
      </c>
    </row>
    <row r="185" spans="1:1">
      <c r="A185" s="8" t="s">
        <v>278</v>
      </c>
    </row>
    <row r="186" spans="1:1">
      <c r="A186" s="8" t="s">
        <v>280</v>
      </c>
    </row>
    <row r="187" spans="1:1">
      <c r="A187" s="8" t="s">
        <v>281</v>
      </c>
    </row>
    <row r="188" spans="1:1">
      <c r="A188" s="8" t="s">
        <v>282</v>
      </c>
    </row>
    <row r="189" spans="1:1">
      <c r="A189" s="8" t="s">
        <v>283</v>
      </c>
    </row>
    <row r="190" spans="1:1">
      <c r="A190" s="8" t="s">
        <v>284</v>
      </c>
    </row>
    <row r="191" spans="1:1">
      <c r="A191" s="8" t="s">
        <v>285</v>
      </c>
    </row>
    <row r="192" spans="1:1">
      <c r="A192" s="8" t="s">
        <v>286</v>
      </c>
    </row>
    <row r="193" spans="1:1">
      <c r="A193" s="8" t="s">
        <v>287</v>
      </c>
    </row>
    <row r="194" spans="1:1">
      <c r="A194" s="8" t="s">
        <v>288</v>
      </c>
    </row>
    <row r="195" spans="1:1">
      <c r="A195" s="8" t="s">
        <v>289</v>
      </c>
    </row>
    <row r="196" spans="1:1">
      <c r="A196" s="8" t="s">
        <v>290</v>
      </c>
    </row>
    <row r="197" spans="1:1">
      <c r="A197" s="8" t="s">
        <v>292</v>
      </c>
    </row>
    <row r="198" spans="1:1">
      <c r="A198" s="8" t="s">
        <v>291</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B9" sqref="B9"/>
    </sheetView>
  </sheetViews>
  <sheetFormatPr defaultRowHeight="15"/>
  <cols>
    <col min="1" max="1" width="13.77734375" style="649" customWidth="1"/>
    <col min="2" max="2" width="16.109375" style="649" customWidth="1"/>
    <col min="3" max="16384" width="8.88671875" style="649"/>
  </cols>
  <sheetData>
    <row r="1" spans="1:10">
      <c r="J1" s="648" t="s">
        <v>818</v>
      </c>
    </row>
    <row r="2" spans="1:10" ht="54" customHeight="1">
      <c r="A2" s="739" t="s">
        <v>379</v>
      </c>
      <c r="B2" s="740"/>
      <c r="C2" s="740"/>
      <c r="D2" s="740"/>
      <c r="E2" s="740"/>
      <c r="F2" s="740"/>
      <c r="J2" s="648" t="s">
        <v>819</v>
      </c>
    </row>
    <row r="3" spans="1:10" ht="15.75">
      <c r="A3" s="647" t="s">
        <v>820</v>
      </c>
      <c r="B3" s="682" t="s">
        <v>924</v>
      </c>
      <c r="C3" s="682"/>
      <c r="J3" s="648" t="s">
        <v>821</v>
      </c>
    </row>
    <row r="4" spans="1:10" ht="15.75">
      <c r="A4" s="647"/>
      <c r="B4" s="689"/>
      <c r="J4" s="648" t="s">
        <v>822</v>
      </c>
    </row>
    <row r="5" spans="1:10" ht="15.75">
      <c r="A5" s="647" t="s">
        <v>632</v>
      </c>
      <c r="B5" s="682" t="s">
        <v>159</v>
      </c>
      <c r="J5" s="648" t="s">
        <v>823</v>
      </c>
    </row>
    <row r="6" spans="1:10" ht="15.75">
      <c r="A6" s="654"/>
      <c r="B6" s="654"/>
      <c r="C6" s="654"/>
      <c r="D6" s="681" t="s">
        <v>824</v>
      </c>
      <c r="E6" s="654"/>
      <c r="F6" s="654"/>
      <c r="J6" s="648" t="s">
        <v>825</v>
      </c>
    </row>
    <row r="7" spans="1:10" ht="15.75">
      <c r="A7" s="681" t="s">
        <v>380</v>
      </c>
      <c r="B7" s="682" t="s">
        <v>1054</v>
      </c>
      <c r="C7" s="655"/>
      <c r="D7" s="646" t="str">
        <f ca="1">IF(B7="","",CONCATENATE("Latest date for notice to be published in your newspaper: ",G18," ",G22,", ",G23))</f>
        <v>Latest date for notice to be published in your newspaper: August 10, 2013</v>
      </c>
      <c r="E7" s="654"/>
      <c r="F7" s="654"/>
      <c r="J7" s="648" t="s">
        <v>826</v>
      </c>
    </row>
    <row r="8" spans="1:10" ht="15.75">
      <c r="A8" s="681"/>
      <c r="B8" s="656"/>
      <c r="C8" s="657"/>
      <c r="D8" s="681"/>
      <c r="E8" s="654"/>
      <c r="F8" s="654"/>
      <c r="J8" s="648" t="s">
        <v>827</v>
      </c>
    </row>
    <row r="9" spans="1:10" ht="15.75">
      <c r="A9" s="681" t="s">
        <v>381</v>
      </c>
      <c r="B9" s="682" t="s">
        <v>1043</v>
      </c>
      <c r="C9" s="658"/>
      <c r="D9" s="681"/>
      <c r="E9" s="654"/>
      <c r="F9" s="654"/>
      <c r="J9" s="648" t="s">
        <v>828</v>
      </c>
    </row>
    <row r="10" spans="1:10" ht="15.75">
      <c r="A10" s="681"/>
      <c r="B10" s="681"/>
      <c r="C10" s="681"/>
      <c r="D10" s="681"/>
      <c r="E10" s="654"/>
      <c r="F10" s="654"/>
      <c r="J10" s="648" t="s">
        <v>829</v>
      </c>
    </row>
    <row r="11" spans="1:10" ht="15.75">
      <c r="A11" s="681" t="s">
        <v>382</v>
      </c>
      <c r="B11" s="683" t="s">
        <v>387</v>
      </c>
      <c r="C11" s="683"/>
      <c r="D11" s="683"/>
      <c r="E11" s="659"/>
      <c r="F11" s="654"/>
      <c r="J11" s="648" t="s">
        <v>830</v>
      </c>
    </row>
    <row r="12" spans="1:10" ht="15.75">
      <c r="A12" s="681"/>
      <c r="B12" s="681"/>
      <c r="C12" s="681"/>
      <c r="D12" s="681"/>
      <c r="E12" s="654"/>
      <c r="F12" s="654"/>
      <c r="J12" s="648" t="s">
        <v>831</v>
      </c>
    </row>
    <row r="13" spans="1:10" ht="15.75">
      <c r="A13" s="681"/>
      <c r="B13" s="681"/>
      <c r="C13" s="681"/>
      <c r="D13" s="681"/>
      <c r="E13" s="654"/>
      <c r="F13" s="654"/>
    </row>
    <row r="14" spans="1:10" ht="15.75">
      <c r="A14" s="681" t="s">
        <v>383</v>
      </c>
      <c r="B14" s="683" t="s">
        <v>387</v>
      </c>
      <c r="C14" s="683"/>
      <c r="D14" s="683"/>
      <c r="E14" s="659"/>
      <c r="F14" s="654"/>
    </row>
    <row r="17" spans="1:7" ht="15.75">
      <c r="A17" s="741" t="s">
        <v>384</v>
      </c>
      <c r="B17" s="741"/>
      <c r="C17" s="681"/>
      <c r="D17" s="681"/>
      <c r="E17" s="681"/>
      <c r="F17" s="654"/>
    </row>
    <row r="18" spans="1:7" ht="15.75">
      <c r="A18" s="681"/>
      <c r="B18" s="681"/>
      <c r="C18" s="681"/>
      <c r="D18" s="681"/>
      <c r="E18" s="681"/>
      <c r="F18" s="654"/>
      <c r="G18" s="648" t="str">
        <f ca="1">IF(B7="","",INDIRECT(G19))</f>
        <v>August</v>
      </c>
    </row>
    <row r="19" spans="1:7" ht="15.75">
      <c r="A19" s="681" t="s">
        <v>632</v>
      </c>
      <c r="B19" s="681" t="s">
        <v>636</v>
      </c>
      <c r="C19" s="681"/>
      <c r="D19" s="681"/>
      <c r="E19" s="681"/>
      <c r="F19" s="654"/>
      <c r="G19" s="684" t="str">
        <f>IF(B7="","",CONCATENATE("J",G21))</f>
        <v>J8</v>
      </c>
    </row>
    <row r="20" spans="1:7" ht="15.75">
      <c r="A20" s="681"/>
      <c r="B20" s="681"/>
      <c r="C20" s="681"/>
      <c r="D20" s="681"/>
      <c r="E20" s="681"/>
      <c r="F20" s="654"/>
      <c r="G20" s="685">
        <f>B7-10</f>
        <v>41496</v>
      </c>
    </row>
    <row r="21" spans="1:7" ht="15.75">
      <c r="A21" s="681" t="s">
        <v>380</v>
      </c>
      <c r="B21" s="656" t="s">
        <v>385</v>
      </c>
      <c r="C21" s="681"/>
      <c r="D21" s="681"/>
      <c r="E21" s="681"/>
      <c r="G21" s="686">
        <f>IF(B7="","",MONTH(G20))</f>
        <v>8</v>
      </c>
    </row>
    <row r="22" spans="1:7" ht="15.75">
      <c r="A22" s="681"/>
      <c r="B22" s="681"/>
      <c r="C22" s="681"/>
      <c r="D22" s="681"/>
      <c r="E22" s="681"/>
      <c r="G22" s="687">
        <f>IF(B7="","",DAY(G20))</f>
        <v>10</v>
      </c>
    </row>
    <row r="23" spans="1:7" ht="15.75">
      <c r="A23" s="681" t="s">
        <v>381</v>
      </c>
      <c r="B23" s="681" t="s">
        <v>386</v>
      </c>
      <c r="C23" s="681"/>
      <c r="D23" s="681"/>
      <c r="E23" s="681"/>
      <c r="G23" s="688">
        <f>IF(B7="","",YEAR(G20))</f>
        <v>2013</v>
      </c>
    </row>
    <row r="24" spans="1:7" ht="15.75">
      <c r="A24" s="681"/>
      <c r="B24" s="681"/>
      <c r="C24" s="681"/>
      <c r="D24" s="681"/>
      <c r="E24" s="681"/>
    </row>
    <row r="25" spans="1:7" ht="15.75">
      <c r="A25" s="681" t="s">
        <v>382</v>
      </c>
      <c r="B25" s="681" t="s">
        <v>387</v>
      </c>
      <c r="C25" s="681"/>
      <c r="D25" s="681"/>
      <c r="E25" s="681"/>
    </row>
    <row r="26" spans="1:7" ht="15.75">
      <c r="A26" s="681"/>
      <c r="B26" s="681"/>
      <c r="C26" s="681"/>
      <c r="D26" s="681"/>
      <c r="E26" s="681"/>
    </row>
    <row r="27" spans="1:7" ht="15.75">
      <c r="A27" s="681" t="s">
        <v>383</v>
      </c>
      <c r="B27" s="681" t="s">
        <v>387</v>
      </c>
      <c r="C27" s="681"/>
      <c r="D27" s="681"/>
      <c r="E27" s="681"/>
    </row>
  </sheetData>
  <sheetProtection sheet="1"/>
  <mergeCells count="2">
    <mergeCell ref="A2:F2"/>
    <mergeCell ref="A17:B17"/>
  </mergeCells>
  <pageMargins left="0.7" right="0.7" top="0.75" bottom="0.75" header="0.3" footer="0.3"/>
  <pageSetup scale="6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92"/>
  <sheetViews>
    <sheetView topLeftCell="A10" workbookViewId="0">
      <selection activeCell="A40" sqref="A40:IV45"/>
    </sheetView>
  </sheetViews>
  <sheetFormatPr defaultRowHeight="15.75"/>
  <cols>
    <col min="1" max="1" width="8.88671875" style="83"/>
    <col min="2" max="2" width="24.44140625" style="23" customWidth="1"/>
    <col min="3" max="3" width="10.77734375" style="23" customWidth="1"/>
    <col min="4" max="4" width="5.77734375" style="23" customWidth="1"/>
    <col min="5" max="5" width="14" style="23" customWidth="1"/>
    <col min="6" max="7" width="13.77734375" style="23" customWidth="1"/>
    <col min="8" max="16384" width="8.88671875" style="83"/>
  </cols>
  <sheetData>
    <row r="1" spans="2:7">
      <c r="B1" s="22"/>
      <c r="C1" s="22"/>
      <c r="D1" s="22"/>
      <c r="E1" s="22"/>
      <c r="F1" s="22"/>
      <c r="G1" s="22">
        <f>inputPrYr!C5</f>
        <v>2014</v>
      </c>
    </row>
    <row r="2" spans="2:7">
      <c r="B2" s="22"/>
      <c r="C2" s="22"/>
      <c r="D2" s="24" t="s">
        <v>84</v>
      </c>
      <c r="E2" s="22"/>
      <c r="F2" s="22"/>
      <c r="G2" s="119"/>
    </row>
    <row r="3" spans="2:7">
      <c r="B3" s="744" t="str">
        <f>CONCATENATE("To the Clerk of ",inputPrYr!D3,", State of Kansas")</f>
        <v>To the Clerk of Geary, State of Kansas</v>
      </c>
      <c r="C3" s="734"/>
      <c r="D3" s="734"/>
      <c r="E3" s="734"/>
      <c r="F3" s="734"/>
      <c r="G3" s="734"/>
    </row>
    <row r="4" spans="2:7">
      <c r="B4" s="34" t="s">
        <v>625</v>
      </c>
      <c r="C4" s="33"/>
      <c r="D4" s="33"/>
      <c r="E4" s="33"/>
      <c r="F4" s="33"/>
      <c r="G4" s="33"/>
    </row>
    <row r="5" spans="2:7">
      <c r="B5" s="742" t="str">
        <f>(inputPrYr!D2)</f>
        <v>City of Grandview Plaza, Kansas</v>
      </c>
      <c r="C5" s="743"/>
      <c r="D5" s="743"/>
      <c r="E5" s="743"/>
      <c r="F5" s="743"/>
      <c r="G5" s="743"/>
    </row>
    <row r="6" spans="2:7">
      <c r="B6" s="34" t="s">
        <v>335</v>
      </c>
      <c r="C6" s="33"/>
      <c r="D6" s="33"/>
      <c r="E6" s="33"/>
      <c r="F6" s="33"/>
      <c r="G6" s="33"/>
    </row>
    <row r="7" spans="2:7">
      <c r="B7" s="34" t="s">
        <v>0</v>
      </c>
      <c r="C7" s="33"/>
      <c r="D7" s="33"/>
      <c r="E7" s="33"/>
      <c r="F7" s="33"/>
      <c r="G7" s="33"/>
    </row>
    <row r="8" spans="2:7">
      <c r="B8" s="34" t="str">
        <f>CONCATENATE("maximum expenditures for the various funds for the year ",G1,"; and")</f>
        <v>maximum expenditures for the various funds for the year 2014; and</v>
      </c>
      <c r="C8" s="33"/>
      <c r="D8" s="33"/>
      <c r="E8" s="33"/>
      <c r="F8" s="33"/>
      <c r="G8" s="33"/>
    </row>
    <row r="9" spans="2:7">
      <c r="B9" s="34" t="str">
        <f>CONCATENATE("(3) the Amount(s) of ",G1-1," Ad Valorem Tax are within statutory limitations.")</f>
        <v>(3) the Amount(s) of 2013 Ad Valorem Tax are within statutory limitations.</v>
      </c>
      <c r="C9" s="33"/>
      <c r="D9" s="33"/>
      <c r="E9" s="33"/>
      <c r="F9" s="33"/>
      <c r="G9" s="33"/>
    </row>
    <row r="10" spans="2:7">
      <c r="B10" s="22"/>
      <c r="C10" s="22"/>
      <c r="D10" s="22"/>
      <c r="E10" s="120" t="str">
        <f>CONCATENATE("",G1," Adopted Budget")</f>
        <v>2014 Adopted Budget</v>
      </c>
      <c r="F10" s="121"/>
      <c r="G10" s="122"/>
    </row>
    <row r="11" spans="2:7" ht="21" customHeight="1">
      <c r="B11" s="22"/>
      <c r="C11" s="22"/>
      <c r="D11" s="123"/>
      <c r="E11" s="124" t="s">
        <v>1</v>
      </c>
      <c r="F11" s="125" t="s">
        <v>180</v>
      </c>
      <c r="G11" s="125" t="s">
        <v>2</v>
      </c>
    </row>
    <row r="12" spans="2:7">
      <c r="B12" s="29"/>
      <c r="C12" s="22"/>
      <c r="D12" s="125" t="s">
        <v>3</v>
      </c>
      <c r="E12" s="126" t="s">
        <v>265</v>
      </c>
      <c r="F12" s="127" t="str">
        <f>CONCATENATE("",G1-1," Ad")</f>
        <v>2013 Ad</v>
      </c>
      <c r="G12" s="126" t="s">
        <v>4</v>
      </c>
    </row>
    <row r="13" spans="2:7">
      <c r="B13" s="128" t="s">
        <v>5</v>
      </c>
      <c r="C13" s="55"/>
      <c r="D13" s="129" t="s">
        <v>6</v>
      </c>
      <c r="E13" s="129" t="s">
        <v>633</v>
      </c>
      <c r="F13" s="130" t="s">
        <v>181</v>
      </c>
      <c r="G13" s="129" t="s">
        <v>7</v>
      </c>
    </row>
    <row r="14" spans="2:7">
      <c r="B14" s="131" t="str">
        <f>CONCATENATE("Computation to Determine Limit for ",G1,"")</f>
        <v>Computation to Determine Limit for 2014</v>
      </c>
      <c r="C14" s="77"/>
      <c r="D14" s="132">
        <v>2</v>
      </c>
      <c r="E14" s="133"/>
      <c r="F14" s="133"/>
      <c r="G14" s="133"/>
    </row>
    <row r="15" spans="2:7">
      <c r="B15" s="131" t="s">
        <v>806</v>
      </c>
      <c r="C15" s="55"/>
      <c r="D15" s="129">
        <v>3</v>
      </c>
      <c r="E15" s="126"/>
      <c r="F15" s="126"/>
      <c r="G15" s="126"/>
    </row>
    <row r="16" spans="2:7">
      <c r="B16" s="131" t="s">
        <v>148</v>
      </c>
      <c r="C16" s="55"/>
      <c r="D16" s="129">
        <v>4</v>
      </c>
      <c r="E16" s="126"/>
      <c r="F16" s="126"/>
      <c r="G16" s="126"/>
    </row>
    <row r="17" spans="2:7">
      <c r="B17" s="131" t="s">
        <v>8</v>
      </c>
      <c r="C17" s="77"/>
      <c r="D17" s="132">
        <v>5</v>
      </c>
      <c r="E17" s="134"/>
      <c r="F17" s="134"/>
      <c r="G17" s="134"/>
    </row>
    <row r="18" spans="2:7">
      <c r="B18" s="131" t="s">
        <v>9</v>
      </c>
      <c r="C18" s="77"/>
      <c r="D18" s="132">
        <v>6</v>
      </c>
      <c r="E18" s="134"/>
      <c r="F18" s="134"/>
      <c r="G18" s="134"/>
    </row>
    <row r="19" spans="2:7">
      <c r="B19" s="142" t="str">
        <f>IF(inputPrYr!D19="","","Computation to Determine State Library Grant")</f>
        <v>Computation to Determine State Library Grant</v>
      </c>
      <c r="C19" s="77"/>
      <c r="D19" s="140" t="e">
        <f>IF(inputPrYr!D19="","",#REF!)</f>
        <v>#REF!</v>
      </c>
      <c r="E19" s="134"/>
      <c r="F19" s="134"/>
      <c r="G19" s="134"/>
    </row>
    <row r="20" spans="2:7">
      <c r="B20" s="135" t="s">
        <v>10</v>
      </c>
      <c r="C20" s="136" t="s">
        <v>11</v>
      </c>
      <c r="D20" s="137"/>
      <c r="E20" s="69"/>
      <c r="F20" s="69"/>
      <c r="G20" s="69"/>
    </row>
    <row r="21" spans="2:7">
      <c r="B21" s="47" t="str">
        <f>inputPrYr!B17</f>
        <v>General</v>
      </c>
      <c r="C21" s="138" t="str">
        <f>IF(inputPrYr!C17&gt;0,(inputPrYr!C17),"  ")</f>
        <v>12-101a</v>
      </c>
      <c r="D21" s="132">
        <f>IF(general!D59&gt;0,general!D59,"")</f>
        <v>7</v>
      </c>
      <c r="E21" s="516">
        <f>IF(general!$E$108&lt;&gt;0,general!$E$108,"  ")</f>
        <v>1012550</v>
      </c>
      <c r="F21" s="556">
        <f>IF(general!$E$115&lt;&gt;0,general!$E$115,0)</f>
        <v>79441</v>
      </c>
      <c r="G21" s="555" t="str">
        <f t="shared" ref="G21:G27" si="0">IF($G$50=0,"",ROUND(F21/$G$50*1000,3))</f>
        <v/>
      </c>
    </row>
    <row r="22" spans="2:7">
      <c r="B22" s="68" t="str">
        <f>IF(inputPrYr!$B18&gt;"  ",(inputPrYr!$B18),"  ")</f>
        <v>Debt Service</v>
      </c>
      <c r="C22" s="138" t="str">
        <f>IF(inputPrYr!C18&gt;0,(inputPrYr!C18),"  ")</f>
        <v>10-113</v>
      </c>
      <c r="D22" s="132">
        <f>IF('DebtSvs-Library'!C83=0,"",'DebtSvs-Library'!C83)</f>
        <v>8</v>
      </c>
      <c r="E22" s="516">
        <f>IF('DebtSvs-Library'!E33&lt;&gt;0,'DebtSvs-Library'!E33,"  ")</f>
        <v>98418</v>
      </c>
      <c r="F22" s="556">
        <f>IF('DebtSvs-Library'!E40&lt;&gt;0,'DebtSvs-Library'!E40,0)</f>
        <v>29360</v>
      </c>
      <c r="G22" s="555" t="str">
        <f t="shared" si="0"/>
        <v/>
      </c>
    </row>
    <row r="23" spans="2:7">
      <c r="B23" s="68" t="str">
        <f>IF(inputPrYr!$B19&gt;"  ",(inputPrYr!$B19),"  ")</f>
        <v>Library</v>
      </c>
      <c r="C23" s="138" t="str">
        <f>IF(inputPrYr!C19&gt;0,(inputPrYr!C19),"  ")</f>
        <v>12-1220</v>
      </c>
      <c r="D23" s="132">
        <f>IF('DebtSvs-Library'!C83=0,"",'DebtSvs-Library'!C83)</f>
        <v>8</v>
      </c>
      <c r="E23" s="516" t="str">
        <f>IF('DebtSvs-Library'!E73&lt;&gt;0,'DebtSvs-Library'!E73,"  ")</f>
        <v xml:space="preserve">  </v>
      </c>
      <c r="F23" s="556">
        <f>IF('DebtSvs-Library'!E80&lt;&gt;0,'DebtSvs-Library'!E80,0)</f>
        <v>0</v>
      </c>
      <c r="G23" s="555" t="str">
        <f t="shared" si="0"/>
        <v/>
      </c>
    </row>
    <row r="24" spans="2:7">
      <c r="B24" s="68" t="str">
        <f>IF(inputPrYr!$B21&gt;"  ",(inputPrYr!$B21),"  ")</f>
        <v>Street Lighting</v>
      </c>
      <c r="C24" s="138" t="str">
        <f>IF(inputPrYr!C21&gt;0,(inputPrYr!C21),"  ")</f>
        <v xml:space="preserve">  </v>
      </c>
      <c r="D24" s="132">
        <f>IF('levy page9'!C83&gt;0,'levy page9'!C83,"  ")</f>
        <v>9</v>
      </c>
      <c r="E24" s="516">
        <f>IF('levy page9'!$E$33&gt;0,'levy page9'!$E$33,"  ")</f>
        <v>20000</v>
      </c>
      <c r="F24" s="556">
        <f>IF('levy page9'!$E$40&lt;&gt;0,'levy page9'!$E$40,0)</f>
        <v>18507</v>
      </c>
      <c r="G24" s="555" t="str">
        <f t="shared" si="0"/>
        <v/>
      </c>
    </row>
    <row r="25" spans="2:7">
      <c r="B25" s="68" t="str">
        <f>IF(inputPrYr!$B22&gt;"  ",(inputPrYr!$B22),"  ")</f>
        <v>Employee Benefits</v>
      </c>
      <c r="C25" s="138" t="str">
        <f>IF(inputPrYr!C22&gt;0,(inputPrYr!C22),"  ")</f>
        <v xml:space="preserve">  </v>
      </c>
      <c r="D25" s="132">
        <f>IF('levy page9'!C83&gt;0,'levy page9'!C83,"  ")</f>
        <v>9</v>
      </c>
      <c r="E25" s="516">
        <f>IF('levy page9'!$E$73&gt;0,'levy page9'!$E$73,"  ")</f>
        <v>405500</v>
      </c>
      <c r="F25" s="556">
        <f>IF('levy page9'!$E$80&lt;&gt;0,'levy page9'!$E$80,0)</f>
        <v>230653</v>
      </c>
      <c r="G25" s="555" t="str">
        <f t="shared" si="0"/>
        <v/>
      </c>
    </row>
    <row r="26" spans="2:7">
      <c r="B26" s="68" t="str">
        <f>IF(inputPrYr!$B23&gt;"  ",(inputPrYr!$B23),"  ")</f>
        <v>Street Maintenance</v>
      </c>
      <c r="C26" s="138" t="str">
        <f>IF(inputPrYr!C23&gt;0,(inputPrYr!C23),"  ")</f>
        <v xml:space="preserve">  </v>
      </c>
      <c r="D26" s="132">
        <f>IF('levy page10'!C84&gt;0,'levy page10'!C84,"  ")</f>
        <v>10</v>
      </c>
      <c r="E26" s="516">
        <f>IF('levy page10'!$E$34&gt;0,'levy page10'!$E$34,"  ")</f>
        <v>176700</v>
      </c>
      <c r="F26" s="556">
        <f>IF('levy page10'!$E$41&lt;&gt;0,'levy page10'!$E$41,0)</f>
        <v>0</v>
      </c>
      <c r="G26" s="555" t="str">
        <f t="shared" si="0"/>
        <v/>
      </c>
    </row>
    <row r="27" spans="2:7">
      <c r="B27" s="68" t="str">
        <f>IF(inputPrYr!$B24&gt;"  ",(inputPrYr!$B24),"  ")</f>
        <v xml:space="preserve">  </v>
      </c>
      <c r="C27" s="138" t="str">
        <f>IF(inputPrYr!C24&gt;0,(inputPrYr!C24),"  ")</f>
        <v xml:space="preserve">  </v>
      </c>
      <c r="D27" s="132">
        <f>IF('levy page10'!C84&gt;0,'levy page10'!C84,"  ")</f>
        <v>10</v>
      </c>
      <c r="E27" s="516" t="str">
        <f>IF('levy page10'!$E$74&gt;0,'levy page10'!$E$74,"  ")</f>
        <v xml:space="preserve">  </v>
      </c>
      <c r="F27" s="556">
        <f>IF('levy page10'!$E$81&lt;&gt;0,'levy page10'!$E$81,0)</f>
        <v>0</v>
      </c>
      <c r="G27" s="555" t="str">
        <f t="shared" si="0"/>
        <v/>
      </c>
    </row>
    <row r="28" spans="2:7">
      <c r="B28" s="68"/>
      <c r="C28" s="138"/>
      <c r="D28" s="132"/>
      <c r="E28" s="516"/>
      <c r="F28" s="556"/>
      <c r="G28" s="555"/>
    </row>
    <row r="29" spans="2:7">
      <c r="B29" s="68"/>
      <c r="C29" s="138"/>
      <c r="D29" s="132"/>
      <c r="E29" s="516"/>
      <c r="F29" s="556"/>
      <c r="G29" s="555"/>
    </row>
    <row r="30" spans="2:7">
      <c r="B30" s="68"/>
      <c r="C30" s="138"/>
      <c r="D30" s="132"/>
      <c r="E30" s="516"/>
      <c r="F30" s="556"/>
      <c r="G30" s="555"/>
    </row>
    <row r="31" spans="2:7">
      <c r="B31" s="68"/>
      <c r="C31" s="138"/>
      <c r="D31" s="132"/>
      <c r="E31" s="516"/>
      <c r="F31" s="556"/>
      <c r="G31" s="555"/>
    </row>
    <row r="32" spans="2:7">
      <c r="B32" s="68"/>
      <c r="C32" s="138"/>
      <c r="D32" s="132"/>
      <c r="E32" s="516"/>
      <c r="F32" s="556"/>
      <c r="G32" s="555"/>
    </row>
    <row r="33" spans="2:7">
      <c r="B33" s="68"/>
      <c r="C33" s="138"/>
      <c r="D33" s="132"/>
      <c r="E33" s="516"/>
      <c r="F33" s="556"/>
      <c r="G33" s="555"/>
    </row>
    <row r="34" spans="2:7">
      <c r="B34" s="139" t="str">
        <f>IF(inputPrYr!$B34&gt;"  ",(inputPrYr!$B34),"  ")</f>
        <v>Special Highway</v>
      </c>
      <c r="C34" s="77"/>
      <c r="D34" s="140">
        <f>IF('Sp Hiway'!C65&gt;0,'Sp Hiway'!C65,"  ")</f>
        <v>11</v>
      </c>
      <c r="E34" s="516">
        <f>IF('Sp Hiway'!$E$28&gt;0,'Sp Hiway'!$E$28,"  ")</f>
        <v>41760</v>
      </c>
      <c r="F34" s="516"/>
      <c r="G34" s="559"/>
    </row>
    <row r="35" spans="2:7">
      <c r="B35" s="139" t="str">
        <f>IF(inputPrYr!$B35&gt;"  ",(inputPrYr!$B35),"  ")</f>
        <v>Parks and Recreation</v>
      </c>
      <c r="C35" s="77"/>
      <c r="D35" s="140">
        <f>IF('Sp Hiway'!C65&gt;0,'Sp Hiway'!C65,"  ")</f>
        <v>11</v>
      </c>
      <c r="E35" s="516">
        <f>IF('Sp Hiway'!$E$59&gt;0,'Sp Hiway'!$E$59,"  ")</f>
        <v>3914</v>
      </c>
      <c r="F35" s="516"/>
      <c r="G35" s="559"/>
    </row>
    <row r="36" spans="2:7">
      <c r="B36" s="139" t="str">
        <f>IF(inputPrYr!$B36&gt;"  ",(inputPrYr!$B36),"  ")</f>
        <v>Water Utility</v>
      </c>
      <c r="C36" s="77"/>
      <c r="D36" s="140">
        <f>IF(nolevypage15!C75&gt;0,nolevypage15!C75,"  ")</f>
        <v>12</v>
      </c>
      <c r="E36" s="516">
        <f>IF(nolevypage15!$E$34&gt;0,nolevypage15!$E$34,"  ")</f>
        <v>355450</v>
      </c>
      <c r="F36" s="516"/>
      <c r="G36" s="559"/>
    </row>
    <row r="37" spans="2:7">
      <c r="B37" s="139" t="str">
        <f>IF(inputPrYr!$B37&gt;"  ",(inputPrYr!$B37),"  ")</f>
        <v>Sewer Utility</v>
      </c>
      <c r="C37" s="77"/>
      <c r="D37" s="140">
        <f>IF(nolevypage15!C75&gt;0,nolevypage15!C75,"  ")</f>
        <v>12</v>
      </c>
      <c r="E37" s="516">
        <f>IF(nolevypage15!$E$69&gt;0,nolevypage15!$E$69,"  ")</f>
        <v>271460</v>
      </c>
      <c r="F37" s="516"/>
      <c r="G37" s="559"/>
    </row>
    <row r="38" spans="2:7">
      <c r="B38" s="139" t="str">
        <f>IF(inputPrYr!$B38&gt;"  ",(inputPrYr!$B38),"  ")</f>
        <v>Refuse Collection</v>
      </c>
      <c r="C38" s="77"/>
      <c r="D38" s="140">
        <f>IF(nolevypage16!C65&gt;0,nolevypage16!C65,"  ")</f>
        <v>13</v>
      </c>
      <c r="E38" s="516">
        <f>IF(nolevypage16!$E$28&gt;0,nolevypage16!$E$28,"  ")</f>
        <v>89000</v>
      </c>
      <c r="F38" s="516"/>
      <c r="G38" s="559"/>
    </row>
    <row r="39" spans="2:7">
      <c r="B39" s="141" t="str">
        <f>IF(inputPrYr!$B39&gt;"  ",(inputPrYr!$B39),"  ")</f>
        <v xml:space="preserve">  </v>
      </c>
      <c r="C39" s="77"/>
      <c r="D39" s="140">
        <f>IF(nolevypage16!C65&gt;0,nolevypage16!C65,"  ")</f>
        <v>13</v>
      </c>
      <c r="E39" s="516" t="str">
        <f>IF(nolevypage16!$E$59&gt;0,nolevypage16!$E$59,"  ")</f>
        <v xml:space="preserve">  </v>
      </c>
      <c r="F39" s="516"/>
      <c r="G39" s="559"/>
    </row>
    <row r="40" spans="2:7">
      <c r="B40" s="139"/>
      <c r="C40" s="77"/>
      <c r="D40" s="140"/>
      <c r="E40" s="516"/>
      <c r="F40" s="516"/>
      <c r="G40" s="559"/>
    </row>
    <row r="41" spans="2:7">
      <c r="B41" s="139"/>
      <c r="C41" s="77"/>
      <c r="D41" s="140"/>
      <c r="E41" s="516"/>
      <c r="F41" s="516"/>
      <c r="G41" s="559"/>
    </row>
    <row r="42" spans="2:7">
      <c r="B42" s="139"/>
      <c r="C42" s="74"/>
      <c r="D42" s="140"/>
      <c r="E42" s="516"/>
      <c r="F42" s="516"/>
      <c r="G42" s="559"/>
    </row>
    <row r="43" spans="2:7">
      <c r="B43" s="139"/>
      <c r="C43" s="74"/>
      <c r="D43" s="140"/>
      <c r="E43" s="516"/>
      <c r="F43" s="516"/>
      <c r="G43" s="559"/>
    </row>
    <row r="44" spans="2:7">
      <c r="B44" s="139"/>
      <c r="C44" s="74"/>
      <c r="D44" s="140"/>
      <c r="E44" s="516"/>
      <c r="F44" s="516"/>
      <c r="G44" s="559"/>
    </row>
    <row r="45" spans="2:7">
      <c r="B45" s="139"/>
      <c r="C45" s="74"/>
      <c r="D45" s="140"/>
      <c r="E45" s="516"/>
      <c r="F45" s="516"/>
      <c r="G45" s="559"/>
    </row>
    <row r="46" spans="2:7">
      <c r="B46" s="139" t="str">
        <f>IF(inputPrYr!$B51&gt;"  ",(NonBudA!$A3),"  ")</f>
        <v>Non-Budgeted Funds-A</v>
      </c>
      <c r="C46" s="74"/>
      <c r="D46" s="140">
        <f>IF(NonBudA!F33&gt;0,NonBudA!F33,"  ")</f>
        <v>14</v>
      </c>
      <c r="E46" s="516"/>
      <c r="F46" s="516"/>
      <c r="G46" s="559"/>
    </row>
    <row r="47" spans="2:7" ht="16.5" thickBot="1">
      <c r="B47" s="139" t="str">
        <f>IF(inputPrYr!$B57&gt;"  ",(NonBudB!$A3),"  ")</f>
        <v>Non-Budgeted Funds-B</v>
      </c>
      <c r="C47" s="74"/>
      <c r="D47" s="140">
        <f>IF(NonBudB!F33&gt;0,NonBudB!F33,"  ")</f>
        <v>15</v>
      </c>
      <c r="E47" s="516"/>
      <c r="F47" s="516"/>
      <c r="G47" s="559"/>
    </row>
    <row r="48" spans="2:7" ht="16.5" thickBot="1">
      <c r="B48" s="370" t="s">
        <v>755</v>
      </c>
      <c r="C48" s="74"/>
      <c r="D48" s="228" t="s">
        <v>13</v>
      </c>
      <c r="E48" s="558">
        <f>SUM(E21:E47)</f>
        <v>2474752</v>
      </c>
      <c r="F48" s="558">
        <f>SUM(F21:F47)</f>
        <v>357961</v>
      </c>
      <c r="G48" s="557" t="str">
        <f>IF(SUM(G21:G47)=0,"",SUM(G21:G47))</f>
        <v/>
      </c>
    </row>
    <row r="49" spans="2:7" ht="16.5" thickTop="1">
      <c r="B49" s="144" t="s">
        <v>245</v>
      </c>
      <c r="C49" s="145"/>
      <c r="D49" s="146"/>
      <c r="E49" s="513"/>
      <c r="F49" s="514" t="str">
        <f>IF(F48&gt;computation!J40,"Yes","No")</f>
        <v>No</v>
      </c>
      <c r="G49" s="547" t="s">
        <v>152</v>
      </c>
    </row>
    <row r="50" spans="2:7">
      <c r="B50" s="131" t="s">
        <v>244</v>
      </c>
      <c r="C50" s="77"/>
      <c r="D50" s="132">
        <f>summ!D61</f>
        <v>16</v>
      </c>
      <c r="E50" s="143"/>
      <c r="F50" s="22"/>
      <c r="G50" s="379"/>
    </row>
    <row r="51" spans="2:7">
      <c r="B51" s="131" t="s">
        <v>269</v>
      </c>
      <c r="C51" s="77"/>
      <c r="D51" s="132" t="str">
        <f>IF(nhood!C40&gt;0,nhood!C40,"")</f>
        <v/>
      </c>
      <c r="E51" s="143"/>
      <c r="F51" s="22"/>
      <c r="G51" s="747" t="str">
        <f>CONCATENATE("Nov 1, ",G1-1," Total Assessed Valuation")</f>
        <v>Nov 1, 2013 Total Assessed Valuation</v>
      </c>
    </row>
    <row r="52" spans="2:7">
      <c r="B52" s="374"/>
      <c r="C52" s="375"/>
      <c r="D52" s="376"/>
      <c r="E52" s="372"/>
      <c r="F52" s="373"/>
      <c r="G52" s="748"/>
    </row>
    <row r="53" spans="2:7">
      <c r="B53" s="61" t="s">
        <v>14</v>
      </c>
      <c r="C53" s="60"/>
      <c r="D53" s="22"/>
      <c r="E53" s="371"/>
      <c r="F53" s="60"/>
      <c r="G53" s="60"/>
    </row>
    <row r="54" spans="2:7">
      <c r="B54" s="328" t="s">
        <v>1044</v>
      </c>
      <c r="C54" s="60"/>
      <c r="D54" s="60" t="s">
        <v>804</v>
      </c>
      <c r="E54" s="553"/>
      <c r="F54" s="60"/>
      <c r="G54" s="60"/>
    </row>
    <row r="55" spans="2:7">
      <c r="B55" s="327"/>
      <c r="C55" s="22"/>
      <c r="D55" s="61"/>
      <c r="E55" s="554"/>
      <c r="F55" s="60"/>
      <c r="G55" s="60"/>
    </row>
    <row r="56" spans="2:7">
      <c r="B56" s="61" t="s">
        <v>164</v>
      </c>
      <c r="C56" s="60"/>
      <c r="D56" s="60" t="s">
        <v>804</v>
      </c>
      <c r="E56" s="552"/>
      <c r="F56" s="257"/>
      <c r="G56" s="257"/>
    </row>
    <row r="57" spans="2:7">
      <c r="B57" s="328" t="s">
        <v>1045</v>
      </c>
      <c r="C57" s="29"/>
      <c r="D57" s="60"/>
      <c r="E57" s="60"/>
      <c r="F57" s="22"/>
      <c r="G57" s="22"/>
    </row>
    <row r="58" spans="2:7">
      <c r="B58" s="327" t="s">
        <v>1046</v>
      </c>
      <c r="C58" s="147"/>
      <c r="D58" s="60" t="s">
        <v>804</v>
      </c>
      <c r="E58" s="60"/>
      <c r="F58" s="257"/>
      <c r="G58" s="257"/>
    </row>
    <row r="59" spans="2:7">
      <c r="B59" s="61" t="s">
        <v>814</v>
      </c>
      <c r="C59" s="60"/>
      <c r="D59" s="22"/>
      <c r="E59" s="22"/>
      <c r="F59" s="22"/>
      <c r="G59" s="22"/>
    </row>
    <row r="60" spans="2:7">
      <c r="B60" s="328" t="s">
        <v>1047</v>
      </c>
      <c r="C60" s="148"/>
      <c r="D60" s="60" t="s">
        <v>804</v>
      </c>
      <c r="E60" s="60"/>
      <c r="F60" s="257"/>
      <c r="G60" s="257"/>
    </row>
    <row r="61" spans="2:7">
      <c r="B61" s="30" t="s">
        <v>261</v>
      </c>
      <c r="C61" s="149">
        <f>G1-1</f>
        <v>2013</v>
      </c>
      <c r="D61" s="22"/>
      <c r="E61" s="22"/>
      <c r="F61" s="34"/>
      <c r="G61" s="22"/>
    </row>
    <row r="62" spans="2:7">
      <c r="B62" s="519"/>
      <c r="C62" s="22"/>
      <c r="D62" s="60" t="s">
        <v>804</v>
      </c>
      <c r="E62" s="60"/>
      <c r="F62" s="60"/>
      <c r="G62" s="60"/>
    </row>
    <row r="63" spans="2:7">
      <c r="B63" s="44" t="s">
        <v>16</v>
      </c>
      <c r="C63" s="22"/>
      <c r="D63" s="745" t="s">
        <v>15</v>
      </c>
      <c r="E63" s="746"/>
      <c r="F63" s="746"/>
      <c r="G63" s="746"/>
    </row>
    <row r="64" spans="2:7">
      <c r="B64" s="8"/>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79" spans="2:7" ht="15">
      <c r="B79" s="83"/>
      <c r="C79" s="83"/>
      <c r="D79" s="83"/>
      <c r="E79" s="83"/>
      <c r="F79" s="83"/>
      <c r="G79" s="83"/>
    </row>
    <row r="80" spans="2:7" ht="15">
      <c r="B80" s="83"/>
      <c r="C80" s="83"/>
      <c r="D80" s="83"/>
      <c r="E80" s="83"/>
      <c r="F80" s="83"/>
      <c r="G80" s="83"/>
    </row>
    <row r="81" spans="2:7" ht="15">
      <c r="B81" s="83"/>
      <c r="C81" s="83"/>
      <c r="D81" s="83"/>
      <c r="E81" s="83"/>
      <c r="F81" s="83"/>
      <c r="G81" s="83"/>
    </row>
    <row r="82" spans="2:7" ht="15">
      <c r="B82" s="83"/>
      <c r="C82" s="83"/>
      <c r="D82" s="83"/>
      <c r="E82" s="83"/>
      <c r="F82" s="83"/>
      <c r="G82" s="83"/>
    </row>
    <row r="83" spans="2:7" ht="15">
      <c r="B83" s="83"/>
      <c r="C83" s="83"/>
      <c r="D83" s="83"/>
      <c r="E83" s="83"/>
      <c r="F83" s="83"/>
      <c r="G83" s="83"/>
    </row>
    <row r="84" spans="2:7" ht="15">
      <c r="B84" s="83"/>
      <c r="C84" s="83"/>
      <c r="D84" s="83"/>
      <c r="E84" s="83"/>
      <c r="F84" s="83"/>
      <c r="G84" s="83"/>
    </row>
    <row r="85" spans="2:7" ht="15">
      <c r="B85" s="83"/>
      <c r="C85" s="83"/>
      <c r="D85" s="83"/>
      <c r="E85" s="83"/>
      <c r="F85" s="83"/>
      <c r="G85" s="83"/>
    </row>
    <row r="86" spans="2:7" ht="15">
      <c r="B86" s="83"/>
      <c r="C86" s="83"/>
      <c r="D86" s="83"/>
      <c r="E86" s="83"/>
      <c r="F86" s="83"/>
      <c r="G86" s="83"/>
    </row>
    <row r="87" spans="2:7" ht="15">
      <c r="B87" s="83"/>
      <c r="C87" s="83"/>
      <c r="D87" s="83"/>
      <c r="E87" s="83"/>
      <c r="F87" s="83"/>
      <c r="G87" s="83"/>
    </row>
    <row r="88" spans="2:7" ht="15">
      <c r="B88" s="83"/>
      <c r="C88" s="83"/>
      <c r="D88" s="83"/>
      <c r="E88" s="83"/>
      <c r="F88" s="83"/>
      <c r="G88" s="83"/>
    </row>
    <row r="89" spans="2:7" ht="15">
      <c r="B89" s="83"/>
      <c r="C89" s="83"/>
      <c r="D89" s="83"/>
      <c r="E89" s="83"/>
      <c r="F89" s="83"/>
      <c r="G89" s="83"/>
    </row>
    <row r="92" spans="2:7">
      <c r="B92" s="8"/>
      <c r="C92" s="8"/>
      <c r="D92" s="8"/>
      <c r="E92" s="8"/>
      <c r="F92" s="8"/>
      <c r="G92" s="8"/>
    </row>
  </sheetData>
  <mergeCells count="4">
    <mergeCell ref="B5:G5"/>
    <mergeCell ref="B3:G3"/>
    <mergeCell ref="D63:G63"/>
    <mergeCell ref="G51:G52"/>
  </mergeCells>
  <phoneticPr fontId="0" type="noConversion"/>
  <pageMargins left="1" right="0.5" top="0.75" bottom="0.5" header="0.5" footer="0.25"/>
  <pageSetup scale="71" orientation="portrait" blackAndWhite="1" horizontalDpi="120" verticalDpi="144"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85" workbookViewId="0">
      <selection activeCell="J38" sqref="J38"/>
    </sheetView>
  </sheetViews>
  <sheetFormatPr defaultRowHeight="15.95" customHeight="1"/>
  <cols>
    <col min="1" max="2" width="3.33203125" style="8" customWidth="1"/>
    <col min="3" max="3" width="31.33203125" style="8" customWidth="1"/>
    <col min="4" max="4" width="2.33203125" style="8" customWidth="1"/>
    <col min="5" max="5" width="15.77734375" style="8" customWidth="1"/>
    <col min="6" max="6" width="2" style="8" customWidth="1"/>
    <col min="7" max="7" width="15.77734375" style="8" customWidth="1"/>
    <col min="8" max="8" width="1.88671875" style="8" customWidth="1"/>
    <col min="9" max="9" width="1.77734375" style="8" customWidth="1"/>
    <col min="10" max="10" width="15.77734375" style="8" customWidth="1"/>
    <col min="11" max="16384" width="8.88671875" style="8"/>
  </cols>
  <sheetData>
    <row r="1" spans="1:10" ht="15.95" customHeight="1">
      <c r="A1" s="22"/>
      <c r="B1" s="22"/>
      <c r="C1" s="151" t="str">
        <f>inputPrYr!D2</f>
        <v>City of Grandview Plaza, Kansas</v>
      </c>
      <c r="D1" s="22"/>
      <c r="E1" s="22"/>
      <c r="F1" s="22"/>
      <c r="G1" s="22"/>
      <c r="H1" s="22"/>
      <c r="I1" s="22"/>
      <c r="J1" s="22">
        <f>inputPrYr!$C$5</f>
        <v>2014</v>
      </c>
    </row>
    <row r="2" spans="1:10" ht="15.95" customHeight="1">
      <c r="A2" s="22"/>
      <c r="B2" s="22"/>
      <c r="C2" s="22"/>
      <c r="D2" s="22"/>
      <c r="E2" s="22"/>
      <c r="F2" s="22"/>
      <c r="G2" s="22"/>
      <c r="H2" s="22"/>
      <c r="I2" s="22"/>
      <c r="J2" s="22"/>
    </row>
    <row r="3" spans="1:10" ht="15.75">
      <c r="A3" s="752" t="str">
        <f>CONCATENATE("Computation to Determine Limit for ",J1,"")</f>
        <v>Computation to Determine Limit for 2014</v>
      </c>
      <c r="B3" s="753"/>
      <c r="C3" s="753"/>
      <c r="D3" s="753"/>
      <c r="E3" s="753"/>
      <c r="F3" s="753"/>
      <c r="G3" s="753"/>
      <c r="H3" s="753"/>
      <c r="I3" s="753"/>
      <c r="J3" s="753"/>
    </row>
    <row r="4" spans="1:10" ht="15.75">
      <c r="A4" s="22"/>
      <c r="B4" s="22"/>
      <c r="C4" s="22"/>
      <c r="D4" s="22"/>
      <c r="E4" s="753"/>
      <c r="F4" s="753"/>
      <c r="G4" s="753"/>
      <c r="H4" s="152"/>
      <c r="I4" s="22"/>
      <c r="J4" s="153" t="s">
        <v>97</v>
      </c>
    </row>
    <row r="5" spans="1:10" ht="15.75">
      <c r="A5" s="154" t="s">
        <v>98</v>
      </c>
      <c r="B5" s="22" t="str">
        <f>CONCATENATE("Total Tax Levy Amount in ",J1-1," Budget")</f>
        <v>Total Tax Levy Amount in 2013 Budget</v>
      </c>
      <c r="C5" s="22"/>
      <c r="D5" s="22"/>
      <c r="E5" s="51"/>
      <c r="F5" s="51"/>
      <c r="G5" s="51"/>
      <c r="H5" s="155" t="s">
        <v>99</v>
      </c>
      <c r="I5" s="51" t="s">
        <v>100</v>
      </c>
      <c r="J5" s="156">
        <f>inputPrYr!E31</f>
        <v>387445</v>
      </c>
    </row>
    <row r="6" spans="1:10" ht="15.75">
      <c r="A6" s="154" t="s">
        <v>101</v>
      </c>
      <c r="B6" s="22" t="str">
        <f>CONCATENATE("Debt Service Levy in ",J1-1," Budget")</f>
        <v>Debt Service Levy in 2013 Budget</v>
      </c>
      <c r="C6" s="22"/>
      <c r="D6" s="22"/>
      <c r="E6" s="51"/>
      <c r="F6" s="51"/>
      <c r="G6" s="51"/>
      <c r="H6" s="155" t="s">
        <v>102</v>
      </c>
      <c r="I6" s="51" t="s">
        <v>100</v>
      </c>
      <c r="J6" s="56">
        <f>inputPrYr!E18</f>
        <v>10201</v>
      </c>
    </row>
    <row r="7" spans="1:10" ht="15.75">
      <c r="A7" s="154" t="s">
        <v>129</v>
      </c>
      <c r="B7" s="41" t="s">
        <v>126</v>
      </c>
      <c r="C7" s="22"/>
      <c r="D7" s="22"/>
      <c r="E7" s="51"/>
      <c r="F7" s="51"/>
      <c r="G7" s="51"/>
      <c r="H7" s="51"/>
      <c r="I7" s="51" t="s">
        <v>100</v>
      </c>
      <c r="J7" s="56">
        <f>J5-J6</f>
        <v>377244</v>
      </c>
    </row>
    <row r="8" spans="1:10" ht="15.75">
      <c r="A8" s="22"/>
      <c r="B8" s="22"/>
      <c r="C8" s="22"/>
      <c r="D8" s="22"/>
      <c r="E8" s="51"/>
      <c r="F8" s="51"/>
      <c r="G8" s="51"/>
      <c r="H8" s="51"/>
      <c r="I8" s="51"/>
      <c r="J8" s="51"/>
    </row>
    <row r="9" spans="1:10" ht="15.75">
      <c r="A9" s="22"/>
      <c r="B9" s="41" t="str">
        <f>CONCATENATE("",J1-1," Valuation Information for Valuation Adjustments:")</f>
        <v>2013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103</v>
      </c>
      <c r="B11" s="41" t="str">
        <f>CONCATENATE("New Improvements for ",J1-1,":")</f>
        <v>New Improvements for 2013:</v>
      </c>
      <c r="C11" s="22"/>
      <c r="D11" s="22"/>
      <c r="E11" s="155"/>
      <c r="F11" s="155" t="s">
        <v>99</v>
      </c>
      <c r="G11" s="156">
        <f>inputOth!E8</f>
        <v>13785</v>
      </c>
      <c r="H11" s="58"/>
      <c r="I11" s="51"/>
      <c r="J11" s="51"/>
    </row>
    <row r="12" spans="1:10" ht="15.75">
      <c r="A12" s="154"/>
      <c r="B12" s="157"/>
      <c r="C12" s="22"/>
      <c r="D12" s="22"/>
      <c r="E12" s="155"/>
      <c r="F12" s="155"/>
      <c r="G12" s="58"/>
      <c r="H12" s="58"/>
      <c r="I12" s="51"/>
      <c r="J12" s="51"/>
    </row>
    <row r="13" spans="1:10" ht="15.75">
      <c r="A13" s="154" t="s">
        <v>104</v>
      </c>
      <c r="B13" s="41" t="str">
        <f>CONCATENATE("Increase in Personal Property for ",J1-1,":")</f>
        <v>Increase in Personal Property for 2013:</v>
      </c>
      <c r="C13" s="22"/>
      <c r="D13" s="22"/>
      <c r="E13" s="155"/>
      <c r="F13" s="155"/>
      <c r="G13" s="58"/>
      <c r="H13" s="58"/>
      <c r="I13" s="51"/>
      <c r="J13" s="51"/>
    </row>
    <row r="14" spans="1:10" ht="15.75">
      <c r="A14" s="119"/>
      <c r="B14" s="22" t="s">
        <v>105</v>
      </c>
      <c r="C14" s="22" t="str">
        <f>CONCATENATE("Personal Property ",J1-1,"")</f>
        <v>Personal Property 2013</v>
      </c>
      <c r="D14" s="157" t="s">
        <v>99</v>
      </c>
      <c r="E14" s="156">
        <f>inputOth!E9</f>
        <v>55845</v>
      </c>
      <c r="F14" s="155"/>
      <c r="G14" s="51"/>
      <c r="H14" s="51"/>
      <c r="I14" s="58"/>
      <c r="J14" s="51"/>
    </row>
    <row r="15" spans="1:10" ht="15.75">
      <c r="A15" s="157"/>
      <c r="B15" s="22" t="s">
        <v>106</v>
      </c>
      <c r="C15" s="22" t="str">
        <f>CONCATENATE("Personal Property ",J1-2,"")</f>
        <v>Personal Property 2012</v>
      </c>
      <c r="D15" s="157" t="s">
        <v>102</v>
      </c>
      <c r="E15" s="56">
        <f>inputOth!E15</f>
        <v>62391</v>
      </c>
      <c r="F15" s="155"/>
      <c r="G15" s="58"/>
      <c r="H15" s="58"/>
      <c r="I15" s="51"/>
      <c r="J15" s="51"/>
    </row>
    <row r="16" spans="1:10" ht="15.75">
      <c r="A16" s="157"/>
      <c r="B16" s="22" t="s">
        <v>107</v>
      </c>
      <c r="C16" s="22" t="s">
        <v>128</v>
      </c>
      <c r="D16" s="22"/>
      <c r="E16" s="51"/>
      <c r="F16" s="51" t="s">
        <v>99</v>
      </c>
      <c r="G16" s="156">
        <f>IF(E14&gt;E15,E14-E15,0)</f>
        <v>0</v>
      </c>
      <c r="H16" s="58"/>
      <c r="I16" s="51"/>
      <c r="J16" s="51"/>
    </row>
    <row r="17" spans="1:10" ht="15.75">
      <c r="A17" s="157"/>
      <c r="B17" s="157"/>
      <c r="C17" s="22"/>
      <c r="D17" s="22"/>
      <c r="E17" s="51"/>
      <c r="F17" s="51"/>
      <c r="G17" s="58" t="s">
        <v>120</v>
      </c>
      <c r="H17" s="58"/>
      <c r="I17" s="51"/>
      <c r="J17" s="51"/>
    </row>
    <row r="18" spans="1:10" ht="15.75">
      <c r="A18" s="157" t="s">
        <v>108</v>
      </c>
      <c r="B18" s="41" t="str">
        <f>CONCATENATE("Valuation of annexed territory for ",J1-1,":")</f>
        <v>Valuation of annexed territory for 2013:</v>
      </c>
      <c r="C18" s="22"/>
      <c r="D18" s="22"/>
      <c r="E18" s="58"/>
      <c r="F18" s="51"/>
      <c r="G18" s="51"/>
      <c r="H18" s="51"/>
      <c r="I18" s="51"/>
      <c r="J18" s="51"/>
    </row>
    <row r="19" spans="1:10" ht="15.75">
      <c r="A19" s="157"/>
      <c r="B19" s="22" t="s">
        <v>109</v>
      </c>
      <c r="C19" s="22" t="s">
        <v>130</v>
      </c>
      <c r="D19" s="157" t="s">
        <v>99</v>
      </c>
      <c r="E19" s="156">
        <f>inputOth!E11</f>
        <v>0</v>
      </c>
      <c r="F19" s="51"/>
      <c r="G19" s="51"/>
      <c r="H19" s="51"/>
      <c r="I19" s="51"/>
      <c r="J19" s="51"/>
    </row>
    <row r="20" spans="1:10" ht="15.75">
      <c r="A20" s="157"/>
      <c r="B20" s="22" t="s">
        <v>110</v>
      </c>
      <c r="C20" s="22" t="s">
        <v>131</v>
      </c>
      <c r="D20" s="157" t="s">
        <v>99</v>
      </c>
      <c r="E20" s="156">
        <f>inputOth!E12</f>
        <v>0</v>
      </c>
      <c r="F20" s="51"/>
      <c r="G20" s="58"/>
      <c r="H20" s="58"/>
      <c r="I20" s="51"/>
      <c r="J20" s="51"/>
    </row>
    <row r="21" spans="1:10" ht="15.75">
      <c r="A21" s="157"/>
      <c r="B21" s="22" t="s">
        <v>111</v>
      </c>
      <c r="C21" s="22" t="s">
        <v>127</v>
      </c>
      <c r="D21" s="157" t="s">
        <v>102</v>
      </c>
      <c r="E21" s="156">
        <f>inputOth!E13</f>
        <v>0</v>
      </c>
      <c r="F21" s="51"/>
      <c r="G21" s="58"/>
      <c r="H21" s="58"/>
      <c r="I21" s="51"/>
      <c r="J21" s="51"/>
    </row>
    <row r="22" spans="1:10" ht="15.75">
      <c r="A22" s="157"/>
      <c r="B22" s="22" t="s">
        <v>112</v>
      </c>
      <c r="C22" s="22" t="s">
        <v>132</v>
      </c>
      <c r="D22" s="157"/>
      <c r="E22" s="58"/>
      <c r="F22" s="51" t="s">
        <v>99</v>
      </c>
      <c r="G22" s="156">
        <f>E19+E20-E21</f>
        <v>0</v>
      </c>
      <c r="H22" s="58"/>
      <c r="I22" s="51"/>
      <c r="J22" s="51"/>
    </row>
    <row r="23" spans="1:10" ht="15.75">
      <c r="A23" s="157"/>
      <c r="B23" s="157"/>
      <c r="C23" s="22"/>
      <c r="D23" s="157"/>
      <c r="E23" s="58"/>
      <c r="F23" s="51"/>
      <c r="G23" s="58"/>
      <c r="H23" s="58"/>
      <c r="I23" s="51"/>
      <c r="J23" s="51"/>
    </row>
    <row r="24" spans="1:10" ht="15.75">
      <c r="A24" s="157" t="s">
        <v>113</v>
      </c>
      <c r="B24" s="41" t="str">
        <f>CONCATENATE("Valuation of Property that has Changed in Use during ",J1-1,":")</f>
        <v>Valuation of Property that has Changed in Use during 2013:</v>
      </c>
      <c r="C24" s="22"/>
      <c r="D24" s="22"/>
      <c r="E24" s="51"/>
      <c r="F24" s="51"/>
      <c r="G24" s="51">
        <f>inputOth!E14</f>
        <v>14600</v>
      </c>
      <c r="H24" s="51"/>
      <c r="I24" s="51"/>
      <c r="J24" s="51"/>
    </row>
    <row r="25" spans="1:10" ht="15.75">
      <c r="A25" s="22" t="s">
        <v>1</v>
      </c>
      <c r="B25" s="22"/>
      <c r="C25" s="22"/>
      <c r="D25" s="157"/>
      <c r="E25" s="58"/>
      <c r="F25" s="51"/>
      <c r="G25" s="158"/>
      <c r="H25" s="58"/>
      <c r="I25" s="51"/>
      <c r="J25" s="51"/>
    </row>
    <row r="26" spans="1:10" ht="15.75">
      <c r="A26" s="157" t="s">
        <v>114</v>
      </c>
      <c r="B26" s="41" t="s">
        <v>133</v>
      </c>
      <c r="C26" s="22"/>
      <c r="D26" s="22"/>
      <c r="E26" s="51"/>
      <c r="F26" s="51"/>
      <c r="G26" s="156">
        <f>G11+G16+G22+G24</f>
        <v>28385</v>
      </c>
      <c r="H26" s="58"/>
      <c r="I26" s="51"/>
      <c r="J26" s="51"/>
    </row>
    <row r="27" spans="1:10" ht="15.75">
      <c r="A27" s="157"/>
      <c r="B27" s="157"/>
      <c r="C27" s="41"/>
      <c r="D27" s="22"/>
      <c r="E27" s="51"/>
      <c r="F27" s="51"/>
      <c r="G27" s="58"/>
      <c r="H27" s="58"/>
      <c r="I27" s="51"/>
      <c r="J27" s="51"/>
    </row>
    <row r="28" spans="1:10" ht="15.75">
      <c r="A28" s="157" t="s">
        <v>115</v>
      </c>
      <c r="B28" s="22" t="str">
        <f>CONCATENATE("Total Estimated Valuation July 1, ",J1-1,"")</f>
        <v>Total Estimated Valuation July 1, 2013</v>
      </c>
      <c r="C28" s="22"/>
      <c r="D28" s="22"/>
      <c r="E28" s="156">
        <f>inputOth!E7</f>
        <v>7408980</v>
      </c>
      <c r="F28" s="51"/>
      <c r="G28" s="51"/>
      <c r="H28" s="51"/>
      <c r="I28" s="155"/>
      <c r="J28" s="51"/>
    </row>
    <row r="29" spans="1:10" ht="15.75">
      <c r="A29" s="157"/>
      <c r="B29" s="157"/>
      <c r="C29" s="22"/>
      <c r="D29" s="22"/>
      <c r="E29" s="58"/>
      <c r="F29" s="51"/>
      <c r="G29" s="51"/>
      <c r="H29" s="51"/>
      <c r="I29" s="155"/>
      <c r="J29" s="51"/>
    </row>
    <row r="30" spans="1:10" ht="15.75">
      <c r="A30" s="157" t="s">
        <v>116</v>
      </c>
      <c r="B30" s="41" t="s">
        <v>134</v>
      </c>
      <c r="C30" s="22"/>
      <c r="D30" s="22"/>
      <c r="E30" s="51"/>
      <c r="F30" s="51"/>
      <c r="G30" s="156">
        <f>E28-G26</f>
        <v>7380595</v>
      </c>
      <c r="H30" s="58"/>
      <c r="I30" s="155"/>
      <c r="J30" s="51"/>
    </row>
    <row r="31" spans="1:10" ht="15.75">
      <c r="A31" s="157"/>
      <c r="B31" s="157"/>
      <c r="C31" s="41"/>
      <c r="D31" s="22"/>
      <c r="E31" s="22"/>
      <c r="F31" s="22"/>
      <c r="G31" s="94"/>
      <c r="H31" s="60"/>
      <c r="I31" s="157"/>
      <c r="J31" s="22"/>
    </row>
    <row r="32" spans="1:10" ht="15.75">
      <c r="A32" s="157" t="s">
        <v>117</v>
      </c>
      <c r="B32" s="22" t="s">
        <v>135</v>
      </c>
      <c r="C32" s="22"/>
      <c r="D32" s="22"/>
      <c r="E32" s="22"/>
      <c r="F32" s="22"/>
      <c r="G32" s="159">
        <f>IF(G30&gt;0,G26/G30,0)</f>
        <v>3.8458958932172812E-3</v>
      </c>
      <c r="H32" s="60"/>
      <c r="I32" s="22"/>
      <c r="J32" s="22"/>
    </row>
    <row r="33" spans="1:10" ht="15.75">
      <c r="A33" s="157"/>
      <c r="B33" s="157"/>
      <c r="C33" s="22"/>
      <c r="D33" s="22"/>
      <c r="E33" s="22"/>
      <c r="F33" s="22"/>
      <c r="G33" s="60"/>
      <c r="H33" s="60"/>
      <c r="I33" s="22"/>
      <c r="J33" s="22"/>
    </row>
    <row r="34" spans="1:10" ht="15.75">
      <c r="A34" s="157" t="s">
        <v>118</v>
      </c>
      <c r="B34" s="22" t="s">
        <v>136</v>
      </c>
      <c r="C34" s="22"/>
      <c r="D34" s="22"/>
      <c r="E34" s="22"/>
      <c r="F34" s="22"/>
      <c r="G34" s="60"/>
      <c r="H34" s="160" t="s">
        <v>99</v>
      </c>
      <c r="I34" s="22" t="s">
        <v>100</v>
      </c>
      <c r="J34" s="156">
        <f>ROUND(G32*J7,0)</f>
        <v>1451</v>
      </c>
    </row>
    <row r="35" spans="1:10" ht="15.75">
      <c r="A35" s="157"/>
      <c r="B35" s="157"/>
      <c r="C35" s="22"/>
      <c r="D35" s="22"/>
      <c r="E35" s="22"/>
      <c r="F35" s="22"/>
      <c r="G35" s="60"/>
      <c r="H35" s="160"/>
      <c r="I35" s="22"/>
      <c r="J35" s="58"/>
    </row>
    <row r="36" spans="1:10" ht="16.5" thickBot="1">
      <c r="A36" s="157" t="s">
        <v>119</v>
      </c>
      <c r="B36" s="41" t="s">
        <v>142</v>
      </c>
      <c r="C36" s="22"/>
      <c r="D36" s="22"/>
      <c r="E36" s="22"/>
      <c r="F36" s="22"/>
      <c r="G36" s="22"/>
      <c r="H36" s="22"/>
      <c r="I36" s="22" t="s">
        <v>100</v>
      </c>
      <c r="J36" s="161">
        <f>J7+J34</f>
        <v>378695</v>
      </c>
    </row>
    <row r="37" spans="1:10" ht="16.5" thickTop="1">
      <c r="A37" s="22"/>
      <c r="B37" s="22"/>
      <c r="C37" s="22"/>
      <c r="D37" s="22"/>
      <c r="E37" s="22"/>
      <c r="F37" s="22"/>
      <c r="G37" s="22"/>
      <c r="H37" s="22"/>
      <c r="I37" s="22"/>
      <c r="J37" s="22"/>
    </row>
    <row r="38" spans="1:10" ht="15.75">
      <c r="A38" s="157" t="s">
        <v>140</v>
      </c>
      <c r="B38" s="41" t="str">
        <f>CONCATENATE("Debt Service Levy in this ",J1," Budget")</f>
        <v>Debt Service Levy in this 2014 Budget</v>
      </c>
      <c r="C38" s="22"/>
      <c r="D38" s="22"/>
      <c r="E38" s="22"/>
      <c r="F38" s="22"/>
      <c r="G38" s="22"/>
      <c r="H38" s="22"/>
      <c r="I38" s="22"/>
      <c r="J38" s="162">
        <f>'DebtSvs-Library'!E40</f>
        <v>29360</v>
      </c>
    </row>
    <row r="39" spans="1:10" ht="15.75">
      <c r="A39" s="157"/>
      <c r="B39" s="41"/>
      <c r="C39" s="22"/>
      <c r="D39" s="22"/>
      <c r="E39" s="22"/>
      <c r="F39" s="22"/>
      <c r="G39" s="22"/>
      <c r="H39" s="22"/>
      <c r="I39" s="22"/>
      <c r="J39" s="60"/>
    </row>
    <row r="40" spans="1:10" ht="16.5" thickBot="1">
      <c r="A40" s="157" t="s">
        <v>141</v>
      </c>
      <c r="B40" s="41" t="s">
        <v>143</v>
      </c>
      <c r="C40" s="22"/>
      <c r="D40" s="22"/>
      <c r="E40" s="22"/>
      <c r="F40" s="22"/>
      <c r="G40" s="22"/>
      <c r="H40" s="22"/>
      <c r="I40" s="22"/>
      <c r="J40" s="161">
        <f>J36+J38</f>
        <v>408055</v>
      </c>
    </row>
    <row r="41" spans="1:10" ht="16.5" thickTop="1">
      <c r="A41" s="22"/>
      <c r="B41" s="22"/>
      <c r="C41" s="22"/>
      <c r="D41" s="22"/>
      <c r="E41" s="22"/>
      <c r="F41" s="22"/>
      <c r="G41" s="22"/>
      <c r="H41" s="22"/>
      <c r="I41" s="22"/>
      <c r="J41" s="22"/>
    </row>
    <row r="42" spans="1:10" s="163" customFormat="1" ht="18.75">
      <c r="A42" s="750" t="str">
        <f>CONCATENATE("If the ",J1," budget includes tax levies exceeding the total on line 15, you must")</f>
        <v>If the 2014 budget includes tax levies exceeding the total on line 15, you must</v>
      </c>
      <c r="B42" s="750"/>
      <c r="C42" s="750"/>
      <c r="D42" s="750"/>
      <c r="E42" s="750"/>
      <c r="F42" s="750"/>
      <c r="G42" s="750"/>
      <c r="H42" s="750"/>
      <c r="I42" s="750"/>
      <c r="J42" s="750"/>
    </row>
    <row r="43" spans="1:10" s="163" customFormat="1" ht="18.75">
      <c r="A43" s="751" t="s">
        <v>208</v>
      </c>
      <c r="B43" s="751"/>
      <c r="C43" s="751"/>
      <c r="D43" s="751"/>
      <c r="E43" s="751"/>
      <c r="F43" s="751"/>
      <c r="G43" s="751"/>
      <c r="H43" s="751"/>
      <c r="I43" s="751"/>
      <c r="J43" s="751"/>
    </row>
    <row r="44" spans="1:10" ht="15.95" customHeight="1">
      <c r="A44" s="745" t="s">
        <v>209</v>
      </c>
      <c r="B44" s="745"/>
      <c r="C44" s="745"/>
      <c r="D44" s="745"/>
      <c r="E44" s="749"/>
      <c r="F44" s="745"/>
      <c r="G44" s="745"/>
      <c r="H44" s="745"/>
      <c r="I44" s="745"/>
      <c r="J44" s="745"/>
    </row>
  </sheetData>
  <sheetProtection sheet="1"/>
  <mergeCells count="5">
    <mergeCell ref="A44:J44"/>
    <mergeCell ref="A42:J42"/>
    <mergeCell ref="A43:J43"/>
    <mergeCell ref="A3:J3"/>
    <mergeCell ref="E4:G4"/>
  </mergeCells>
  <phoneticPr fontId="0" type="noConversion"/>
  <pageMargins left="0.5" right="0.5" top="1" bottom="0.5" header="0.5" footer="0.5"/>
  <pageSetup scale="85"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workbookViewId="0">
      <selection activeCell="G5" sqref="G5"/>
    </sheetView>
  </sheetViews>
  <sheetFormatPr defaultRowHeight="15.75"/>
  <cols>
    <col min="1" max="1" width="8.88671875" style="23"/>
    <col min="2" max="2" width="17.88671875" style="23" customWidth="1"/>
    <col min="3" max="3" width="15.33203125" style="23" customWidth="1"/>
    <col min="4" max="7" width="10.77734375" style="23" customWidth="1"/>
    <col min="8" max="16384" width="8.88671875" style="23"/>
  </cols>
  <sheetData>
    <row r="1" spans="1:7">
      <c r="A1" s="548"/>
      <c r="B1" s="151" t="str">
        <f>inputPrYr!D2</f>
        <v>City of Grandview Plaza, Kansas</v>
      </c>
      <c r="C1" s="151"/>
      <c r="D1" s="22"/>
      <c r="E1" s="22"/>
      <c r="F1" s="22"/>
      <c r="G1" s="22"/>
    </row>
    <row r="2" spans="1:7">
      <c r="A2" s="548"/>
      <c r="B2" s="22"/>
      <c r="C2" s="22"/>
      <c r="D2" s="22"/>
      <c r="E2" s="22"/>
      <c r="F2" s="22"/>
      <c r="G2" s="22">
        <f>inputPrYr!$C$5</f>
        <v>2014</v>
      </c>
    </row>
    <row r="3" spans="1:7">
      <c r="A3" s="548"/>
      <c r="B3" s="752" t="s">
        <v>906</v>
      </c>
      <c r="C3" s="752"/>
      <c r="D3" s="752"/>
      <c r="E3" s="752"/>
      <c r="F3" s="752"/>
      <c r="G3" s="22"/>
    </row>
    <row r="4" spans="1:7">
      <c r="A4" s="548"/>
      <c r="B4" s="22"/>
      <c r="C4" s="164"/>
      <c r="D4" s="165"/>
      <c r="E4" s="165"/>
      <c r="F4" s="22"/>
      <c r="G4" s="22"/>
    </row>
    <row r="5" spans="1:7" ht="21" customHeight="1">
      <c r="A5" s="548"/>
      <c r="B5" s="166" t="s">
        <v>207</v>
      </c>
      <c r="C5" s="167" t="s">
        <v>805</v>
      </c>
      <c r="D5" s="754" t="str">
        <f>CONCATENATE("Allocation for Year ",G2,"")</f>
        <v>Allocation for Year 2014</v>
      </c>
      <c r="E5" s="755"/>
      <c r="F5" s="756"/>
      <c r="G5" s="549"/>
    </row>
    <row r="6" spans="1:7">
      <c r="A6" s="548"/>
      <c r="B6" s="168" t="str">
        <f>CONCATENATE("for ",G2-1,"")</f>
        <v>for 2013</v>
      </c>
      <c r="C6" s="168" t="str">
        <f>CONCATENATE("Amount for ",G2-2,"")</f>
        <v>Amount for 2012</v>
      </c>
      <c r="D6" s="129" t="s">
        <v>93</v>
      </c>
      <c r="E6" s="129" t="s">
        <v>94</v>
      </c>
      <c r="F6" s="129" t="s">
        <v>92</v>
      </c>
      <c r="G6" s="551"/>
    </row>
    <row r="7" spans="1:7">
      <c r="A7" s="548"/>
      <c r="B7" s="68" t="str">
        <f>(inputPrYr!B17)</f>
        <v>General</v>
      </c>
      <c r="C7" s="132">
        <f>(inputPrYr!E17)</f>
        <v>152444</v>
      </c>
      <c r="D7" s="132">
        <f>IF(inputOth!E39=0,0,D22-SUM(D8:D19))</f>
        <v>12410</v>
      </c>
      <c r="E7" s="132">
        <f>IF(inputOth!E40=0,0,E23-SUM(E8:E19))</f>
        <v>95</v>
      </c>
      <c r="F7" s="132">
        <f>IF(inputOth!E41=0,0,F24-SUM(F8:F19))</f>
        <v>48</v>
      </c>
      <c r="G7" s="549"/>
    </row>
    <row r="8" spans="1:7">
      <c r="A8" s="548"/>
      <c r="B8" s="68" t="str">
        <f>IF(inputPrYr!$B18&gt;"  ",(inputPrYr!$B18),"  ")</f>
        <v>Debt Service</v>
      </c>
      <c r="C8" s="132">
        <f>IF(inputPrYr!$E18&gt;0,(inputPrYr!$E18),"  ")</f>
        <v>10201</v>
      </c>
      <c r="D8" s="132">
        <f>IF(inputPrYr!E18&gt;0,ROUND(C8*$D$27,0),"  ")</f>
        <v>831</v>
      </c>
      <c r="E8" s="132">
        <f>IF(inputPrYr!E18&gt;0,ROUND(+C8*E$28,0)," ")</f>
        <v>6</v>
      </c>
      <c r="F8" s="132">
        <f>IF(inputPrYr!E18&gt;0,ROUND(+C8*F$29,0)," ")</f>
        <v>3</v>
      </c>
      <c r="G8" s="549"/>
    </row>
    <row r="9" spans="1:7">
      <c r="A9" s="548"/>
      <c r="B9" s="68" t="str">
        <f>IF(inputPrYr!$B19&gt;"  ",(inputPrYr!$B19),"  ")</f>
        <v>Library</v>
      </c>
      <c r="C9" s="132" t="str">
        <f>IF(inputPrYr!$E19&gt;0,(inputPrYr!$E19),"  ")</f>
        <v xml:space="preserve">  </v>
      </c>
      <c r="D9" s="132" t="str">
        <f>IF(inputPrYr!E19&gt;0,ROUND(C9*$D$27,0),"  ")</f>
        <v xml:space="preserve">  </v>
      </c>
      <c r="E9" s="132" t="str">
        <f>IF(inputPrYr!E19&gt;0,ROUND(+C9*E$28,0)," ")</f>
        <v xml:space="preserve"> </v>
      </c>
      <c r="F9" s="132" t="str">
        <f>IF(inputPrYr!E19&gt;0,ROUND(+C9*F$29,0)," ")</f>
        <v xml:space="preserve"> </v>
      </c>
      <c r="G9" s="549"/>
    </row>
    <row r="10" spans="1:7">
      <c r="A10" s="548"/>
      <c r="B10" s="68" t="str">
        <f>IF(inputPrYr!$B21&gt;"  ",(inputPrYr!$B21),"  ")</f>
        <v>Street Lighting</v>
      </c>
      <c r="C10" s="132">
        <f>IF(inputPrYr!$E21&gt;0,(inputPrYr!$E21),"  ")</f>
        <v>18228</v>
      </c>
      <c r="D10" s="132">
        <f>IF(inputPrYr!E21&gt;0,ROUND(C10*$D$27,0),"  ")</f>
        <v>1484</v>
      </c>
      <c r="E10" s="132">
        <f>IF(inputPrYr!E21&gt;0,ROUND(+C10*E$28,0)," ")</f>
        <v>11</v>
      </c>
      <c r="F10" s="132">
        <f>IF(inputPrYr!E21&gt;0,ROUND(+C10*F$29,0)," ")</f>
        <v>6</v>
      </c>
      <c r="G10" s="549"/>
    </row>
    <row r="11" spans="1:7">
      <c r="A11" s="548"/>
      <c r="B11" s="68" t="str">
        <f>IF(inputPrYr!$B22&gt;"  ",(inputPrYr!$B22),"  ")</f>
        <v>Employee Benefits</v>
      </c>
      <c r="C11" s="132">
        <f>IF(inputPrYr!$E22&gt;0,(inputPrYr!$E22),"  ")</f>
        <v>192489</v>
      </c>
      <c r="D11" s="132">
        <f>IF(inputPrYr!E22&gt;0,ROUND(C11*$D$27,0),"  ")</f>
        <v>15672</v>
      </c>
      <c r="E11" s="132">
        <f>IF(inputPrYr!E22&gt;0,ROUND(+C11*E$28,0)," ")</f>
        <v>119</v>
      </c>
      <c r="F11" s="132">
        <f>IF(inputPrYr!E22&gt;0,ROUND(+C11*F$29,0)," ")</f>
        <v>60</v>
      </c>
      <c r="G11" s="549"/>
    </row>
    <row r="12" spans="1:7">
      <c r="A12" s="548"/>
      <c r="B12" s="68" t="str">
        <f>IF(inputPrYr!$B23&gt;"  ",(inputPrYr!$B23),"  ")</f>
        <v>Street Maintenance</v>
      </c>
      <c r="C12" s="132">
        <f>IF(inputPrYr!$E23&gt;0,(inputPrYr!$E23),"  ")</f>
        <v>14083</v>
      </c>
      <c r="D12" s="132">
        <f>IF(inputPrYr!E23&gt;0,ROUND(C12*$D$27,0),"  ")</f>
        <v>1147</v>
      </c>
      <c r="E12" s="132">
        <f>IF(inputPrYr!E23&gt;0,ROUND(+C12*E$28,0)," ")</f>
        <v>9</v>
      </c>
      <c r="F12" s="132">
        <f>IF(inputPrYr!E23&gt;0,ROUND(+C12*F$29,0)," ")</f>
        <v>4</v>
      </c>
      <c r="G12" s="549"/>
    </row>
    <row r="13" spans="1:7">
      <c r="A13" s="548"/>
      <c r="B13" s="68" t="str">
        <f>IF(inputPrYr!$B24&gt;"  ",(inputPrYr!$B24),"  ")</f>
        <v xml:space="preserve">  </v>
      </c>
      <c r="C13" s="132" t="str">
        <f>IF(inputPrYr!$E24&gt;0,(inputPrYr!$E24),"  ")</f>
        <v xml:space="preserve">  </v>
      </c>
      <c r="D13" s="132" t="str">
        <f>IF(inputPrYr!E24&gt;0,ROUND(C13*$D$27,0),"  ")</f>
        <v xml:space="preserve">  </v>
      </c>
      <c r="E13" s="132" t="str">
        <f>IF(inputPrYr!E24&gt;0,ROUND(+C13*E$28,0)," ")</f>
        <v xml:space="preserve"> </v>
      </c>
      <c r="F13" s="132" t="str">
        <f>IF(inputPrYr!E24&gt;0,ROUND(+C13*F$29,0)," ")</f>
        <v xml:space="preserve"> </v>
      </c>
      <c r="G13" s="549"/>
    </row>
    <row r="14" spans="1:7">
      <c r="A14" s="548"/>
      <c r="B14" s="68" t="str">
        <f>IF(inputPrYr!$B25&gt;"  ",(inputPrYr!$B25),"  ")</f>
        <v xml:space="preserve">  </v>
      </c>
      <c r="C14" s="132" t="str">
        <f>IF(inputPrYr!$E25&gt;0,(inputPrYr!$E25),"  ")</f>
        <v xml:space="preserve">  </v>
      </c>
      <c r="D14" s="132" t="str">
        <f>IF(inputPrYr!E25&gt;0,ROUND(C14*$D$27,0),"  ")</f>
        <v xml:space="preserve">  </v>
      </c>
      <c r="E14" s="132" t="str">
        <f>IF(inputPrYr!E25&gt;0,ROUND(+C14*E$28,0)," ")</f>
        <v xml:space="preserve"> </v>
      </c>
      <c r="F14" s="132" t="str">
        <f>IF(inputPrYr!E25&gt;0,ROUND(+C14*F$29,0)," ")</f>
        <v xml:space="preserve"> </v>
      </c>
      <c r="G14" s="549"/>
    </row>
    <row r="15" spans="1:7">
      <c r="A15" s="548"/>
      <c r="B15" s="68" t="str">
        <f>IF(inputPrYr!$B26&gt;"  ",(inputPrYr!$B26),"  ")</f>
        <v xml:space="preserve">  </v>
      </c>
      <c r="C15" s="132" t="str">
        <f>IF(inputPrYr!$E26&gt;0,(inputPrYr!$E26),"  ")</f>
        <v xml:space="preserve">  </v>
      </c>
      <c r="D15" s="132" t="str">
        <f>IF(inputPrYr!E26&gt;0,ROUND(C15*$D$27,0),"  ")</f>
        <v xml:space="preserve">  </v>
      </c>
      <c r="E15" s="132" t="str">
        <f>IF(inputPrYr!E26&gt;0,ROUND(+C15*E$28,0)," ")</f>
        <v xml:space="preserve"> </v>
      </c>
      <c r="F15" s="132" t="str">
        <f>IF(inputPrYr!E26&gt;0,ROUND(+C15*F$29,0)," ")</f>
        <v xml:space="preserve"> </v>
      </c>
      <c r="G15" s="549"/>
    </row>
    <row r="16" spans="1:7">
      <c r="A16" s="548"/>
      <c r="B16" s="68" t="str">
        <f>IF(inputPrYr!$B27&gt;"  ",(inputPrYr!$B27),"  ")</f>
        <v xml:space="preserve">  </v>
      </c>
      <c r="C16" s="132" t="str">
        <f>IF(inputPrYr!$E27&gt;0,(inputPrYr!$E27),"  ")</f>
        <v xml:space="preserve">  </v>
      </c>
      <c r="D16" s="132" t="str">
        <f>IF(inputPrYr!E27&gt;0,ROUND(C16*$D$27,0),"  ")</f>
        <v xml:space="preserve">  </v>
      </c>
      <c r="E16" s="132" t="str">
        <f>IF(inputPrYr!E27&gt;0,ROUND(+C16*E$28,0)," ")</f>
        <v xml:space="preserve"> </v>
      </c>
      <c r="F16" s="132" t="str">
        <f>IF(inputPrYr!E27&gt;0,ROUND(+C16*F$29,0)," ")</f>
        <v xml:space="preserve"> </v>
      </c>
      <c r="G16" s="549"/>
    </row>
    <row r="17" spans="1:7">
      <c r="A17" s="548"/>
      <c r="B17" s="68" t="str">
        <f>IF(inputPrYr!$B28&gt;"  ",(inputPrYr!$B28),"  ")</f>
        <v xml:space="preserve">  </v>
      </c>
      <c r="C17" s="132" t="str">
        <f>IF(inputPrYr!$E28&gt;0,(inputPrYr!$E28),"  ")</f>
        <v xml:space="preserve">  </v>
      </c>
      <c r="D17" s="132" t="str">
        <f>IF(inputPrYr!E28&gt;0,ROUND(C17*$D$27,0),"  ")</f>
        <v xml:space="preserve">  </v>
      </c>
      <c r="E17" s="132" t="str">
        <f>IF(inputPrYr!E28&gt;0,ROUND(+C17*E$28,0)," ")</f>
        <v xml:space="preserve"> </v>
      </c>
      <c r="F17" s="132" t="str">
        <f>IF(inputPrYr!E28&gt;0,ROUND(+C17*F$29,0)," ")</f>
        <v xml:space="preserve"> </v>
      </c>
      <c r="G17" s="549"/>
    </row>
    <row r="18" spans="1:7">
      <c r="A18" s="548"/>
      <c r="B18" s="68" t="str">
        <f>IF(inputPrYr!$B29&gt;"  ",(inputPrYr!$B29),"  ")</f>
        <v xml:space="preserve">  </v>
      </c>
      <c r="C18" s="132" t="str">
        <f>IF(inputPrYr!$E29&gt;0,(inputPrYr!$E29),"  ")</f>
        <v xml:space="preserve">  </v>
      </c>
      <c r="D18" s="132" t="str">
        <f>IF(inputPrYr!E29&gt;0,ROUND(C18*$D$27,0),"  ")</f>
        <v xml:space="preserve">  </v>
      </c>
      <c r="E18" s="132" t="str">
        <f>IF(inputPrYr!E29&gt;0,ROUND(+C18*E$28,0)," ")</f>
        <v xml:space="preserve"> </v>
      </c>
      <c r="F18" s="132" t="str">
        <f>IF(inputPrYr!E29&gt;0,ROUND(+C18*F$29,0)," ")</f>
        <v xml:space="preserve"> </v>
      </c>
      <c r="G18" s="549"/>
    </row>
    <row r="19" spans="1:7">
      <c r="A19" s="548"/>
      <c r="B19" s="68" t="str">
        <f>IF(inputPrYr!$B30&gt;"  ",(inputPrYr!$B30),"  ")</f>
        <v xml:space="preserve">  </v>
      </c>
      <c r="C19" s="132" t="str">
        <f>IF(inputPrYr!$E30&gt;0,(inputPrYr!$E30),"  ")</f>
        <v xml:space="preserve">  </v>
      </c>
      <c r="D19" s="132" t="str">
        <f>IF(inputPrYr!E30&gt;0,ROUND(C19*$D$27,0),"  ")</f>
        <v xml:space="preserve">  </v>
      </c>
      <c r="E19" s="132" t="str">
        <f>IF(inputPrYr!E30&gt;0,ROUND(+C19*E$28,0)," ")</f>
        <v xml:space="preserve"> </v>
      </c>
      <c r="F19" s="132" t="str">
        <f>IF(inputPrYr!E30&gt;0,ROUND(+C19*F$29,0)," ")</f>
        <v xml:space="preserve"> </v>
      </c>
      <c r="G19" s="549"/>
    </row>
    <row r="20" spans="1:7">
      <c r="A20" s="548"/>
      <c r="B20" s="550" t="s">
        <v>19</v>
      </c>
      <c r="C20" s="138">
        <f>SUM(C7:C19)</f>
        <v>387445</v>
      </c>
      <c r="D20" s="138">
        <f>SUM(D7:D19)</f>
        <v>31544</v>
      </c>
      <c r="E20" s="138">
        <f>SUM(E7:E19)</f>
        <v>240</v>
      </c>
      <c r="F20" s="138">
        <f>SUM(F7:F19)</f>
        <v>121</v>
      </c>
      <c r="G20" s="549"/>
    </row>
    <row r="21" spans="1:7">
      <c r="A21" s="548"/>
      <c r="B21" s="22"/>
      <c r="C21" s="22"/>
      <c r="D21" s="22"/>
      <c r="E21" s="22"/>
      <c r="F21" s="22"/>
      <c r="G21" s="22"/>
    </row>
    <row r="22" spans="1:7">
      <c r="A22" s="548"/>
      <c r="B22" s="29" t="s">
        <v>20</v>
      </c>
      <c r="C22" s="169"/>
      <c r="D22" s="170">
        <f>(inputOth!E39)</f>
        <v>31544</v>
      </c>
      <c r="E22" s="169"/>
      <c r="F22" s="22"/>
      <c r="G22" s="22"/>
    </row>
    <row r="23" spans="1:7">
      <c r="A23" s="548"/>
      <c r="B23" s="29" t="s">
        <v>21</v>
      </c>
      <c r="C23" s="22"/>
      <c r="D23" s="22"/>
      <c r="E23" s="170">
        <f>(inputOth!E40)</f>
        <v>240</v>
      </c>
      <c r="F23" s="22"/>
      <c r="G23" s="22"/>
    </row>
    <row r="24" spans="1:7">
      <c r="A24" s="548"/>
      <c r="B24" s="29" t="s">
        <v>95</v>
      </c>
      <c r="C24" s="22"/>
      <c r="D24" s="22"/>
      <c r="E24" s="22"/>
      <c r="F24" s="170">
        <f>inputOth!E41</f>
        <v>121</v>
      </c>
      <c r="G24" s="22"/>
    </row>
    <row r="25" spans="1:7">
      <c r="A25" s="548"/>
      <c r="B25" s="61"/>
      <c r="C25" s="60"/>
      <c r="D25" s="60"/>
      <c r="E25" s="60"/>
      <c r="F25" s="171"/>
      <c r="G25" s="58"/>
    </row>
    <row r="26" spans="1:7">
      <c r="A26" s="548"/>
      <c r="B26" s="29"/>
      <c r="C26" s="22"/>
      <c r="D26" s="22"/>
      <c r="E26" s="22"/>
      <c r="F26" s="171"/>
      <c r="G26" s="22"/>
    </row>
    <row r="27" spans="1:7">
      <c r="A27" s="548"/>
      <c r="B27" s="29" t="s">
        <v>22</v>
      </c>
      <c r="C27" s="22"/>
      <c r="D27" s="172">
        <f>IF(C20=0,0,D22/C20)</f>
        <v>8.1415426705725977E-2</v>
      </c>
      <c r="E27" s="22"/>
      <c r="F27" s="22"/>
      <c r="G27" s="22"/>
    </row>
    <row r="28" spans="1:7">
      <c r="A28" s="548"/>
      <c r="B28" s="22"/>
      <c r="C28" s="29" t="s">
        <v>23</v>
      </c>
      <c r="D28" s="22"/>
      <c r="E28" s="172">
        <f>IF(C20=0,0,E23/C20)</f>
        <v>6.1944275961749412E-4</v>
      </c>
      <c r="F28" s="22"/>
      <c r="G28" s="22"/>
    </row>
    <row r="29" spans="1:7">
      <c r="A29" s="548"/>
      <c r="B29" s="22"/>
      <c r="C29" s="22"/>
      <c r="D29" s="29" t="s">
        <v>96</v>
      </c>
      <c r="E29" s="22"/>
      <c r="F29" s="172">
        <f>IF(F24=0,0,F24/C20)</f>
        <v>3.1230239130715327E-4</v>
      </c>
      <c r="G29" s="22"/>
    </row>
    <row r="30" spans="1:7">
      <c r="A30" s="548"/>
      <c r="B30" s="22"/>
      <c r="C30" s="22"/>
      <c r="D30" s="22"/>
      <c r="E30" s="22"/>
      <c r="F30" s="22"/>
      <c r="G30" s="22"/>
    </row>
    <row r="31" spans="1:7" ht="15" customHeight="1">
      <c r="A31" s="548"/>
      <c r="B31" s="85"/>
      <c r="C31" s="85"/>
      <c r="D31" s="85"/>
      <c r="E31" s="85"/>
      <c r="F31" s="85"/>
      <c r="G31" s="85"/>
    </row>
    <row r="32" spans="1:7"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honeticPr fontId="0" type="noConversion"/>
  <pageMargins left="0.5" right="0.5" top="0.5" bottom="0" header="0.25" footer="0"/>
  <pageSetup scale="94"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F10" sqref="F10"/>
    </sheetView>
  </sheetViews>
  <sheetFormatPr defaultRowHeight="15.75"/>
  <cols>
    <col min="1" max="2" width="17.77734375" style="8" customWidth="1"/>
    <col min="3" max="6" width="12.77734375" style="8" customWidth="1"/>
    <col min="7" max="16384" width="8.88671875" style="8"/>
  </cols>
  <sheetData>
    <row r="1" spans="1:6">
      <c r="A1" s="84" t="str">
        <f>inputPrYr!D2</f>
        <v>City of Grandview Plaza, Kansas</v>
      </c>
      <c r="B1" s="84"/>
      <c r="C1" s="86"/>
      <c r="D1" s="86"/>
      <c r="E1" s="86"/>
      <c r="F1" s="86">
        <f>inputPrYr!$C$5</f>
        <v>2014</v>
      </c>
    </row>
    <row r="2" spans="1:6">
      <c r="A2" s="86"/>
      <c r="B2" s="86"/>
      <c r="C2" s="86"/>
      <c r="D2" s="86"/>
      <c r="E2" s="86"/>
      <c r="F2" s="86"/>
    </row>
    <row r="3" spans="1:6">
      <c r="A3" s="753" t="s">
        <v>148</v>
      </c>
      <c r="B3" s="753"/>
      <c r="C3" s="753"/>
      <c r="D3" s="753"/>
      <c r="E3" s="753"/>
      <c r="F3" s="753"/>
    </row>
    <row r="4" spans="1:6">
      <c r="A4" s="174"/>
      <c r="B4" s="174"/>
      <c r="C4" s="174"/>
      <c r="D4" s="174"/>
      <c r="E4" s="174"/>
      <c r="F4" s="174"/>
    </row>
    <row r="5" spans="1:6">
      <c r="A5" s="175" t="s">
        <v>615</v>
      </c>
      <c r="B5" s="175" t="s">
        <v>617</v>
      </c>
      <c r="C5" s="175" t="s">
        <v>44</v>
      </c>
      <c r="D5" s="175" t="s">
        <v>162</v>
      </c>
      <c r="E5" s="175" t="s">
        <v>163</v>
      </c>
      <c r="F5" s="175" t="s">
        <v>200</v>
      </c>
    </row>
    <row r="6" spans="1:6">
      <c r="A6" s="176" t="s">
        <v>616</v>
      </c>
      <c r="B6" s="176" t="s">
        <v>618</v>
      </c>
      <c r="C6" s="176" t="s">
        <v>201</v>
      </c>
      <c r="D6" s="176" t="s">
        <v>201</v>
      </c>
      <c r="E6" s="176" t="s">
        <v>201</v>
      </c>
      <c r="F6" s="176" t="s">
        <v>202</v>
      </c>
    </row>
    <row r="7" spans="1:6" ht="15" customHeight="1">
      <c r="A7" s="177" t="s">
        <v>203</v>
      </c>
      <c r="B7" s="177" t="s">
        <v>204</v>
      </c>
      <c r="C7" s="178">
        <f>F1-2</f>
        <v>2012</v>
      </c>
      <c r="D7" s="178">
        <f>F1-1</f>
        <v>2013</v>
      </c>
      <c r="E7" s="178">
        <f>F1</f>
        <v>2014</v>
      </c>
      <c r="F7" s="177" t="s">
        <v>205</v>
      </c>
    </row>
    <row r="8" spans="1:6" ht="14.25" customHeight="1">
      <c r="A8" s="179" t="s">
        <v>930</v>
      </c>
      <c r="B8" s="179" t="s">
        <v>1048</v>
      </c>
      <c r="C8" s="517">
        <v>7000</v>
      </c>
      <c r="D8" s="517">
        <v>7500</v>
      </c>
      <c r="E8" s="517">
        <v>7500</v>
      </c>
      <c r="F8" s="179" t="s">
        <v>1049</v>
      </c>
    </row>
    <row r="9" spans="1:6" ht="15" customHeight="1">
      <c r="A9" s="180" t="s">
        <v>1050</v>
      </c>
      <c r="B9" s="180" t="s">
        <v>1051</v>
      </c>
      <c r="C9" s="518">
        <v>49000</v>
      </c>
      <c r="D9" s="518">
        <v>49000</v>
      </c>
      <c r="E9" s="518">
        <v>49000</v>
      </c>
      <c r="F9" s="180" t="s">
        <v>1049</v>
      </c>
    </row>
    <row r="10" spans="1:6" ht="15" customHeight="1">
      <c r="A10" s="180" t="s">
        <v>123</v>
      </c>
      <c r="B10" s="180" t="s">
        <v>975</v>
      </c>
      <c r="C10" s="518"/>
      <c r="D10" s="518">
        <v>40290</v>
      </c>
      <c r="E10" s="518">
        <v>40600</v>
      </c>
      <c r="F10" s="180" t="s">
        <v>1049</v>
      </c>
    </row>
    <row r="11" spans="1:6" ht="15" customHeight="1">
      <c r="A11" s="180"/>
      <c r="B11" s="180"/>
      <c r="C11" s="518"/>
      <c r="D11" s="518"/>
      <c r="E11" s="518"/>
      <c r="F11" s="180"/>
    </row>
    <row r="12" spans="1:6" ht="15" customHeight="1">
      <c r="A12" s="180"/>
      <c r="B12" s="180"/>
      <c r="C12" s="518"/>
      <c r="D12" s="518"/>
      <c r="E12" s="518"/>
      <c r="F12" s="180"/>
    </row>
    <row r="13" spans="1:6" ht="15" customHeight="1">
      <c r="A13" s="180"/>
      <c r="B13" s="180"/>
      <c r="C13" s="518"/>
      <c r="D13" s="518"/>
      <c r="E13" s="518"/>
      <c r="F13" s="180"/>
    </row>
    <row r="14" spans="1:6" ht="15" customHeight="1">
      <c r="A14" s="180"/>
      <c r="B14" s="180"/>
      <c r="C14" s="518"/>
      <c r="D14" s="518"/>
      <c r="E14" s="518"/>
      <c r="F14" s="180"/>
    </row>
    <row r="15" spans="1:6" ht="15" customHeight="1">
      <c r="A15" s="180"/>
      <c r="B15" s="180"/>
      <c r="C15" s="518"/>
      <c r="D15" s="518"/>
      <c r="E15" s="518"/>
      <c r="F15" s="180"/>
    </row>
    <row r="16" spans="1:6" ht="15" customHeight="1">
      <c r="A16" s="180"/>
      <c r="B16" s="180"/>
      <c r="C16" s="518"/>
      <c r="D16" s="518"/>
      <c r="E16" s="518"/>
      <c r="F16" s="180"/>
    </row>
    <row r="17" spans="1:6" ht="15" customHeight="1">
      <c r="A17" s="180"/>
      <c r="B17" s="180"/>
      <c r="C17" s="518"/>
      <c r="D17" s="518"/>
      <c r="E17" s="518"/>
      <c r="F17" s="180"/>
    </row>
    <row r="18" spans="1:6" ht="15" customHeight="1">
      <c r="A18" s="180"/>
      <c r="B18" s="180"/>
      <c r="C18" s="518"/>
      <c r="D18" s="518"/>
      <c r="E18" s="518"/>
      <c r="F18" s="180"/>
    </row>
    <row r="19" spans="1:6" ht="15" customHeight="1">
      <c r="A19" s="180"/>
      <c r="B19" s="180"/>
      <c r="C19" s="518"/>
      <c r="D19" s="518"/>
      <c r="E19" s="518"/>
      <c r="F19" s="180"/>
    </row>
    <row r="20" spans="1:6" ht="15" customHeight="1">
      <c r="A20" s="180"/>
      <c r="B20" s="180"/>
      <c r="C20" s="518"/>
      <c r="D20" s="518"/>
      <c r="E20" s="518"/>
      <c r="F20" s="180"/>
    </row>
    <row r="21" spans="1:6" ht="15" customHeight="1">
      <c r="A21" s="180"/>
      <c r="B21" s="180"/>
      <c r="C21" s="518"/>
      <c r="D21" s="518"/>
      <c r="E21" s="518"/>
      <c r="F21" s="180"/>
    </row>
    <row r="22" spans="1:6" ht="15" customHeight="1">
      <c r="A22" s="180"/>
      <c r="B22" s="180"/>
      <c r="C22" s="518"/>
      <c r="D22" s="518"/>
      <c r="E22" s="518"/>
      <c r="F22" s="180"/>
    </row>
    <row r="23" spans="1:6" ht="15" customHeight="1">
      <c r="A23" s="180"/>
      <c r="B23" s="180"/>
      <c r="C23" s="518"/>
      <c r="D23" s="518"/>
      <c r="E23" s="518"/>
      <c r="F23" s="180"/>
    </row>
    <row r="24" spans="1:6" ht="15" customHeight="1">
      <c r="A24" s="180"/>
      <c r="B24" s="180"/>
      <c r="C24" s="518"/>
      <c r="D24" s="518"/>
      <c r="E24" s="518"/>
      <c r="F24" s="180"/>
    </row>
    <row r="25" spans="1:6" ht="15" customHeight="1">
      <c r="A25" s="180"/>
      <c r="B25" s="180"/>
      <c r="C25" s="518"/>
      <c r="D25" s="518"/>
      <c r="E25" s="518"/>
      <c r="F25" s="180"/>
    </row>
    <row r="26" spans="1:6" ht="15" customHeight="1">
      <c r="A26" s="181"/>
      <c r="B26" s="182" t="s">
        <v>12</v>
      </c>
      <c r="C26" s="516">
        <f>SUM(C8:C25)</f>
        <v>56000</v>
      </c>
      <c r="D26" s="516">
        <f>SUM(D8:D25)</f>
        <v>96790</v>
      </c>
      <c r="E26" s="516">
        <f>SUM(E8:E25)</f>
        <v>97100</v>
      </c>
      <c r="F26" s="181"/>
    </row>
    <row r="27" spans="1:6" ht="15" customHeight="1">
      <c r="A27" s="181"/>
      <c r="B27" s="184" t="s">
        <v>619</v>
      </c>
      <c r="C27" s="137"/>
      <c r="D27" s="180"/>
      <c r="E27" s="180"/>
      <c r="F27" s="181"/>
    </row>
    <row r="28" spans="1:6" ht="15" customHeight="1">
      <c r="A28" s="181"/>
      <c r="B28" s="182" t="s">
        <v>206</v>
      </c>
      <c r="C28" s="516">
        <f>C26</f>
        <v>56000</v>
      </c>
      <c r="D28" s="516">
        <f>SUM(D26-D27)</f>
        <v>96790</v>
      </c>
      <c r="E28" s="516">
        <f>SUM(E26-E27)</f>
        <v>97100</v>
      </c>
      <c r="F28" s="181"/>
    </row>
    <row r="29" spans="1:6" ht="15" customHeight="1">
      <c r="A29" s="78"/>
      <c r="B29" s="78"/>
      <c r="C29" s="78"/>
      <c r="D29" s="78"/>
      <c r="E29" s="78"/>
      <c r="F29" s="78"/>
    </row>
    <row r="30" spans="1:6" ht="15" customHeight="1">
      <c r="A30" s="78"/>
      <c r="B30" s="78"/>
      <c r="C30" s="78"/>
      <c r="D30" s="78"/>
      <c r="E30" s="78"/>
      <c r="F30" s="78"/>
    </row>
    <row r="31" spans="1:6" ht="21.75" customHeight="1">
      <c r="A31" s="343" t="s">
        <v>614</v>
      </c>
      <c r="B31" s="344" t="str">
        <f>CONCATENATE("Adjustments are required only if the transfer is being made in ",D7," and/or ",E7," from a non-budgeted fund.")</f>
        <v>Adjustments are required only if the transfer is being made in 2013 and/or 2014 from a non-budgeted fund.</v>
      </c>
      <c r="C31" s="78"/>
      <c r="D31" s="78"/>
      <c r="E31" s="78"/>
      <c r="F31" s="78"/>
    </row>
    <row r="32" spans="1:6" ht="15" customHeight="1"/>
  </sheetData>
  <sheetProtection sheet="1"/>
  <mergeCells count="1">
    <mergeCell ref="A3:F3"/>
  </mergeCells>
  <phoneticPr fontId="11" type="noConversion"/>
  <pageMargins left="1" right="1" top="1" bottom="1" header="0.5" footer="0.5"/>
  <pageSetup scale="72" orientation="portrait" blackAndWhite="1"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view="pageLayout" topLeftCell="B1" zoomScaleNormal="100" workbookViewId="0">
      <selection activeCell="B2" sqref="B2"/>
    </sheetView>
  </sheetViews>
  <sheetFormatPr defaultRowHeight="15"/>
  <cols>
    <col min="1" max="1" width="70.5546875" style="318" customWidth="1"/>
    <col min="2" max="16384" width="8.88671875" style="318"/>
  </cols>
  <sheetData>
    <row r="1" spans="1:1" ht="18.75">
      <c r="A1" s="320" t="s">
        <v>348</v>
      </c>
    </row>
    <row r="2" spans="1:1" ht="18.75">
      <c r="A2" s="320"/>
    </row>
    <row r="3" spans="1:1" ht="18.75">
      <c r="A3" s="320"/>
    </row>
    <row r="4" spans="1:1" ht="51.75" customHeight="1">
      <c r="A4" s="466" t="s">
        <v>740</v>
      </c>
    </row>
    <row r="5" spans="1:1" ht="18.75">
      <c r="A5" s="320"/>
    </row>
    <row r="6" spans="1:1" ht="15.75">
      <c r="A6" s="321"/>
    </row>
    <row r="7" spans="1:1" ht="47.25">
      <c r="A7" s="322" t="s">
        <v>349</v>
      </c>
    </row>
    <row r="8" spans="1:1" ht="15.75">
      <c r="A8" s="321"/>
    </row>
    <row r="9" spans="1:1" ht="15.75">
      <c r="A9" s="321"/>
    </row>
    <row r="10" spans="1:1" ht="63">
      <c r="A10" s="322" t="s">
        <v>350</v>
      </c>
    </row>
    <row r="11" spans="1:1" ht="15.75">
      <c r="A11" s="467"/>
    </row>
    <row r="12" spans="1:1" ht="15.75">
      <c r="A12" s="321"/>
    </row>
    <row r="13" spans="1:1" ht="47.25">
      <c r="A13" s="322" t="s">
        <v>351</v>
      </c>
    </row>
    <row r="14" spans="1:1" ht="15.75">
      <c r="A14" s="467"/>
    </row>
    <row r="15" spans="1:1" ht="15.75">
      <c r="A15" s="321"/>
    </row>
    <row r="16" spans="1:1" ht="47.25">
      <c r="A16" s="322" t="s">
        <v>352</v>
      </c>
    </row>
    <row r="17" spans="1:1" ht="15.75">
      <c r="A17" s="467"/>
    </row>
    <row r="18" spans="1:1" ht="15.75">
      <c r="A18" s="467"/>
    </row>
    <row r="19" spans="1:1" ht="47.25">
      <c r="A19" s="322" t="s">
        <v>353</v>
      </c>
    </row>
    <row r="20" spans="1:1" ht="15.75">
      <c r="A20" s="467"/>
    </row>
    <row r="21" spans="1:1" ht="15.75">
      <c r="A21" s="467"/>
    </row>
    <row r="22" spans="1:1" ht="47.25">
      <c r="A22" s="322" t="s">
        <v>354</v>
      </c>
    </row>
    <row r="23" spans="1:1" ht="15.75">
      <c r="A23" s="467"/>
    </row>
    <row r="24" spans="1:1" ht="15.75">
      <c r="A24" s="467"/>
    </row>
    <row r="25" spans="1:1" ht="31.5">
      <c r="A25" s="322" t="s">
        <v>355</v>
      </c>
    </row>
    <row r="26" spans="1:1" ht="15.75">
      <c r="A26" s="321"/>
    </row>
    <row r="27" spans="1:1" ht="15.75">
      <c r="A27" s="321"/>
    </row>
    <row r="28" spans="1:1" ht="60">
      <c r="A28" s="468" t="s">
        <v>356</v>
      </c>
    </row>
    <row r="29" spans="1:1">
      <c r="A29" s="469"/>
    </row>
    <row r="30" spans="1:1">
      <c r="A30" s="469"/>
    </row>
    <row r="31" spans="1:1" ht="47.25">
      <c r="A31" s="322" t="s">
        <v>357</v>
      </c>
    </row>
    <row r="32" spans="1:1" ht="15.75">
      <c r="A32" s="321"/>
    </row>
    <row r="33" spans="1:1" ht="15.75">
      <c r="A33" s="321"/>
    </row>
    <row r="34" spans="1:1" ht="66.75" customHeight="1">
      <c r="A34" s="465" t="s">
        <v>741</v>
      </c>
    </row>
    <row r="35" spans="1:1" ht="15.75">
      <c r="A35" s="321"/>
    </row>
    <row r="36" spans="1:1" ht="15.75">
      <c r="A36" s="321"/>
    </row>
    <row r="37" spans="1:1" ht="63">
      <c r="A37" s="470" t="s">
        <v>358</v>
      </c>
    </row>
    <row r="38" spans="1:1" ht="15.75">
      <c r="A38" s="467"/>
    </row>
    <row r="39" spans="1:1" ht="15.75">
      <c r="A39" s="321"/>
    </row>
    <row r="40" spans="1:1" ht="63">
      <c r="A40" s="322" t="s">
        <v>359</v>
      </c>
    </row>
    <row r="41" spans="1:1" ht="15.75">
      <c r="A41" s="467"/>
    </row>
    <row r="42" spans="1:1" ht="15.75">
      <c r="A42" s="467"/>
    </row>
    <row r="43" spans="1:1" ht="82.5" customHeight="1">
      <c r="A43" s="463" t="s">
        <v>742</v>
      </c>
    </row>
    <row r="44" spans="1:1" ht="15.75">
      <c r="A44" s="467"/>
    </row>
    <row r="45" spans="1:1" ht="15.75">
      <c r="A45" s="467"/>
    </row>
    <row r="46" spans="1:1" ht="69" customHeight="1">
      <c r="A46" s="463" t="s">
        <v>743</v>
      </c>
    </row>
    <row r="47" spans="1:1" ht="15.75">
      <c r="A47" s="467"/>
    </row>
    <row r="48" spans="1:1" ht="15.75">
      <c r="A48" s="467"/>
    </row>
    <row r="49" spans="1:1" ht="69" customHeight="1">
      <c r="A49" s="463" t="s">
        <v>744</v>
      </c>
    </row>
    <row r="50" spans="1:1" ht="15.75">
      <c r="A50" s="467"/>
    </row>
    <row r="51" spans="1:1" ht="15.75">
      <c r="A51" s="467"/>
    </row>
    <row r="52" spans="1:1" ht="54.75" customHeight="1">
      <c r="A52" s="463" t="s">
        <v>833</v>
      </c>
    </row>
    <row r="53" spans="1:1" ht="15.75">
      <c r="A53" s="467"/>
    </row>
    <row r="54" spans="1:1" ht="15.75">
      <c r="A54" s="467"/>
    </row>
    <row r="55" spans="1:1" ht="63">
      <c r="A55" s="322" t="s">
        <v>360</v>
      </c>
    </row>
    <row r="56" spans="1:1" ht="15.75">
      <c r="A56" s="467"/>
    </row>
    <row r="57" spans="1:1" ht="15.75">
      <c r="A57" s="467"/>
    </row>
    <row r="58" spans="1:1" ht="63">
      <c r="A58" s="322" t="s">
        <v>361</v>
      </c>
    </row>
    <row r="59" spans="1:1" ht="15.75">
      <c r="A59" s="467"/>
    </row>
    <row r="60" spans="1:1" ht="15.75">
      <c r="A60" s="467"/>
    </row>
    <row r="61" spans="1:1" ht="47.25">
      <c r="A61" s="322" t="s">
        <v>362</v>
      </c>
    </row>
    <row r="62" spans="1:1" ht="15.75">
      <c r="A62" s="467"/>
    </row>
    <row r="63" spans="1:1" ht="15.75">
      <c r="A63" s="467"/>
    </row>
    <row r="64" spans="1:1" ht="47.25">
      <c r="A64" s="322" t="s">
        <v>363</v>
      </c>
    </row>
    <row r="65" spans="1:1" ht="15.75">
      <c r="A65" s="467"/>
    </row>
    <row r="66" spans="1:1" ht="15.75">
      <c r="A66" s="467"/>
    </row>
    <row r="67" spans="1:1" ht="78.75">
      <c r="A67" s="322" t="s">
        <v>364</v>
      </c>
    </row>
    <row r="68" spans="1:1">
      <c r="A68" s="471"/>
    </row>
  </sheetData>
  <sheetProtection sheet="1" objects="1" scenarios="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9</vt:i4>
      </vt:variant>
    </vt:vector>
  </HeadingPairs>
  <TitlesOfParts>
    <vt:vector size="42"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general</vt:lpstr>
      <vt:lpstr>GenDetail</vt:lpstr>
      <vt:lpstr>DebtSvs-Library</vt:lpstr>
      <vt:lpstr>levy page9</vt:lpstr>
      <vt:lpstr>levy page10</vt:lpstr>
      <vt:lpstr>Sp Hiway</vt:lpstr>
      <vt:lpstr>nolevypage15</vt:lpstr>
      <vt:lpstr>nolevypage16</vt:lpstr>
      <vt:lpstr>NonBudA</vt:lpstr>
      <vt:lpstr>NonBudB</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'DebtSvs-Library'!Print_Area</vt:lpstr>
      <vt:lpstr>GenDetail!Print_Area</vt:lpstr>
      <vt:lpstr>general!Print_Area</vt:lpstr>
      <vt:lpstr>inputPrYr!Print_Area</vt:lpstr>
      <vt:lpstr>Instructions!Print_Area</vt:lpstr>
      <vt:lpstr>'levy page10'!Print_Area</vt:lpstr>
      <vt:lpstr>'levy page9'!Print_Area</vt:lpstr>
      <vt:lpstr>lpform!Print_Area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Rebecca Bossemeyer</dc:creator>
  <cp:lastModifiedBy>Rebecca Bossemeyer</cp:lastModifiedBy>
  <cp:lastPrinted>2013-08-20T14:16:20Z</cp:lastPrinted>
  <dcterms:created xsi:type="dcterms:W3CDTF">1999-08-03T13:11:47Z</dcterms:created>
  <dcterms:modified xsi:type="dcterms:W3CDTF">2014-02-06T22:18:39Z</dcterms:modified>
</cp:coreProperties>
</file>