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1110" tabRatio="909" firstSheet="1" activeTab="1"/>
  </bookViews>
  <sheets>
    <sheet name="Instructions" sheetId="1" state="hidden"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state="hidden" r:id="rId9"/>
    <sheet name="debt" sheetId="22" r:id="rId10"/>
    <sheet name="lpform" sheetId="23" state="hidden" r:id="rId11"/>
    <sheet name="Library Grant" sheetId="57" state="hidden" r:id="rId12"/>
    <sheet name="general" sheetId="7" r:id="rId13"/>
    <sheet name="GenDetail" sheetId="9" r:id="rId14"/>
    <sheet name="library" sheetId="34" r:id="rId15"/>
    <sheet name="empty" sheetId="8" state="hidden" r:id="rId16"/>
    <sheet name="empty1" sheetId="10" state="hidden" r:id="rId17"/>
    <sheet name="empty2" sheetId="11" state="hidden" r:id="rId18"/>
    <sheet name="empty3" sheetId="12" state="hidden" r:id="rId19"/>
    <sheet name="empty4" sheetId="13" state="hidden" r:id="rId20"/>
    <sheet name="Sp Hiway-Water" sheetId="14" r:id="rId21"/>
    <sheet name="Fire-Sewer" sheetId="15" r:id="rId22"/>
    <sheet name="Park" sheetId="16" r:id="rId23"/>
    <sheet name="no levy page17" sheetId="17" state="hidden" r:id="rId24"/>
    <sheet name="no levy page18" sheetId="18" state="hidden" r:id="rId25"/>
    <sheet name="no levy page19" sheetId="19" state="hidden" r:id="rId26"/>
    <sheet name="no levy page20" sheetId="53" state="hidden" r:id="rId27"/>
    <sheet name="no levy page21" sheetId="54" state="hidden" r:id="rId28"/>
    <sheet name="SinNoLevy22" sheetId="35" state="hidden" r:id="rId29"/>
    <sheet name="SinNoLevy23" sheetId="36" state="hidden" r:id="rId30"/>
    <sheet name="SinNoLevy24" sheetId="37" state="hidden" r:id="rId31"/>
    <sheet name="SinNoLevy25" sheetId="38" state="hidden" r:id="rId32"/>
    <sheet name="NonBudA" sheetId="39" r:id="rId33"/>
    <sheet name="NonBudB" sheetId="40" state="hidden" r:id="rId34"/>
    <sheet name="NonBudC" sheetId="41" state="hidden" r:id="rId35"/>
    <sheet name="NonBudD" sheetId="42" state="hidden" r:id="rId36"/>
    <sheet name="NonBudFunds" sheetId="46" state="hidden" r:id="rId37"/>
    <sheet name="summ" sheetId="21" r:id="rId38"/>
    <sheet name="nhood" sheetId="44" state="hidden" r:id="rId39"/>
    <sheet name="ordinance" sheetId="33" r:id="rId40"/>
    <sheet name="Tab A" sheetId="47" state="hidden" r:id="rId41"/>
    <sheet name="Tab B" sheetId="48" state="hidden" r:id="rId42"/>
    <sheet name="Tab C" sheetId="49" state="hidden" r:id="rId43"/>
    <sheet name="Tab D" sheetId="50" state="hidden" r:id="rId44"/>
    <sheet name="Tab E" sheetId="51" state="hidden" r:id="rId45"/>
    <sheet name="Mill Rate Computation" sheetId="55" r:id="rId46"/>
    <sheet name="Helpful Links" sheetId="56" r:id="rId47"/>
    <sheet name="legend" sheetId="25" r:id="rId48"/>
  </sheets>
  <definedNames>
    <definedName name="_xlnm.Print_Area" localSheetId="15">empty!$A$1:$E$81</definedName>
    <definedName name="_xlnm.Print_Area" localSheetId="16">empty1!$B$1:$E$82</definedName>
    <definedName name="_xlnm.Print_Area" localSheetId="17">empty2!$A$1:$E$82</definedName>
    <definedName name="_xlnm.Print_Area" localSheetId="18">empty3!$A$1:$E$82</definedName>
    <definedName name="_xlnm.Print_Area" localSheetId="19">empty4!$A$1:$E$82</definedName>
    <definedName name="_xlnm.Print_Area" localSheetId="12">general!$B$1:$E$120</definedName>
    <definedName name="_xlnm.Print_Area" localSheetId="1">inputPrYr!$A$1:$E$125</definedName>
    <definedName name="_xlnm.Print_Area" localSheetId="14">library!$B$1:$E$81</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calcId="101716"/>
</workbook>
</file>

<file path=xl/calcChain.xml><?xml version="1.0" encoding="utf-8"?>
<calcChain xmlns="http://schemas.openxmlformats.org/spreadsheetml/2006/main">
  <c r="D47" i="34"/>
  <c r="E15" i="57"/>
  <c r="E19"/>
  <c r="E18"/>
  <c r="E17"/>
  <c r="G16"/>
  <c r="E16"/>
  <c r="D55" i="2"/>
  <c r="J29" i="13"/>
  <c r="J28"/>
  <c r="J29" i="12"/>
  <c r="J28"/>
  <c r="J28" i="11"/>
  <c r="J29" i="10"/>
  <c r="J28"/>
  <c r="J29" i="8"/>
  <c r="J28"/>
  <c r="J29" i="34"/>
  <c r="J28"/>
  <c r="J27" i="13"/>
  <c r="J67"/>
  <c r="J27" i="12"/>
  <c r="J67"/>
  <c r="J27" i="11"/>
  <c r="J67"/>
  <c r="J27" i="10"/>
  <c r="J67"/>
  <c r="J27" i="8"/>
  <c r="J67"/>
  <c r="J27" i="34"/>
  <c r="J67"/>
  <c r="D18" i="3"/>
  <c r="B18"/>
  <c r="C59" i="7"/>
  <c r="B67" i="9"/>
  <c r="B8" i="57"/>
  <c r="B7"/>
  <c r="B5"/>
  <c r="B18" i="44"/>
  <c r="B17"/>
  <c r="B16"/>
  <c r="B15"/>
  <c r="B14"/>
  <c r="B13"/>
  <c r="B12"/>
  <c r="B11"/>
  <c r="B10"/>
  <c r="B9"/>
  <c r="B8"/>
  <c r="D72" i="9"/>
  <c r="C72"/>
  <c r="B72"/>
  <c r="D35" i="13"/>
  <c r="D75" i="12"/>
  <c r="D35"/>
  <c r="D75" i="11"/>
  <c r="D96"/>
  <c r="D35"/>
  <c r="D94"/>
  <c r="D75" i="10"/>
  <c r="D35"/>
  <c r="D75" i="8"/>
  <c r="D35"/>
  <c r="D94"/>
  <c r="D48" i="3"/>
  <c r="D47"/>
  <c r="D46"/>
  <c r="D45"/>
  <c r="D44"/>
  <c r="B47"/>
  <c r="B46"/>
  <c r="B45"/>
  <c r="B44"/>
  <c r="D75" i="34"/>
  <c r="D95"/>
  <c r="B44" i="13"/>
  <c r="B5"/>
  <c r="B44" i="12"/>
  <c r="B5"/>
  <c r="B44" i="11"/>
  <c r="B5"/>
  <c r="B44" i="10"/>
  <c r="B5"/>
  <c r="B44" i="8"/>
  <c r="B5"/>
  <c r="B44" i="34"/>
  <c r="D75" i="13"/>
  <c r="G14" i="57"/>
  <c r="B78"/>
  <c r="E14"/>
  <c r="B89"/>
  <c r="C32" i="3"/>
  <c r="C31"/>
  <c r="C30"/>
  <c r="C29"/>
  <c r="C28"/>
  <c r="C27"/>
  <c r="C26"/>
  <c r="C25"/>
  <c r="C24"/>
  <c r="C23"/>
  <c r="C22"/>
  <c r="B32"/>
  <c r="B31"/>
  <c r="B30"/>
  <c r="B29"/>
  <c r="B28"/>
  <c r="B27"/>
  <c r="B26"/>
  <c r="B25"/>
  <c r="B24"/>
  <c r="B23"/>
  <c r="B22"/>
  <c r="C19" i="5"/>
  <c r="C18"/>
  <c r="C17"/>
  <c r="C16"/>
  <c r="C15"/>
  <c r="C14"/>
  <c r="C13"/>
  <c r="C12"/>
  <c r="C11"/>
  <c r="C10"/>
  <c r="C9"/>
  <c r="B19"/>
  <c r="B18"/>
  <c r="B17"/>
  <c r="B16"/>
  <c r="B15"/>
  <c r="B14"/>
  <c r="B13"/>
  <c r="B12"/>
  <c r="B11"/>
  <c r="B10"/>
  <c r="B9"/>
  <c r="A27" i="21"/>
  <c r="A26"/>
  <c r="A25"/>
  <c r="A24"/>
  <c r="A23"/>
  <c r="A22"/>
  <c r="A21"/>
  <c r="A20"/>
  <c r="A19"/>
  <c r="A18"/>
  <c r="A17"/>
  <c r="A67"/>
  <c r="B68"/>
  <c r="A7"/>
  <c r="A5"/>
  <c r="G20" i="52"/>
  <c r="G22"/>
  <c r="A72" i="43"/>
  <c r="A71"/>
  <c r="A70"/>
  <c r="A69"/>
  <c r="A68"/>
  <c r="A67"/>
  <c r="A66"/>
  <c r="A65"/>
  <c r="A64"/>
  <c r="A63"/>
  <c r="A62"/>
  <c r="A33"/>
  <c r="A32"/>
  <c r="A31"/>
  <c r="A30"/>
  <c r="A29"/>
  <c r="A28"/>
  <c r="A27"/>
  <c r="A26"/>
  <c r="A25"/>
  <c r="A24"/>
  <c r="A23"/>
  <c r="B96" i="2"/>
  <c r="B95"/>
  <c r="B94"/>
  <c r="B93"/>
  <c r="B92"/>
  <c r="B91"/>
  <c r="B90"/>
  <c r="B89"/>
  <c r="B88"/>
  <c r="B87"/>
  <c r="B86"/>
  <c r="G30"/>
  <c r="D47" i="13"/>
  <c r="D60"/>
  <c r="G29" i="2"/>
  <c r="D8" i="13"/>
  <c r="D20"/>
  <c r="G28" i="2"/>
  <c r="D47" i="12"/>
  <c r="D60"/>
  <c r="G27" i="2"/>
  <c r="D8" i="12"/>
  <c r="D20"/>
  <c r="G26" i="2"/>
  <c r="D47" i="11"/>
  <c r="D60"/>
  <c r="G25" i="2"/>
  <c r="D8" i="11"/>
  <c r="D20"/>
  <c r="G24" i="2"/>
  <c r="D47" i="10"/>
  <c r="D60"/>
  <c r="G23" i="2"/>
  <c r="D8" i="10"/>
  <c r="D20"/>
  <c r="G22" i="2"/>
  <c r="D47" i="8"/>
  <c r="D60"/>
  <c r="G21" i="2"/>
  <c r="D8" i="8"/>
  <c r="D20"/>
  <c r="G19" i="2"/>
  <c r="G18"/>
  <c r="D8" i="34"/>
  <c r="D20"/>
  <c r="G17" i="2"/>
  <c r="D9" i="7"/>
  <c r="D56"/>
  <c r="D55"/>
  <c r="J148" i="55"/>
  <c r="H134"/>
  <c r="C137"/>
  <c r="J137"/>
  <c r="C123"/>
  <c r="H120"/>
  <c r="H114"/>
  <c r="F117"/>
  <c r="H117"/>
  <c r="F123"/>
  <c r="H100"/>
  <c r="C103"/>
  <c r="F97"/>
  <c r="H97"/>
  <c r="F103"/>
  <c r="H94"/>
  <c r="C83"/>
  <c r="H80"/>
  <c r="H74"/>
  <c r="F77"/>
  <c r="H77"/>
  <c r="F83"/>
  <c r="H48"/>
  <c r="F50"/>
  <c r="J50"/>
  <c r="H41"/>
  <c r="B28"/>
  <c r="H28"/>
  <c r="H25"/>
  <c r="C25"/>
  <c r="D30" i="54"/>
  <c r="D61" i="53"/>
  <c r="D30"/>
  <c r="D61" i="19"/>
  <c r="C61" i="54"/>
  <c r="C30"/>
  <c r="C61" i="53"/>
  <c r="C30"/>
  <c r="C61" i="19"/>
  <c r="B5" i="54"/>
  <c r="B36" i="53"/>
  <c r="B5"/>
  <c r="B36" i="19"/>
  <c r="C19" i="44"/>
  <c r="E27" i="21"/>
  <c r="G84" i="13"/>
  <c r="C27" i="21"/>
  <c r="D63"/>
  <c r="B63"/>
  <c r="D62"/>
  <c r="B62"/>
  <c r="D61"/>
  <c r="B61"/>
  <c r="D60"/>
  <c r="D64"/>
  <c r="B60"/>
  <c r="B64"/>
  <c r="F57"/>
  <c r="G27" i="57"/>
  <c r="D57" i="21"/>
  <c r="E27" i="57"/>
  <c r="B57" i="21"/>
  <c r="B55"/>
  <c r="D96" i="13"/>
  <c r="D94" i="12"/>
  <c r="C75" i="8"/>
  <c r="C35" i="10"/>
  <c r="C75"/>
  <c r="C96"/>
  <c r="C35" i="11"/>
  <c r="C75"/>
  <c r="C96"/>
  <c r="B77"/>
  <c r="C35" i="12"/>
  <c r="C75"/>
  <c r="C35" i="13"/>
  <c r="C75"/>
  <c r="C35" i="8"/>
  <c r="C75" i="34"/>
  <c r="G32" i="3"/>
  <c r="D32"/>
  <c r="D31"/>
  <c r="D30"/>
  <c r="D29"/>
  <c r="D28"/>
  <c r="D27"/>
  <c r="D26"/>
  <c r="D22"/>
  <c r="D24"/>
  <c r="D23"/>
  <c r="D25"/>
  <c r="E31" i="2"/>
  <c r="D55" i="21"/>
  <c r="D73" i="34"/>
  <c r="C73"/>
  <c r="G78"/>
  <c r="C60"/>
  <c r="C59"/>
  <c r="D33"/>
  <c r="D32"/>
  <c r="C33"/>
  <c r="C32"/>
  <c r="C20"/>
  <c r="C21"/>
  <c r="C34"/>
  <c r="C35"/>
  <c r="D35"/>
  <c r="G31" i="3"/>
  <c r="G30"/>
  <c r="G29"/>
  <c r="G28"/>
  <c r="G27"/>
  <c r="G26"/>
  <c r="G25"/>
  <c r="G24"/>
  <c r="G23"/>
  <c r="G22"/>
  <c r="G21"/>
  <c r="G20"/>
  <c r="G57"/>
  <c r="D21"/>
  <c r="D18" i="44"/>
  <c r="E18"/>
  <c r="B1" i="34"/>
  <c r="E1"/>
  <c r="D44"/>
  <c r="D34" i="43"/>
  <c r="D97" i="2"/>
  <c r="D94" i="13"/>
  <c r="D96" i="12"/>
  <c r="D96" i="10"/>
  <c r="D94"/>
  <c r="D96" i="8"/>
  <c r="C113" i="7"/>
  <c r="D113"/>
  <c r="D79" i="12"/>
  <c r="D39"/>
  <c r="D39" i="11"/>
  <c r="D79"/>
  <c r="D79" i="10"/>
  <c r="D39"/>
  <c r="D79" i="8"/>
  <c r="D39"/>
  <c r="D39" i="34"/>
  <c r="D79"/>
  <c r="D117" i="7"/>
  <c r="D39" i="13"/>
  <c r="D79"/>
  <c r="A42" i="21"/>
  <c r="A41"/>
  <c r="A40"/>
  <c r="A39"/>
  <c r="D61" i="54"/>
  <c r="E59"/>
  <c r="E48" i="3"/>
  <c r="E58" i="54"/>
  <c r="D59"/>
  <c r="D43" i="21"/>
  <c r="D58" i="54"/>
  <c r="C59"/>
  <c r="B43" i="21"/>
  <c r="E46" i="54"/>
  <c r="E45"/>
  <c r="D46"/>
  <c r="D45"/>
  <c r="C46"/>
  <c r="C47"/>
  <c r="C60"/>
  <c r="B36"/>
  <c r="E28"/>
  <c r="F42" i="21"/>
  <c r="D28" i="54"/>
  <c r="D42" i="21"/>
  <c r="C28" i="54"/>
  <c r="B42" i="21"/>
  <c r="E15" i="54"/>
  <c r="E14"/>
  <c r="D15"/>
  <c r="C15"/>
  <c r="C16"/>
  <c r="C29"/>
  <c r="D14"/>
  <c r="E1"/>
  <c r="E36"/>
  <c r="B1"/>
  <c r="E59" i="53"/>
  <c r="F41" i="21"/>
  <c r="D59" i="53"/>
  <c r="D41" i="21"/>
  <c r="C59" i="53"/>
  <c r="B41" i="21"/>
  <c r="D58" i="53"/>
  <c r="E46"/>
  <c r="E45"/>
  <c r="D46"/>
  <c r="D45"/>
  <c r="C46"/>
  <c r="C47"/>
  <c r="C60"/>
  <c r="C45"/>
  <c r="E28"/>
  <c r="F40" i="21"/>
  <c r="E27" i="53"/>
  <c r="D28"/>
  <c r="D40" i="21"/>
  <c r="D27" i="53"/>
  <c r="C28"/>
  <c r="B40" i="21"/>
  <c r="C31" i="53"/>
  <c r="E15"/>
  <c r="E14"/>
  <c r="D15"/>
  <c r="D14"/>
  <c r="C15"/>
  <c r="C16"/>
  <c r="C29"/>
  <c r="E1"/>
  <c r="D36"/>
  <c r="B1"/>
  <c r="A88" i="43"/>
  <c r="A87"/>
  <c r="A86"/>
  <c r="A85"/>
  <c r="A84"/>
  <c r="A34" i="48"/>
  <c r="A77" i="47"/>
  <c r="A74"/>
  <c r="A33"/>
  <c r="A28"/>
  <c r="A25"/>
  <c r="A16"/>
  <c r="A6"/>
  <c r="A33" i="48"/>
  <c r="A6"/>
  <c r="A38" i="49"/>
  <c r="A33"/>
  <c r="A19"/>
  <c r="A6"/>
  <c r="A46" i="50"/>
  <c r="A41"/>
  <c r="A6"/>
  <c r="A8" i="51"/>
  <c r="B81" i="7"/>
  <c r="B82"/>
  <c r="B83"/>
  <c r="B80"/>
  <c r="B79"/>
  <c r="B78"/>
  <c r="B77"/>
  <c r="B76"/>
  <c r="D129" i="9"/>
  <c r="E83" i="7"/>
  <c r="C129" i="9"/>
  <c r="D83" i="7"/>
  <c r="B129" i="9"/>
  <c r="C83" i="7"/>
  <c r="D122" i="9"/>
  <c r="E82" i="7"/>
  <c r="C122" i="9"/>
  <c r="D82" i="7"/>
  <c r="B122" i="9"/>
  <c r="C82" i="7"/>
  <c r="D115" i="9"/>
  <c r="E81" i="7"/>
  <c r="C115" i="9"/>
  <c r="D81" i="7"/>
  <c r="B115" i="9"/>
  <c r="C81" i="7"/>
  <c r="D108" i="9"/>
  <c r="E80" i="7"/>
  <c r="C108" i="9"/>
  <c r="D80" i="7"/>
  <c r="B108" i="9"/>
  <c r="C80" i="7"/>
  <c r="D101" i="9"/>
  <c r="E79" i="7"/>
  <c r="C101" i="9"/>
  <c r="D79" i="7"/>
  <c r="B101" i="9"/>
  <c r="C79" i="7"/>
  <c r="D95" i="9"/>
  <c r="E78" i="7"/>
  <c r="C95" i="9"/>
  <c r="D78" i="7"/>
  <c r="B95" i="9"/>
  <c r="C78" i="7"/>
  <c r="D88" i="9"/>
  <c r="E77" i="7"/>
  <c r="C88" i="9"/>
  <c r="D77" i="7"/>
  <c r="B88" i="9"/>
  <c r="C77" i="7"/>
  <c r="D81" i="9"/>
  <c r="E76" i="7"/>
  <c r="C81" i="9"/>
  <c r="D76" i="7"/>
  <c r="B81" i="9"/>
  <c r="C76" i="7"/>
  <c r="D22" i="44"/>
  <c r="D24"/>
  <c r="A100" i="2"/>
  <c r="A99"/>
  <c r="D82"/>
  <c r="C30" i="14"/>
  <c r="C29"/>
  <c r="C17"/>
  <c r="C18"/>
  <c r="C31"/>
  <c r="C34"/>
  <c r="D30"/>
  <c r="E30"/>
  <c r="F28" i="21"/>
  <c r="C32" i="14"/>
  <c r="D32"/>
  <c r="C61"/>
  <c r="B29" i="21"/>
  <c r="D61" i="14"/>
  <c r="D60"/>
  <c r="E61"/>
  <c r="E60"/>
  <c r="C63"/>
  <c r="D63"/>
  <c r="C28" i="15"/>
  <c r="C27"/>
  <c r="D28"/>
  <c r="E28"/>
  <c r="E27"/>
  <c r="C30"/>
  <c r="D30"/>
  <c r="C59"/>
  <c r="D59"/>
  <c r="D58"/>
  <c r="E59"/>
  <c r="E58"/>
  <c r="C61"/>
  <c r="D61"/>
  <c r="C28" i="16"/>
  <c r="D28"/>
  <c r="E28"/>
  <c r="E37" i="3"/>
  <c r="C30" i="16"/>
  <c r="D30"/>
  <c r="C59"/>
  <c r="D59"/>
  <c r="E59"/>
  <c r="C61"/>
  <c r="D61"/>
  <c r="D62"/>
  <c r="C28" i="17"/>
  <c r="D28"/>
  <c r="E28"/>
  <c r="C30"/>
  <c r="D30"/>
  <c r="C59"/>
  <c r="D59"/>
  <c r="E59"/>
  <c r="C61"/>
  <c r="C62"/>
  <c r="D61"/>
  <c r="C28" i="18"/>
  <c r="D28"/>
  <c r="E28"/>
  <c r="D30"/>
  <c r="D31"/>
  <c r="C30"/>
  <c r="C31"/>
  <c r="C59"/>
  <c r="D59"/>
  <c r="E59"/>
  <c r="C61"/>
  <c r="D61"/>
  <c r="D62"/>
  <c r="C28" i="19"/>
  <c r="D28"/>
  <c r="E28"/>
  <c r="D30"/>
  <c r="C30"/>
  <c r="C59"/>
  <c r="D59"/>
  <c r="D39" i="21"/>
  <c r="E59" i="19"/>
  <c r="F39" i="21"/>
  <c r="D62" i="19"/>
  <c r="C47" i="35"/>
  <c r="D47"/>
  <c r="E47"/>
  <c r="D49"/>
  <c r="C49"/>
  <c r="C47" i="36"/>
  <c r="C46"/>
  <c r="D47"/>
  <c r="D46"/>
  <c r="E47"/>
  <c r="C49"/>
  <c r="D49"/>
  <c r="C47" i="37"/>
  <c r="C46"/>
  <c r="D47"/>
  <c r="E47"/>
  <c r="D49"/>
  <c r="C49"/>
  <c r="C47" i="38"/>
  <c r="D47"/>
  <c r="E47"/>
  <c r="D49"/>
  <c r="C49"/>
  <c r="C50"/>
  <c r="D63" i="9"/>
  <c r="E75" i="7"/>
  <c r="D56" i="9"/>
  <c r="E74" i="7"/>
  <c r="D49" i="9"/>
  <c r="E73" i="7"/>
  <c r="D42" i="9"/>
  <c r="E72" i="7"/>
  <c r="D35" i="9"/>
  <c r="E71" i="7"/>
  <c r="D29" i="9"/>
  <c r="E70" i="7"/>
  <c r="C63" i="9"/>
  <c r="D75" i="7"/>
  <c r="C56" i="9"/>
  <c r="D74" i="7"/>
  <c r="C49" i="9"/>
  <c r="D73" i="7"/>
  <c r="C42" i="9"/>
  <c r="D72" i="7"/>
  <c r="C35" i="9"/>
  <c r="D71" i="7"/>
  <c r="C29" i="9"/>
  <c r="D70" i="7"/>
  <c r="D22" i="9"/>
  <c r="E69" i="7"/>
  <c r="C15" i="9"/>
  <c r="D68" i="7"/>
  <c r="C22" i="9"/>
  <c r="D69" i="7"/>
  <c r="B63" i="9"/>
  <c r="C75" i="7"/>
  <c r="B56" i="9"/>
  <c r="C74" i="7"/>
  <c r="B49" i="9"/>
  <c r="C73" i="7"/>
  <c r="B42" i="9"/>
  <c r="C72" i="7"/>
  <c r="B35" i="9"/>
  <c r="C71" i="7"/>
  <c r="B29" i="9"/>
  <c r="C70" i="7"/>
  <c r="B22" i="9"/>
  <c r="C69" i="7"/>
  <c r="D15" i="9"/>
  <c r="E68" i="7"/>
  <c r="E84"/>
  <c r="B15" i="9"/>
  <c r="C68" i="7"/>
  <c r="B74"/>
  <c r="B75"/>
  <c r="B73"/>
  <c r="B72"/>
  <c r="B71"/>
  <c r="B70"/>
  <c r="B69"/>
  <c r="B68"/>
  <c r="J6" i="24"/>
  <c r="D33" i="11"/>
  <c r="D22" i="21"/>
  <c r="D33" i="10"/>
  <c r="D20" i="21"/>
  <c r="D73" i="10"/>
  <c r="D21" i="21"/>
  <c r="D33" i="8"/>
  <c r="D18" i="21"/>
  <c r="C96" i="8"/>
  <c r="B77"/>
  <c r="D73"/>
  <c r="D19" i="21"/>
  <c r="C7" i="5"/>
  <c r="C8"/>
  <c r="C73" i="13"/>
  <c r="G78"/>
  <c r="C60"/>
  <c r="C61"/>
  <c r="C74"/>
  <c r="D73"/>
  <c r="D27" i="21"/>
  <c r="C96" i="13"/>
  <c r="C33"/>
  <c r="B26" i="21"/>
  <c r="C20" i="13"/>
  <c r="C21"/>
  <c r="D33"/>
  <c r="D26" i="21"/>
  <c r="C73" i="12"/>
  <c r="B25" i="21"/>
  <c r="C60" i="12"/>
  <c r="C61"/>
  <c r="D73"/>
  <c r="D25" i="21"/>
  <c r="C96" i="12"/>
  <c r="C33"/>
  <c r="G38"/>
  <c r="B24" i="21"/>
  <c r="C20" i="12"/>
  <c r="D33"/>
  <c r="D24" i="21"/>
  <c r="C94" i="12"/>
  <c r="B37"/>
  <c r="C73" i="11"/>
  <c r="B23" i="21"/>
  <c r="C60" i="11"/>
  <c r="C61"/>
  <c r="D73"/>
  <c r="D23" i="21"/>
  <c r="C33" i="11"/>
  <c r="G38"/>
  <c r="C20"/>
  <c r="C21"/>
  <c r="C34"/>
  <c r="C73" i="10"/>
  <c r="G78"/>
  <c r="C60"/>
  <c r="C61"/>
  <c r="C74"/>
  <c r="C33"/>
  <c r="G38"/>
  <c r="C20"/>
  <c r="C21"/>
  <c r="C73" i="8"/>
  <c r="B19" i="21"/>
  <c r="C60" i="8"/>
  <c r="C61"/>
  <c r="C74"/>
  <c r="C33"/>
  <c r="B18" i="21"/>
  <c r="C20" i="8"/>
  <c r="C21"/>
  <c r="C34"/>
  <c r="C56" i="7"/>
  <c r="C57"/>
  <c r="C66"/>
  <c r="E1" i="13"/>
  <c r="E44"/>
  <c r="E1" i="12"/>
  <c r="D44"/>
  <c r="C40"/>
  <c r="E1" i="11"/>
  <c r="E44"/>
  <c r="E1" i="10"/>
  <c r="D44"/>
  <c r="E1" i="8"/>
  <c r="E44"/>
  <c r="E1" i="7"/>
  <c r="E65"/>
  <c r="E1" i="14"/>
  <c r="D38"/>
  <c r="E1" i="15"/>
  <c r="E36"/>
  <c r="E1" i="16"/>
  <c r="D36"/>
  <c r="E1" i="17"/>
  <c r="E36"/>
  <c r="E1" i="18"/>
  <c r="D36"/>
  <c r="E1" i="19"/>
  <c r="E36"/>
  <c r="E1" i="37"/>
  <c r="E5"/>
  <c r="E1" i="38"/>
  <c r="E5"/>
  <c r="F1" i="44"/>
  <c r="A32"/>
  <c r="E15" i="2"/>
  <c r="G16"/>
  <c r="D15"/>
  <c r="A55"/>
  <c r="J28" i="42"/>
  <c r="J17"/>
  <c r="J18"/>
  <c r="H28"/>
  <c r="H17"/>
  <c r="H18"/>
  <c r="H29"/>
  <c r="H30"/>
  <c r="F28"/>
  <c r="F17"/>
  <c r="F18"/>
  <c r="F29"/>
  <c r="F30"/>
  <c r="D28"/>
  <c r="D17"/>
  <c r="D18"/>
  <c r="B28"/>
  <c r="B17"/>
  <c r="B18"/>
  <c r="J28" i="41"/>
  <c r="J17"/>
  <c r="J18"/>
  <c r="J29"/>
  <c r="J30"/>
  <c r="H28"/>
  <c r="H17"/>
  <c r="H18"/>
  <c r="F28"/>
  <c r="F17"/>
  <c r="F18"/>
  <c r="F29"/>
  <c r="F30"/>
  <c r="D28"/>
  <c r="D17"/>
  <c r="D18"/>
  <c r="B28"/>
  <c r="B17"/>
  <c r="B18"/>
  <c r="J28" i="40"/>
  <c r="J17"/>
  <c r="J18"/>
  <c r="J29"/>
  <c r="J30"/>
  <c r="H28"/>
  <c r="H17"/>
  <c r="H18"/>
  <c r="H29"/>
  <c r="H30"/>
  <c r="F17"/>
  <c r="F18"/>
  <c r="F28"/>
  <c r="D17"/>
  <c r="D18"/>
  <c r="D28"/>
  <c r="B17"/>
  <c r="B18"/>
  <c r="B28"/>
  <c r="J17" i="39"/>
  <c r="J18"/>
  <c r="J29"/>
  <c r="J30"/>
  <c r="J28"/>
  <c r="H17"/>
  <c r="H18"/>
  <c r="H28"/>
  <c r="F17"/>
  <c r="F18"/>
  <c r="F28"/>
  <c r="D17"/>
  <c r="D18"/>
  <c r="D28"/>
  <c r="B28"/>
  <c r="K28"/>
  <c r="B48" i="21"/>
  <c r="B17" i="39"/>
  <c r="B18"/>
  <c r="I5" i="42"/>
  <c r="G5"/>
  <c r="E5"/>
  <c r="C5"/>
  <c r="A5"/>
  <c r="E28" i="24"/>
  <c r="G11"/>
  <c r="E14"/>
  <c r="E15"/>
  <c r="G16"/>
  <c r="E19"/>
  <c r="E20"/>
  <c r="E21"/>
  <c r="G24"/>
  <c r="K1" i="42"/>
  <c r="F2"/>
  <c r="K1" i="41"/>
  <c r="F2"/>
  <c r="K1" i="40"/>
  <c r="F2"/>
  <c r="K1" i="39"/>
  <c r="F2"/>
  <c r="H2" i="21"/>
  <c r="J62"/>
  <c r="E1" i="43"/>
  <c r="A46"/>
  <c r="D60" i="3"/>
  <c r="E9" i="14"/>
  <c r="D9"/>
  <c r="D22" i="5"/>
  <c r="E23"/>
  <c r="F24"/>
  <c r="E15" i="7"/>
  <c r="E16"/>
  <c r="E14"/>
  <c r="D6" i="44"/>
  <c r="E6"/>
  <c r="D7"/>
  <c r="E7"/>
  <c r="E30" i="34"/>
  <c r="E33"/>
  <c r="D8" i="44"/>
  <c r="E8"/>
  <c r="D9"/>
  <c r="E9"/>
  <c r="E30" i="8"/>
  <c r="E33"/>
  <c r="D10" i="44"/>
  <c r="E10"/>
  <c r="E70" i="8"/>
  <c r="E73"/>
  <c r="D11" i="44"/>
  <c r="E11"/>
  <c r="E30" i="10"/>
  <c r="E33"/>
  <c r="D12" i="44"/>
  <c r="E12"/>
  <c r="E70" i="10"/>
  <c r="E73"/>
  <c r="D13" i="44"/>
  <c r="E13"/>
  <c r="E30" i="11"/>
  <c r="E33"/>
  <c r="D14" i="44"/>
  <c r="E14"/>
  <c r="E70" i="11"/>
  <c r="E73"/>
  <c r="D15" i="44"/>
  <c r="E15"/>
  <c r="E30" i="12"/>
  <c r="E33"/>
  <c r="D17" i="44"/>
  <c r="E17"/>
  <c r="D16"/>
  <c r="E16"/>
  <c r="E70" i="12"/>
  <c r="E73"/>
  <c r="A1" i="44"/>
  <c r="B7"/>
  <c r="B6"/>
  <c r="E15" i="18"/>
  <c r="E14"/>
  <c r="D15"/>
  <c r="D14"/>
  <c r="C15"/>
  <c r="C14"/>
  <c r="C55" i="7"/>
  <c r="E48" i="14"/>
  <c r="D48"/>
  <c r="D47"/>
  <c r="C48"/>
  <c r="E19" i="38"/>
  <c r="E18"/>
  <c r="D19"/>
  <c r="D18"/>
  <c r="C19"/>
  <c r="C18"/>
  <c r="E46"/>
  <c r="D46"/>
  <c r="C46"/>
  <c r="E19" i="37"/>
  <c r="E18"/>
  <c r="D19"/>
  <c r="D18"/>
  <c r="C19"/>
  <c r="C18"/>
  <c r="E46"/>
  <c r="E19" i="36"/>
  <c r="E18"/>
  <c r="D19"/>
  <c r="D18"/>
  <c r="C19"/>
  <c r="C18"/>
  <c r="E46"/>
  <c r="E19" i="35"/>
  <c r="E18"/>
  <c r="D19"/>
  <c r="D18"/>
  <c r="C19"/>
  <c r="C18"/>
  <c r="E46"/>
  <c r="D46"/>
  <c r="C46"/>
  <c r="E58" i="19"/>
  <c r="D58"/>
  <c r="C58"/>
  <c r="E46"/>
  <c r="E45"/>
  <c r="D46"/>
  <c r="D45"/>
  <c r="C46"/>
  <c r="C45"/>
  <c r="E15"/>
  <c r="E14"/>
  <c r="D15"/>
  <c r="D14"/>
  <c r="C15"/>
  <c r="C14"/>
  <c r="E27"/>
  <c r="D27"/>
  <c r="C27"/>
  <c r="E58" i="18"/>
  <c r="D58"/>
  <c r="C58"/>
  <c r="E46"/>
  <c r="E45"/>
  <c r="D46"/>
  <c r="D45"/>
  <c r="C46"/>
  <c r="C45"/>
  <c r="E27"/>
  <c r="D27"/>
  <c r="C27"/>
  <c r="E58" i="17"/>
  <c r="D58"/>
  <c r="C58"/>
  <c r="E46"/>
  <c r="E45"/>
  <c r="D46"/>
  <c r="D45"/>
  <c r="C46"/>
  <c r="C45"/>
  <c r="E15"/>
  <c r="E14"/>
  <c r="D15"/>
  <c r="D14"/>
  <c r="C15"/>
  <c r="C14"/>
  <c r="E27"/>
  <c r="D27"/>
  <c r="C27"/>
  <c r="E15" i="16"/>
  <c r="E14"/>
  <c r="D15"/>
  <c r="D14"/>
  <c r="C15"/>
  <c r="C14"/>
  <c r="E27"/>
  <c r="D27"/>
  <c r="E46"/>
  <c r="E45"/>
  <c r="D46"/>
  <c r="D45"/>
  <c r="C46"/>
  <c r="C45"/>
  <c r="E58"/>
  <c r="D58"/>
  <c r="C58"/>
  <c r="E15" i="15"/>
  <c r="E14"/>
  <c r="D15"/>
  <c r="D14"/>
  <c r="C15"/>
  <c r="C14"/>
  <c r="D27"/>
  <c r="E46"/>
  <c r="E45"/>
  <c r="D46"/>
  <c r="D45"/>
  <c r="C46"/>
  <c r="C45"/>
  <c r="C58"/>
  <c r="E8" i="14"/>
  <c r="D8"/>
  <c r="D17"/>
  <c r="C16"/>
  <c r="E29"/>
  <c r="D29"/>
  <c r="D72" i="13"/>
  <c r="C72"/>
  <c r="C59"/>
  <c r="C19"/>
  <c r="D32"/>
  <c r="C32"/>
  <c r="D72" i="12"/>
  <c r="C72"/>
  <c r="C59"/>
  <c r="D32"/>
  <c r="C32"/>
  <c r="D72" i="11"/>
  <c r="C59"/>
  <c r="C19"/>
  <c r="D72" i="10"/>
  <c r="C72"/>
  <c r="C59"/>
  <c r="C19"/>
  <c r="D32"/>
  <c r="C32"/>
  <c r="D72" i="8"/>
  <c r="C72"/>
  <c r="C59"/>
  <c r="D32"/>
  <c r="C32"/>
  <c r="C19"/>
  <c r="D26" i="44"/>
  <c r="D28"/>
  <c r="E5"/>
  <c r="D5"/>
  <c r="E1" i="35"/>
  <c r="E5"/>
  <c r="E1" i="36"/>
  <c r="D5"/>
  <c r="C20" i="37"/>
  <c r="C48"/>
  <c r="C20" i="36"/>
  <c r="C48"/>
  <c r="C20" i="35"/>
  <c r="C16" i="19"/>
  <c r="C29"/>
  <c r="C16" i="18"/>
  <c r="C29"/>
  <c r="C47" i="17"/>
  <c r="C60"/>
  <c r="A92" i="43"/>
  <c r="A91"/>
  <c r="A90"/>
  <c r="A89"/>
  <c r="A83"/>
  <c r="A82"/>
  <c r="A81"/>
  <c r="A80"/>
  <c r="A79"/>
  <c r="A78"/>
  <c r="A77"/>
  <c r="A76"/>
  <c r="A75"/>
  <c r="A74"/>
  <c r="A73"/>
  <c r="A61"/>
  <c r="A60"/>
  <c r="C26" i="21"/>
  <c r="C25"/>
  <c r="C24"/>
  <c r="C23"/>
  <c r="C22"/>
  <c r="C21"/>
  <c r="C20"/>
  <c r="C19"/>
  <c r="C18"/>
  <c r="C17"/>
  <c r="G1" i="5"/>
  <c r="C6"/>
  <c r="D26" i="32"/>
  <c r="B53" i="21"/>
  <c r="B56" i="3"/>
  <c r="B55"/>
  <c r="B54"/>
  <c r="B53"/>
  <c r="A51" i="21"/>
  <c r="A50"/>
  <c r="A49"/>
  <c r="A48"/>
  <c r="M1" i="22"/>
  <c r="G7"/>
  <c r="D103" i="2"/>
  <c r="E103"/>
  <c r="A13"/>
  <c r="A102"/>
  <c r="K28" i="42"/>
  <c r="B51" i="21"/>
  <c r="K28" i="41"/>
  <c r="B50" i="21"/>
  <c r="K28" i="40"/>
  <c r="B49" i="21"/>
  <c r="K7" i="42"/>
  <c r="K17"/>
  <c r="A1"/>
  <c r="A1" i="41"/>
  <c r="A1" i="40"/>
  <c r="A1" i="39"/>
  <c r="B1" i="22"/>
  <c r="J1" i="24"/>
  <c r="B38"/>
  <c r="A31" i="2"/>
  <c r="A21" i="33"/>
  <c r="A27"/>
  <c r="A15"/>
  <c r="A4"/>
  <c r="F26" i="32"/>
  <c r="F28"/>
  <c r="E26"/>
  <c r="D53" i="21"/>
  <c r="D28" i="32"/>
  <c r="G32" i="22"/>
  <c r="G42"/>
  <c r="G20"/>
  <c r="F60" i="21"/>
  <c r="E26"/>
  <c r="G44" i="13"/>
  <c r="E25" i="21"/>
  <c r="G84" i="12"/>
  <c r="E24" i="21"/>
  <c r="G44" i="12"/>
  <c r="E23" i="21"/>
  <c r="G84" i="11"/>
  <c r="E22" i="21"/>
  <c r="G44" i="11"/>
  <c r="E21" i="21"/>
  <c r="G84" i="10"/>
  <c r="E20" i="21"/>
  <c r="G44" i="10"/>
  <c r="E19" i="21"/>
  <c r="G84" i="8"/>
  <c r="E18" i="21"/>
  <c r="E17"/>
  <c r="E29" i="57"/>
  <c r="E16" i="21"/>
  <c r="G44" i="34"/>
  <c r="E15" i="21"/>
  <c r="G122" i="7"/>
  <c r="F47" i="21"/>
  <c r="F46"/>
  <c r="F45"/>
  <c r="F44"/>
  <c r="D47"/>
  <c r="D46"/>
  <c r="D45"/>
  <c r="D44"/>
  <c r="B47"/>
  <c r="B46"/>
  <c r="B45"/>
  <c r="B44"/>
  <c r="E52" i="3"/>
  <c r="E51"/>
  <c r="E50"/>
  <c r="E49"/>
  <c r="D56"/>
  <c r="D55"/>
  <c r="D54"/>
  <c r="D53"/>
  <c r="D52"/>
  <c r="D51"/>
  <c r="D50"/>
  <c r="D49"/>
  <c r="A16" i="21"/>
  <c r="C16"/>
  <c r="A43"/>
  <c r="B48" i="3"/>
  <c r="C21"/>
  <c r="B8" i="5"/>
  <c r="B1"/>
  <c r="G1" i="32"/>
  <c r="E7"/>
  <c r="B1"/>
  <c r="M20" i="22"/>
  <c r="M32"/>
  <c r="M42"/>
  <c r="M43"/>
  <c r="L20"/>
  <c r="L32"/>
  <c r="L42"/>
  <c r="L43"/>
  <c r="K20"/>
  <c r="K32"/>
  <c r="K42"/>
  <c r="K43"/>
  <c r="J20"/>
  <c r="J32"/>
  <c r="J42"/>
  <c r="J43"/>
  <c r="I1" i="23"/>
  <c r="G9"/>
  <c r="D1" i="9"/>
  <c r="C5"/>
  <c r="C73"/>
  <c r="I1" i="3"/>
  <c r="G60"/>
  <c r="B2"/>
  <c r="A1" i="43"/>
  <c r="B5" i="35"/>
  <c r="B1"/>
  <c r="B5" i="36"/>
  <c r="B1"/>
  <c r="B5" i="37"/>
  <c r="B1"/>
  <c r="B5" i="38"/>
  <c r="B1"/>
  <c r="I5" i="41"/>
  <c r="G5"/>
  <c r="E5"/>
  <c r="C5"/>
  <c r="A5"/>
  <c r="I5" i="40"/>
  <c r="G5"/>
  <c r="E5"/>
  <c r="C5"/>
  <c r="A5"/>
  <c r="I5" i="39"/>
  <c r="G5"/>
  <c r="E5"/>
  <c r="C5"/>
  <c r="A5"/>
  <c r="B85" i="2"/>
  <c r="A83"/>
  <c r="D83"/>
  <c r="A52" i="43"/>
  <c r="A16"/>
  <c r="K7" i="41"/>
  <c r="K17"/>
  <c r="K7" i="40"/>
  <c r="K17"/>
  <c r="K7" i="39"/>
  <c r="K17"/>
  <c r="A7" i="33"/>
  <c r="A13"/>
  <c r="A47" i="21"/>
  <c r="A46"/>
  <c r="A45"/>
  <c r="B52" i="3"/>
  <c r="B51"/>
  <c r="B50"/>
  <c r="C20"/>
  <c r="D43"/>
  <c r="D42"/>
  <c r="D41"/>
  <c r="D40"/>
  <c r="D39"/>
  <c r="D38"/>
  <c r="D37"/>
  <c r="D36"/>
  <c r="D35"/>
  <c r="D34"/>
  <c r="D33"/>
  <c r="B49"/>
  <c r="B43"/>
  <c r="B42"/>
  <c r="B41"/>
  <c r="B40"/>
  <c r="B39"/>
  <c r="B38"/>
  <c r="B37"/>
  <c r="B36"/>
  <c r="B35"/>
  <c r="B34"/>
  <c r="B33"/>
  <c r="D59"/>
  <c r="B4"/>
  <c r="E33"/>
  <c r="E35"/>
  <c r="E38"/>
  <c r="E40"/>
  <c r="E39"/>
  <c r="E42"/>
  <c r="E41"/>
  <c r="E43"/>
  <c r="C1" i="24"/>
  <c r="A1" i="9"/>
  <c r="A69"/>
  <c r="B65"/>
  <c r="B132"/>
  <c r="B65" i="7"/>
  <c r="B61"/>
  <c r="B6"/>
  <c r="B1"/>
  <c r="B84" i="2"/>
  <c r="B1" i="23"/>
  <c r="I28"/>
  <c r="H28"/>
  <c r="G28"/>
  <c r="F63" i="21"/>
  <c r="B7" i="5"/>
  <c r="B1" i="12"/>
  <c r="B1" i="13"/>
  <c r="B36" i="15"/>
  <c r="B5"/>
  <c r="B1"/>
  <c r="B36" i="16"/>
  <c r="B5"/>
  <c r="B1"/>
  <c r="B36" i="17"/>
  <c r="B5"/>
  <c r="B1"/>
  <c r="B36" i="18"/>
  <c r="B5"/>
  <c r="B1"/>
  <c r="B5" i="19"/>
  <c r="B1"/>
  <c r="B1" i="8"/>
  <c r="B1" i="10"/>
  <c r="B1" i="11"/>
  <c r="B38" i="14"/>
  <c r="B5"/>
  <c r="B1"/>
  <c r="A44" i="21"/>
  <c r="A38"/>
  <c r="A37"/>
  <c r="A36"/>
  <c r="A35"/>
  <c r="A34"/>
  <c r="A33"/>
  <c r="A32"/>
  <c r="A31"/>
  <c r="A30"/>
  <c r="A29"/>
  <c r="A28"/>
  <c r="C15"/>
  <c r="C52"/>
  <c r="B38"/>
  <c r="B37"/>
  <c r="B36"/>
  <c r="B35"/>
  <c r="B34"/>
  <c r="B33"/>
  <c r="B31"/>
  <c r="B30"/>
  <c r="D38"/>
  <c r="D37"/>
  <c r="D36"/>
  <c r="D35"/>
  <c r="D34"/>
  <c r="D33"/>
  <c r="D32"/>
  <c r="D30"/>
  <c r="D28"/>
  <c r="F38"/>
  <c r="F37"/>
  <c r="F36"/>
  <c r="F35"/>
  <c r="F34"/>
  <c r="F33"/>
  <c r="F30"/>
  <c r="A4"/>
  <c r="A15"/>
  <c r="C49" i="14"/>
  <c r="C62"/>
  <c r="C47"/>
  <c r="E47"/>
  <c r="C60"/>
  <c r="E34" i="3"/>
  <c r="C32" i="11"/>
  <c r="D32"/>
  <c r="C14" i="24"/>
  <c r="E17" i="14"/>
  <c r="E16"/>
  <c r="A15" i="43"/>
  <c r="B49" i="35"/>
  <c r="B49" i="37"/>
  <c r="B35" i="12"/>
  <c r="B35" i="10"/>
  <c r="B113" i="7"/>
  <c r="E9" i="3"/>
  <c r="B8"/>
  <c r="C80" i="13"/>
  <c r="D131" i="9"/>
  <c r="A22" i="44"/>
  <c r="B3"/>
  <c r="F10" i="3"/>
  <c r="B7"/>
  <c r="D7" i="32"/>
  <c r="B30" i="15"/>
  <c r="C5" i="44"/>
  <c r="B13" i="3"/>
  <c r="B30" i="17"/>
  <c r="D33" i="14"/>
  <c r="C31" i="17"/>
  <c r="C31" i="16"/>
  <c r="C31" i="15"/>
  <c r="C48" i="35"/>
  <c r="C51"/>
  <c r="C50" i="36"/>
  <c r="K30" i="40"/>
  <c r="K30" i="41"/>
  <c r="K30" i="42"/>
  <c r="D31" i="15"/>
  <c r="D31" i="16"/>
  <c r="C63" i="17"/>
  <c r="D37"/>
  <c r="D47"/>
  <c r="D60"/>
  <c r="D31"/>
  <c r="C62" i="18"/>
  <c r="D29" i="39"/>
  <c r="D30"/>
  <c r="J5" i="24"/>
  <c r="J7"/>
  <c r="D62" i="54"/>
  <c r="C14"/>
  <c r="B30"/>
  <c r="C45"/>
  <c r="C27" i="53"/>
  <c r="C58"/>
  <c r="B5" i="44"/>
  <c r="B30" i="18"/>
  <c r="B32" i="14"/>
  <c r="B75" i="8"/>
  <c r="B24" i="24"/>
  <c r="F7" i="32"/>
  <c r="B35" i="8"/>
  <c r="B30" i="16"/>
  <c r="B11" i="24"/>
  <c r="G13" i="21"/>
  <c r="A42" i="24"/>
  <c r="B12" i="21"/>
  <c r="D50" i="37"/>
  <c r="C80" i="8"/>
  <c r="C64" i="14"/>
  <c r="C47" i="15"/>
  <c r="C60"/>
  <c r="D37"/>
  <c r="C62"/>
  <c r="C47" i="16"/>
  <c r="C60"/>
  <c r="C47" i="18"/>
  <c r="C60"/>
  <c r="B61" i="53"/>
  <c r="C62" i="54"/>
  <c r="D50" i="36"/>
  <c r="B49"/>
  <c r="D46" i="37"/>
  <c r="C20" i="38"/>
  <c r="C48"/>
  <c r="D27" i="54"/>
  <c r="C27"/>
  <c r="C62" i="53"/>
  <c r="D93" i="34"/>
  <c r="C31" i="54"/>
  <c r="D31"/>
  <c r="D62" i="53"/>
  <c r="D31"/>
  <c r="C14"/>
  <c r="G38" i="34"/>
  <c r="C19"/>
  <c r="H33"/>
  <c r="H35"/>
  <c r="H38"/>
  <c r="J45" i="21"/>
  <c r="B75" i="34"/>
  <c r="G31"/>
  <c r="H34"/>
  <c r="H36"/>
  <c r="H39"/>
  <c r="J41" i="21"/>
  <c r="G109" i="7"/>
  <c r="D5" i="5"/>
  <c r="A6" i="43"/>
  <c r="C58"/>
  <c r="B35" i="13"/>
  <c r="B75"/>
  <c r="J6" i="22"/>
  <c r="I9" i="23"/>
  <c r="B75" i="11"/>
  <c r="L6" i="22"/>
  <c r="C80" i="12"/>
  <c r="B75" i="10"/>
  <c r="B75" i="12"/>
  <c r="C80" i="10"/>
  <c r="A7" i="43"/>
  <c r="A14"/>
  <c r="A19"/>
  <c r="A51"/>
  <c r="A53"/>
  <c r="A38"/>
  <c r="A36"/>
  <c r="C118" i="7"/>
  <c r="H112"/>
  <c r="H114"/>
  <c r="H117"/>
  <c r="G102"/>
  <c r="H111"/>
  <c r="H113"/>
  <c r="H116"/>
  <c r="J52" i="21"/>
  <c r="B59"/>
  <c r="F59"/>
  <c r="C34" i="10"/>
  <c r="C95"/>
  <c r="C93" i="34"/>
  <c r="B37"/>
  <c r="A57" i="43"/>
  <c r="C20" i="5"/>
  <c r="E27"/>
  <c r="E9"/>
  <c r="E8"/>
  <c r="E11" i="34"/>
  <c r="M62" i="21"/>
  <c r="M43"/>
  <c r="B16"/>
  <c r="B17"/>
  <c r="D72" i="34"/>
  <c r="C94" i="8"/>
  <c r="B37"/>
  <c r="C94" i="10"/>
  <c r="B37"/>
  <c r="E70" i="13"/>
  <c r="E73"/>
  <c r="E30"/>
  <c r="E33"/>
  <c r="E108" i="7"/>
  <c r="F53" i="21"/>
  <c r="E28" i="32"/>
  <c r="G23" i="52"/>
  <c r="D19" i="44"/>
  <c r="J103" i="55"/>
  <c r="J83"/>
  <c r="J123"/>
  <c r="C69" i="3"/>
  <c r="J54" i="21"/>
  <c r="J60"/>
  <c r="J63"/>
  <c r="J48"/>
  <c r="B6" i="5"/>
  <c r="B58" i="43"/>
  <c r="J47" i="21"/>
  <c r="J55"/>
  <c r="J61"/>
  <c r="H121" i="7"/>
  <c r="H123"/>
  <c r="G24" i="34"/>
  <c r="H44"/>
  <c r="H46"/>
  <c r="G64"/>
  <c r="G71"/>
  <c r="H75"/>
  <c r="H76"/>
  <c r="H79"/>
  <c r="H84"/>
  <c r="H86"/>
  <c r="G24" i="8"/>
  <c r="G31"/>
  <c r="H35"/>
  <c r="H36"/>
  <c r="H39"/>
  <c r="H44"/>
  <c r="H46"/>
  <c r="G31" i="10"/>
  <c r="H33"/>
  <c r="H34"/>
  <c r="H35"/>
  <c r="H36"/>
  <c r="H38"/>
  <c r="H43"/>
  <c r="H45"/>
  <c r="G24" i="11"/>
  <c r="G31"/>
  <c r="H33"/>
  <c r="H34"/>
  <c r="H35"/>
  <c r="H36"/>
  <c r="H38"/>
  <c r="H43"/>
  <c r="H45"/>
  <c r="G24" i="12"/>
  <c r="G28"/>
  <c r="H39"/>
  <c r="H44"/>
  <c r="H46"/>
  <c r="G68" i="8"/>
  <c r="H79"/>
  <c r="H84"/>
  <c r="H86"/>
  <c r="G68" i="10"/>
  <c r="H79"/>
  <c r="H84"/>
  <c r="H86"/>
  <c r="G68" i="11"/>
  <c r="H79"/>
  <c r="H84"/>
  <c r="H86"/>
  <c r="G68" i="12"/>
  <c r="H79"/>
  <c r="H84"/>
  <c r="H86"/>
  <c r="G68" i="13"/>
  <c r="H79"/>
  <c r="H84"/>
  <c r="H86"/>
  <c r="D8" i="5"/>
  <c r="E10" i="34"/>
  <c r="A9" i="21"/>
  <c r="G106" i="7"/>
  <c r="H122"/>
  <c r="G28" i="34"/>
  <c r="H43"/>
  <c r="H45"/>
  <c r="G68"/>
  <c r="H73"/>
  <c r="H74"/>
  <c r="H78"/>
  <c r="H83"/>
  <c r="H85"/>
  <c r="G28" i="8"/>
  <c r="H33"/>
  <c r="H34"/>
  <c r="H38"/>
  <c r="H43"/>
  <c r="H45"/>
  <c r="G24" i="10"/>
  <c r="G28"/>
  <c r="H39"/>
  <c r="H44"/>
  <c r="H46"/>
  <c r="G28" i="11"/>
  <c r="H39"/>
  <c r="H44"/>
  <c r="H46"/>
  <c r="G31" i="12"/>
  <c r="H33"/>
  <c r="H34"/>
  <c r="H35"/>
  <c r="H36"/>
  <c r="H38"/>
  <c r="H43"/>
  <c r="H45"/>
  <c r="G64" i="8"/>
  <c r="G71"/>
  <c r="H73"/>
  <c r="H74"/>
  <c r="H75"/>
  <c r="H76"/>
  <c r="H78"/>
  <c r="H83"/>
  <c r="H85"/>
  <c r="G64" i="10"/>
  <c r="G71"/>
  <c r="H73"/>
  <c r="H74"/>
  <c r="H75"/>
  <c r="H76"/>
  <c r="H78"/>
  <c r="H83"/>
  <c r="G64" i="11"/>
  <c r="G71"/>
  <c r="H73"/>
  <c r="H74"/>
  <c r="H75"/>
  <c r="H76"/>
  <c r="H78"/>
  <c r="H83"/>
  <c r="H85"/>
  <c r="G64" i="12"/>
  <c r="G71"/>
  <c r="H73"/>
  <c r="H74"/>
  <c r="H75"/>
  <c r="H76"/>
  <c r="H78"/>
  <c r="H83"/>
  <c r="H85"/>
  <c r="G64" i="13"/>
  <c r="G71"/>
  <c r="H73"/>
  <c r="H74"/>
  <c r="H75"/>
  <c r="H76"/>
  <c r="H78"/>
  <c r="H83"/>
  <c r="H85"/>
  <c r="D17" i="21"/>
  <c r="D16"/>
  <c r="G38" i="8"/>
  <c r="B77" i="13"/>
  <c r="G24"/>
  <c r="G28"/>
  <c r="G38"/>
  <c r="H39"/>
  <c r="H43"/>
  <c r="H44"/>
  <c r="H45"/>
  <c r="H46"/>
  <c r="C94"/>
  <c r="B37"/>
  <c r="G31"/>
  <c r="H33"/>
  <c r="H34"/>
  <c r="H35"/>
  <c r="H36"/>
  <c r="H38"/>
  <c r="C95" i="34"/>
  <c r="C72"/>
  <c r="B47" i="57"/>
  <c r="B84"/>
  <c r="B91"/>
  <c r="B46"/>
  <c r="D6" i="10"/>
  <c r="B35" i="11"/>
  <c r="C80"/>
  <c r="C72"/>
  <c r="F28" i="5"/>
  <c r="F10"/>
  <c r="F8"/>
  <c r="E12" i="34"/>
  <c r="D11" i="5"/>
  <c r="E49" i="8"/>
  <c r="F11" i="5"/>
  <c r="E51" i="8"/>
  <c r="D13" i="5"/>
  <c r="E49" i="10"/>
  <c r="F13" i="5"/>
  <c r="E51" i="10"/>
  <c r="D15" i="5"/>
  <c r="E49" i="11"/>
  <c r="F15" i="5"/>
  <c r="E51" i="11"/>
  <c r="D17" i="5"/>
  <c r="E49" i="12"/>
  <c r="F17" i="5"/>
  <c r="E51" i="12"/>
  <c r="D19" i="5"/>
  <c r="E49" i="13"/>
  <c r="F19" i="5"/>
  <c r="E51" i="13"/>
  <c r="D10" i="5"/>
  <c r="E10" i="8"/>
  <c r="D12" i="5"/>
  <c r="E10" i="10"/>
  <c r="D14" i="5"/>
  <c r="E10" i="11"/>
  <c r="D16" i="5"/>
  <c r="E10" i="12"/>
  <c r="D18" i="5"/>
  <c r="E10" i="13"/>
  <c r="F16" i="5"/>
  <c r="E12" i="12"/>
  <c r="F12" i="5"/>
  <c r="E12" i="10"/>
  <c r="D29" i="42"/>
  <c r="D30"/>
  <c r="F29" i="40"/>
  <c r="F30"/>
  <c r="B29"/>
  <c r="B30"/>
  <c r="D6" i="37"/>
  <c r="D20"/>
  <c r="D48"/>
  <c r="E6"/>
  <c r="C51"/>
  <c r="C16" i="16"/>
  <c r="C29"/>
  <c r="G78" i="8"/>
  <c r="B20" i="21"/>
  <c r="B21"/>
  <c r="C94" i="11"/>
  <c r="B22" i="21"/>
  <c r="C74" i="11"/>
  <c r="C97"/>
  <c r="G78"/>
  <c r="C74" i="12"/>
  <c r="D45"/>
  <c r="G78"/>
  <c r="B27" i="21"/>
  <c r="D45" i="11"/>
  <c r="C97" i="12"/>
  <c r="E70" i="34"/>
  <c r="E73"/>
  <c r="E19" i="44"/>
  <c r="D20" i="3"/>
  <c r="F9" i="5"/>
  <c r="E51" i="34"/>
  <c r="G19" i="57"/>
  <c r="G44" i="8"/>
  <c r="C50" i="37"/>
  <c r="C62" i="16"/>
  <c r="C31" i="19"/>
  <c r="C80" i="34"/>
  <c r="D5" i="38"/>
  <c r="C6" i="7"/>
  <c r="E6"/>
  <c r="D65"/>
  <c r="B5" i="9"/>
  <c r="B73"/>
  <c r="D5"/>
  <c r="D73"/>
  <c r="D5" i="37"/>
  <c r="C5" i="36"/>
  <c r="E5"/>
  <c r="D5" i="35"/>
  <c r="C5" i="54"/>
  <c r="E5"/>
  <c r="D5" i="53"/>
  <c r="C5" i="19"/>
  <c r="E5"/>
  <c r="D5" i="18"/>
  <c r="C5" i="17"/>
  <c r="E5"/>
  <c r="D5" i="16"/>
  <c r="C5" i="15"/>
  <c r="E5"/>
  <c r="D5" i="14"/>
  <c r="C5" i="13"/>
  <c r="E5"/>
  <c r="D5" i="12"/>
  <c r="C5" i="11"/>
  <c r="E5"/>
  <c r="D5" i="10"/>
  <c r="C5" i="8"/>
  <c r="E5"/>
  <c r="D5" i="34"/>
  <c r="C44"/>
  <c r="E44"/>
  <c r="D44" i="8"/>
  <c r="C44" i="10"/>
  <c r="E44"/>
  <c r="D44" i="11"/>
  <c r="C44" i="12"/>
  <c r="E44"/>
  <c r="D44" i="13"/>
  <c r="C38" i="14"/>
  <c r="E38"/>
  <c r="D36" i="15"/>
  <c r="C36" i="16"/>
  <c r="E36"/>
  <c r="D36" i="17"/>
  <c r="C36" i="18"/>
  <c r="E36"/>
  <c r="D36" i="19"/>
  <c r="C36" i="53"/>
  <c r="E36"/>
  <c r="D36" i="54"/>
  <c r="F12" i="21"/>
  <c r="D69" i="9"/>
  <c r="B61" i="19"/>
  <c r="B61" i="18"/>
  <c r="B61" i="17"/>
  <c r="B61" i="16"/>
  <c r="B61" i="15"/>
  <c r="B63" i="14"/>
  <c r="H124" i="7"/>
  <c r="C40" i="8"/>
  <c r="B61" i="54"/>
  <c r="B35" i="34"/>
  <c r="C40"/>
  <c r="C5" i="38"/>
  <c r="D6" i="7"/>
  <c r="C65"/>
  <c r="C5" i="37"/>
  <c r="C5" i="35"/>
  <c r="D5" i="54"/>
  <c r="C5" i="53"/>
  <c r="E5"/>
  <c r="D5" i="19"/>
  <c r="C5" i="18"/>
  <c r="E5"/>
  <c r="D5" i="17"/>
  <c r="C5" i="16"/>
  <c r="E5"/>
  <c r="D5" i="15"/>
  <c r="C5" i="14"/>
  <c r="E5"/>
  <c r="D5" i="13"/>
  <c r="C5" i="12"/>
  <c r="E5"/>
  <c r="D5" i="11"/>
  <c r="C5" i="10"/>
  <c r="E5"/>
  <c r="D5" i="8"/>
  <c r="C5" i="34"/>
  <c r="E5"/>
  <c r="C44" i="8"/>
  <c r="C44" i="11"/>
  <c r="C44" i="13"/>
  <c r="C36" i="15"/>
  <c r="C36" i="17"/>
  <c r="C36" i="19"/>
  <c r="C36" i="54"/>
  <c r="D50" i="38"/>
  <c r="D50" i="35"/>
  <c r="D62" i="17"/>
  <c r="D31" i="19"/>
  <c r="D26" i="5"/>
  <c r="D9"/>
  <c r="E12" i="8"/>
  <c r="E14" i="5"/>
  <c r="E11" i="11"/>
  <c r="E16" i="5"/>
  <c r="E11" i="12"/>
  <c r="E18" i="5"/>
  <c r="E11" i="13"/>
  <c r="E11" i="5"/>
  <c r="E50" i="8"/>
  <c r="E13" i="5"/>
  <c r="E50" i="10"/>
  <c r="E15" i="5"/>
  <c r="E50" i="11"/>
  <c r="E17" i="5"/>
  <c r="E50" i="12"/>
  <c r="E19" i="5"/>
  <c r="E50" i="13"/>
  <c r="E10" i="5"/>
  <c r="E12"/>
  <c r="E11" i="10"/>
  <c r="F18" i="5"/>
  <c r="E12" i="13"/>
  <c r="F14" i="5"/>
  <c r="E12" i="11"/>
  <c r="D6" i="8"/>
  <c r="C95"/>
  <c r="C97"/>
  <c r="D45"/>
  <c r="C97" i="10"/>
  <c r="D45"/>
  <c r="D6" i="11"/>
  <c r="C95"/>
  <c r="C97" i="13"/>
  <c r="D45"/>
  <c r="C34"/>
  <c r="C63" i="15"/>
  <c r="D47"/>
  <c r="C63" i="16"/>
  <c r="D37"/>
  <c r="D47"/>
  <c r="D60"/>
  <c r="E37"/>
  <c r="E47"/>
  <c r="E60"/>
  <c r="E61"/>
  <c r="F32" i="21"/>
  <c r="E37" i="17"/>
  <c r="E47"/>
  <c r="E60"/>
  <c r="E61"/>
  <c r="D63"/>
  <c r="C63" i="18"/>
  <c r="D37"/>
  <c r="D47"/>
  <c r="D60"/>
  <c r="D6"/>
  <c r="D16"/>
  <c r="D29"/>
  <c r="D32"/>
  <c r="C32"/>
  <c r="E44" i="3"/>
  <c r="D6" i="19"/>
  <c r="D16"/>
  <c r="D29"/>
  <c r="C32"/>
  <c r="E58" i="53"/>
  <c r="E46" i="3"/>
  <c r="C63" i="53"/>
  <c r="D37"/>
  <c r="D47"/>
  <c r="D60"/>
  <c r="E45" i="3"/>
  <c r="D6" i="53"/>
  <c r="D16"/>
  <c r="D29"/>
  <c r="D32"/>
  <c r="C32"/>
  <c r="C58" i="54"/>
  <c r="D37"/>
  <c r="D47"/>
  <c r="D60"/>
  <c r="C63"/>
  <c r="E47" i="3"/>
  <c r="E27" i="54"/>
  <c r="D6"/>
  <c r="D16"/>
  <c r="D29"/>
  <c r="C32"/>
  <c r="D6" i="35"/>
  <c r="D20"/>
  <c r="D48"/>
  <c r="E6"/>
  <c r="E20"/>
  <c r="E48"/>
  <c r="E49"/>
  <c r="C51" i="36"/>
  <c r="D6"/>
  <c r="D20"/>
  <c r="D48"/>
  <c r="D51" i="37"/>
  <c r="E20"/>
  <c r="E48"/>
  <c r="E49"/>
  <c r="H29" i="39"/>
  <c r="H30"/>
  <c r="K18" i="40"/>
  <c r="D29"/>
  <c r="D30"/>
  <c r="K18" i="41"/>
  <c r="B29"/>
  <c r="B30"/>
  <c r="D29"/>
  <c r="D30"/>
  <c r="H29"/>
  <c r="H30"/>
  <c r="J29" i="42"/>
  <c r="J30"/>
  <c r="K18"/>
  <c r="B29"/>
  <c r="B30"/>
  <c r="D63" i="16"/>
  <c r="E6" i="18"/>
  <c r="E16"/>
  <c r="E29"/>
  <c r="E30"/>
  <c r="E37" i="53"/>
  <c r="E47"/>
  <c r="E60"/>
  <c r="E61"/>
  <c r="D63"/>
  <c r="E6"/>
  <c r="E16"/>
  <c r="E29"/>
  <c r="E30"/>
  <c r="E37" i="54"/>
  <c r="E47"/>
  <c r="E60"/>
  <c r="E61"/>
  <c r="D63"/>
  <c r="K29" i="40"/>
  <c r="M63" i="21"/>
  <c r="J29" i="11"/>
  <c r="J68" i="10"/>
  <c r="J69"/>
  <c r="J68" i="13"/>
  <c r="J69"/>
  <c r="J68" i="11"/>
  <c r="J69"/>
  <c r="J68" i="12"/>
  <c r="J69"/>
  <c r="J68" i="8"/>
  <c r="J69"/>
  <c r="J68" i="34"/>
  <c r="J69"/>
  <c r="C40" i="10"/>
  <c r="C40" i="11"/>
  <c r="G84" i="34"/>
  <c r="E52" i="21"/>
  <c r="G46" i="10"/>
  <c r="B135" i="9"/>
  <c r="C61" i="34"/>
  <c r="C74"/>
  <c r="C96"/>
  <c r="H9" i="23"/>
  <c r="G86" i="13"/>
  <c r="E11" i="8"/>
  <c r="G46" i="13"/>
  <c r="D60" i="34"/>
  <c r="D59"/>
  <c r="D19"/>
  <c r="D21" i="8"/>
  <c r="D34"/>
  <c r="G33"/>
  <c r="D19"/>
  <c r="D19" i="13"/>
  <c r="D16" i="14"/>
  <c r="D6"/>
  <c r="D18"/>
  <c r="D31"/>
  <c r="D34"/>
  <c r="B29" i="39"/>
  <c r="B30"/>
  <c r="K30"/>
  <c r="K18"/>
  <c r="C16" i="15"/>
  <c r="C29"/>
  <c r="D6"/>
  <c r="D16"/>
  <c r="D29"/>
  <c r="E36" i="3"/>
  <c r="D60" i="15"/>
  <c r="E37"/>
  <c r="E47"/>
  <c r="E60"/>
  <c r="E61"/>
  <c r="D31" i="21"/>
  <c r="D62" i="15"/>
  <c r="F29" i="21"/>
  <c r="G21" i="52"/>
  <c r="G19"/>
  <c r="D29" i="21"/>
  <c r="D64" i="14"/>
  <c r="C33"/>
  <c r="B28" i="21"/>
  <c r="C131" i="9"/>
  <c r="C84" i="7"/>
  <c r="C111"/>
  <c r="D45" i="34"/>
  <c r="D61"/>
  <c r="D74"/>
  <c r="D6"/>
  <c r="D21"/>
  <c r="D34"/>
  <c r="C94"/>
  <c r="C65" i="9"/>
  <c r="C132"/>
  <c r="C133"/>
  <c r="B131"/>
  <c r="B133"/>
  <c r="E6" i="14"/>
  <c r="E18"/>
  <c r="E31"/>
  <c r="E32"/>
  <c r="E6" i="54"/>
  <c r="E16"/>
  <c r="E29"/>
  <c r="E30"/>
  <c r="D32"/>
  <c r="E37" i="18"/>
  <c r="E47"/>
  <c r="E60"/>
  <c r="E61"/>
  <c r="D63"/>
  <c r="E6" i="36"/>
  <c r="E20"/>
  <c r="E48"/>
  <c r="E49"/>
  <c r="D51"/>
  <c r="E6" i="19"/>
  <c r="E16"/>
  <c r="E29"/>
  <c r="E30"/>
  <c r="D32"/>
  <c r="C95" i="13"/>
  <c r="D6"/>
  <c r="D21"/>
  <c r="D34"/>
  <c r="D6" i="38"/>
  <c r="D20"/>
  <c r="D48"/>
  <c r="C51"/>
  <c r="G86" i="34"/>
  <c r="G46"/>
  <c r="G86" i="8"/>
  <c r="G46" i="11"/>
  <c r="G86" i="12"/>
  <c r="K29" i="42"/>
  <c r="D51" i="35"/>
  <c r="K29" i="41"/>
  <c r="C32" i="16"/>
  <c r="D6"/>
  <c r="D16"/>
  <c r="D29"/>
  <c r="C65" i="14"/>
  <c r="D39"/>
  <c r="D49"/>
  <c r="D62"/>
  <c r="C21" i="12"/>
  <c r="C34"/>
  <c r="C19"/>
  <c r="B32" i="21"/>
  <c r="C27" i="16"/>
  <c r="C16" i="17"/>
  <c r="C29"/>
  <c r="C47" i="19"/>
  <c r="C60"/>
  <c r="F29" i="39"/>
  <c r="C50" i="35"/>
  <c r="B39" i="21"/>
  <c r="C62" i="19"/>
  <c r="F43" i="21"/>
  <c r="C32" i="15"/>
  <c r="D63"/>
  <c r="C63" i="19"/>
  <c r="D37"/>
  <c r="D47"/>
  <c r="D60"/>
  <c r="E39" i="14"/>
  <c r="E49"/>
  <c r="E62"/>
  <c r="E63"/>
  <c r="D65"/>
  <c r="E6" i="16"/>
  <c r="E16"/>
  <c r="E29"/>
  <c r="E30"/>
  <c r="D32"/>
  <c r="F30" i="39"/>
  <c r="K29"/>
  <c r="D6" i="17"/>
  <c r="D16"/>
  <c r="D29"/>
  <c r="C32"/>
  <c r="D6" i="12"/>
  <c r="C95"/>
  <c r="E6" i="38"/>
  <c r="E20"/>
  <c r="E48"/>
  <c r="E49"/>
  <c r="D51"/>
  <c r="D32" i="17"/>
  <c r="E6"/>
  <c r="E16"/>
  <c r="E29"/>
  <c r="E30"/>
  <c r="E37" i="19"/>
  <c r="E47"/>
  <c r="E60"/>
  <c r="E61"/>
  <c r="D63"/>
  <c r="J106" i="7"/>
  <c r="J107"/>
  <c r="J105"/>
  <c r="F31" i="21"/>
  <c r="D65" i="9"/>
  <c r="D132"/>
  <c r="D133"/>
  <c r="G18" i="52"/>
  <c r="D19" i="11"/>
  <c r="D21"/>
  <c r="D34"/>
  <c r="E60" i="12"/>
  <c r="G74"/>
  <c r="B37" i="11"/>
  <c r="G22" i="24"/>
  <c r="B49" i="38"/>
  <c r="B77" i="10"/>
  <c r="B77" i="34"/>
  <c r="F76" i="13"/>
  <c r="E72"/>
  <c r="E77"/>
  <c r="E32" i="3"/>
  <c r="F27" i="21"/>
  <c r="D21" i="10"/>
  <c r="D34"/>
  <c r="D19"/>
  <c r="D95" i="13"/>
  <c r="B38"/>
  <c r="E6"/>
  <c r="G33"/>
  <c r="D96" i="34"/>
  <c r="B78"/>
  <c r="E45"/>
  <c r="G73"/>
  <c r="E77"/>
  <c r="F76"/>
  <c r="E22" i="3"/>
  <c r="E72" i="34"/>
  <c r="F17" i="21"/>
  <c r="E31" i="3"/>
  <c r="F36" i="13"/>
  <c r="E37"/>
  <c r="F26" i="21"/>
  <c r="E32" i="13"/>
  <c r="D21" i="12"/>
  <c r="D34"/>
  <c r="D19"/>
  <c r="E20" i="11"/>
  <c r="G26" i="24"/>
  <c r="G30"/>
  <c r="G32"/>
  <c r="J34"/>
  <c r="D84" i="7"/>
  <c r="D111"/>
  <c r="E22" i="57"/>
  <c r="E20" i="13"/>
  <c r="E20" i="8"/>
  <c r="E60" i="11"/>
  <c r="G124" i="7"/>
  <c r="G46" i="8"/>
  <c r="G86" i="11"/>
  <c r="M47" i="21"/>
  <c r="M55"/>
  <c r="F7" i="5"/>
  <c r="G86" i="10"/>
  <c r="G46" i="12"/>
  <c r="E20"/>
  <c r="E20" i="10"/>
  <c r="E20" i="34"/>
  <c r="C15" i="24"/>
  <c r="B9"/>
  <c r="A3"/>
  <c r="B18"/>
  <c r="B5"/>
  <c r="A9" i="43"/>
  <c r="B13" i="24"/>
  <c r="B30" i="19"/>
  <c r="B28" i="24"/>
  <c r="B6"/>
  <c r="A8" i="43"/>
  <c r="A50"/>
  <c r="C31" i="32"/>
  <c r="D12" i="21"/>
  <c r="D59"/>
  <c r="H85" i="10"/>
  <c r="C40" i="13"/>
  <c r="B77" i="12"/>
  <c r="E111" i="7"/>
  <c r="B30" i="53"/>
  <c r="C120" i="7"/>
  <c r="D32" i="15"/>
  <c r="E6"/>
  <c r="E16"/>
  <c r="E29"/>
  <c r="E30"/>
  <c r="F61" i="21"/>
  <c r="F62"/>
  <c r="F64"/>
  <c r="G43" i="22"/>
  <c r="D7" i="5"/>
  <c r="E49" i="34"/>
  <c r="G34" i="12"/>
  <c r="G34" i="10"/>
  <c r="G34" i="34"/>
  <c r="E50"/>
  <c r="G18" i="57"/>
  <c r="E7" i="5"/>
  <c r="F36" i="12"/>
  <c r="E32"/>
  <c r="E37"/>
  <c r="E29" i="3"/>
  <c r="F24" i="21"/>
  <c r="E32" i="11"/>
  <c r="F36"/>
  <c r="E37"/>
  <c r="E27" i="3"/>
  <c r="F22" i="21"/>
  <c r="E37" i="10"/>
  <c r="E25" i="3"/>
  <c r="E32" i="10"/>
  <c r="F36"/>
  <c r="F20" i="21"/>
  <c r="F36" i="8"/>
  <c r="E37"/>
  <c r="E32"/>
  <c r="E23" i="3"/>
  <c r="F18" i="21"/>
  <c r="D61" i="8"/>
  <c r="D74"/>
  <c r="D59"/>
  <c r="D61" i="11"/>
  <c r="D74"/>
  <c r="D59"/>
  <c r="D61" i="13"/>
  <c r="D74"/>
  <c r="D59"/>
  <c r="E110" i="7"/>
  <c r="E115"/>
  <c r="F114"/>
  <c r="E20" i="3"/>
  <c r="F15" i="21"/>
  <c r="D95" i="12"/>
  <c r="B38"/>
  <c r="G33"/>
  <c r="E6"/>
  <c r="E21"/>
  <c r="D110" i="7"/>
  <c r="D15" i="21"/>
  <c r="D52"/>
  <c r="D54"/>
  <c r="D132" i="7"/>
  <c r="E6" i="34"/>
  <c r="E21"/>
  <c r="D94"/>
  <c r="B38"/>
  <c r="G33"/>
  <c r="C132" i="7"/>
  <c r="B115"/>
  <c r="B15" i="21"/>
  <c r="B52"/>
  <c r="B54"/>
  <c r="C110" i="7"/>
  <c r="G116"/>
  <c r="C112"/>
  <c r="D95" i="11"/>
  <c r="B38"/>
  <c r="G33"/>
  <c r="E6"/>
  <c r="E21"/>
  <c r="G34"/>
  <c r="G34" i="8"/>
  <c r="G74" i="11"/>
  <c r="F25" i="21"/>
  <c r="F76" i="12"/>
  <c r="E77"/>
  <c r="E72"/>
  <c r="E30" i="3"/>
  <c r="E72" i="11"/>
  <c r="E77"/>
  <c r="E28" i="3"/>
  <c r="F76" i="11"/>
  <c r="F23" i="21"/>
  <c r="E26" i="3"/>
  <c r="E72" i="10"/>
  <c r="F76"/>
  <c r="E77"/>
  <c r="F21" i="21"/>
  <c r="E24" i="3"/>
  <c r="E72" i="8"/>
  <c r="F76"/>
  <c r="F19" i="21"/>
  <c r="E77" i="8"/>
  <c r="F16" i="21"/>
  <c r="E21" i="3"/>
  <c r="F36" i="34"/>
  <c r="E32"/>
  <c r="E37"/>
  <c r="E38"/>
  <c r="D61" i="10"/>
  <c r="D74"/>
  <c r="D59"/>
  <c r="D61" i="12"/>
  <c r="D74"/>
  <c r="D59"/>
  <c r="E60" i="13"/>
  <c r="E60" i="10"/>
  <c r="E60" i="8"/>
  <c r="J36" i="24"/>
  <c r="E28" i="57"/>
  <c r="E6" i="8"/>
  <c r="E21"/>
  <c r="D95"/>
  <c r="B38"/>
  <c r="D7" i="52"/>
  <c r="F20" i="5"/>
  <c r="E13" i="7"/>
  <c r="E21" i="13"/>
  <c r="E38"/>
  <c r="E39"/>
  <c r="E40"/>
  <c r="G26" i="21"/>
  <c r="G33" i="10"/>
  <c r="E6"/>
  <c r="E21"/>
  <c r="D95"/>
  <c r="B38"/>
  <c r="E38"/>
  <c r="H26" i="21"/>
  <c r="G43" i="13"/>
  <c r="E19"/>
  <c r="G34"/>
  <c r="G74" i="10"/>
  <c r="E39" i="34"/>
  <c r="E40"/>
  <c r="D7" i="7"/>
  <c r="D57"/>
  <c r="C133"/>
  <c r="G73" i="13"/>
  <c r="D97"/>
  <c r="B78"/>
  <c r="E45"/>
  <c r="E61"/>
  <c r="E78"/>
  <c r="D97" i="11"/>
  <c r="B78"/>
  <c r="E45"/>
  <c r="E61"/>
  <c r="G73"/>
  <c r="D97" i="8"/>
  <c r="B78"/>
  <c r="E45"/>
  <c r="E61"/>
  <c r="E78"/>
  <c r="G73"/>
  <c r="E39" i="10"/>
  <c r="E40"/>
  <c r="D20" i="5"/>
  <c r="E11" i="7"/>
  <c r="E78" i="11"/>
  <c r="F52" i="21"/>
  <c r="F54"/>
  <c r="E38" i="8"/>
  <c r="E38" i="12"/>
  <c r="G74" i="8"/>
  <c r="G74" i="13"/>
  <c r="D97" i="12"/>
  <c r="B78"/>
  <c r="E45"/>
  <c r="E61"/>
  <c r="E78"/>
  <c r="G73"/>
  <c r="D97" i="10"/>
  <c r="B78"/>
  <c r="E45"/>
  <c r="E61"/>
  <c r="G73"/>
  <c r="E12" i="7"/>
  <c r="E20" i="5"/>
  <c r="G17" i="57"/>
  <c r="E60" i="34"/>
  <c r="E78" i="10"/>
  <c r="E57" i="3"/>
  <c r="E38" i="11"/>
  <c r="G35" i="13"/>
  <c r="K35"/>
  <c r="F31" i="3"/>
  <c r="H20" i="21"/>
  <c r="G43" i="10"/>
  <c r="F25" i="3"/>
  <c r="G20" i="21"/>
  <c r="E19" i="10"/>
  <c r="E79" i="12"/>
  <c r="E80"/>
  <c r="G75"/>
  <c r="E79" i="10"/>
  <c r="E80"/>
  <c r="G75"/>
  <c r="G74" i="34"/>
  <c r="E61"/>
  <c r="E78"/>
  <c r="E39" i="12"/>
  <c r="E40"/>
  <c r="E79" i="11"/>
  <c r="E80"/>
  <c r="G75"/>
  <c r="E79" i="13"/>
  <c r="E80"/>
  <c r="G75"/>
  <c r="D66" i="7"/>
  <c r="D112"/>
  <c r="G76" i="10"/>
  <c r="G79"/>
  <c r="E56" i="7"/>
  <c r="G76" i="13"/>
  <c r="G79"/>
  <c r="G35" i="34"/>
  <c r="G36"/>
  <c r="G39"/>
  <c r="E39" i="11"/>
  <c r="E40"/>
  <c r="E79" i="8"/>
  <c r="G75"/>
  <c r="E80"/>
  <c r="E39"/>
  <c r="E40"/>
  <c r="J38" i="24"/>
  <c r="J40"/>
  <c r="H16" i="21"/>
  <c r="G43" i="34"/>
  <c r="F21" i="3"/>
  <c r="G16" i="21"/>
  <c r="E19" i="34"/>
  <c r="G76" i="12"/>
  <c r="G79"/>
  <c r="G35" i="10"/>
  <c r="G76" i="11"/>
  <c r="G79"/>
  <c r="G36" i="13"/>
  <c r="G39"/>
  <c r="K75"/>
  <c r="H25" i="21"/>
  <c r="G83" i="12"/>
  <c r="G25" i="21"/>
  <c r="E59" i="12"/>
  <c r="F30" i="3"/>
  <c r="F28"/>
  <c r="H23" i="21"/>
  <c r="G83" i="11"/>
  <c r="G23" i="21"/>
  <c r="E59" i="11"/>
  <c r="G18" i="21"/>
  <c r="H18"/>
  <c r="G43" i="8"/>
  <c r="F23" i="3"/>
  <c r="E19" i="8"/>
  <c r="H19" i="21"/>
  <c r="G83" i="8"/>
  <c r="F24" i="3"/>
  <c r="G19" i="21"/>
  <c r="E59" i="8"/>
  <c r="F27" i="3"/>
  <c r="G22" i="21"/>
  <c r="H22"/>
  <c r="G43" i="11"/>
  <c r="E19"/>
  <c r="G112" i="7"/>
  <c r="D133"/>
  <c r="B116"/>
  <c r="G111"/>
  <c r="E7"/>
  <c r="E57"/>
  <c r="G24" i="21"/>
  <c r="H24"/>
  <c r="G43" i="12"/>
  <c r="F29" i="3"/>
  <c r="E19" i="12"/>
  <c r="G21" i="21"/>
  <c r="H21"/>
  <c r="G83" i="10"/>
  <c r="F26" i="3"/>
  <c r="E59" i="10"/>
  <c r="K75" i="12"/>
  <c r="K35" i="10"/>
  <c r="G36"/>
  <c r="G39"/>
  <c r="F32" i="3"/>
  <c r="H27" i="21"/>
  <c r="G83" i="13"/>
  <c r="G27" i="21"/>
  <c r="E59" i="13"/>
  <c r="E79" i="34"/>
  <c r="G75"/>
  <c r="G35" i="8"/>
  <c r="K75"/>
  <c r="G35" i="11"/>
  <c r="G76" i="8"/>
  <c r="G79"/>
  <c r="K75" i="11"/>
  <c r="G35" i="12"/>
  <c r="K75" i="10"/>
  <c r="K35" i="12"/>
  <c r="G36"/>
  <c r="G39"/>
  <c r="E66" i="7"/>
  <c r="E116"/>
  <c r="K35" i="11"/>
  <c r="G36"/>
  <c r="G39"/>
  <c r="K35" i="8"/>
  <c r="G36"/>
  <c r="G39"/>
  <c r="E80" i="34"/>
  <c r="K75"/>
  <c r="G76"/>
  <c r="G79"/>
  <c r="G15" i="57"/>
  <c r="G22"/>
  <c r="G17" i="21"/>
  <c r="F22" i="3"/>
  <c r="H17" i="21"/>
  <c r="E59" i="34"/>
  <c r="E117" i="7"/>
  <c r="G113"/>
  <c r="D24" i="57"/>
  <c r="F33"/>
  <c r="F80" i="34"/>
  <c r="E23" i="57"/>
  <c r="E118" i="7"/>
  <c r="G114"/>
  <c r="G117"/>
  <c r="G29" i="57"/>
  <c r="E30"/>
  <c r="D31"/>
  <c r="G83" i="34"/>
  <c r="F20" i="3"/>
  <c r="F57"/>
  <c r="F58"/>
  <c r="G15" i="21"/>
  <c r="G52"/>
  <c r="M54"/>
  <c r="M56"/>
  <c r="E55" i="7"/>
  <c r="K113"/>
  <c r="M49" i="21"/>
  <c r="J49"/>
  <c r="M50"/>
  <c r="J50"/>
  <c r="I48" i="10"/>
  <c r="I48" i="34"/>
  <c r="I88" i="13"/>
  <c r="I88" i="11"/>
  <c r="I126" i="7"/>
  <c r="I88" i="34"/>
  <c r="I48" i="12"/>
  <c r="I88"/>
  <c r="I88" i="10"/>
  <c r="I88" i="8"/>
  <c r="I48"/>
  <c r="I48" i="11"/>
  <c r="I48" i="13"/>
  <c r="H15" i="21"/>
  <c r="H52"/>
  <c r="G121" i="7"/>
  <c r="G123"/>
  <c r="G85" i="13"/>
  <c r="M60" i="21"/>
  <c r="G45" i="34"/>
  <c r="G85" i="10"/>
  <c r="G45" i="8"/>
  <c r="G45" i="10"/>
  <c r="G85" i="12"/>
  <c r="G85" i="8"/>
  <c r="G45" i="13"/>
  <c r="G85" i="34"/>
  <c r="G45" i="12"/>
  <c r="G85" i="11"/>
  <c r="G45"/>
</calcChain>
</file>

<file path=xl/sharedStrings.xml><?xml version="1.0" encoding="utf-8"?>
<sst xmlns="http://schemas.openxmlformats.org/spreadsheetml/2006/main" count="2373" uniqueCount="1059">
  <si>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</si>
  <si>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</si>
  <si>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</si>
  <si>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</si>
  <si>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</si>
  <si>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</si>
  <si>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</si>
  <si>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</si>
  <si>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</si>
  <si>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</si>
  <si>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</si>
  <si>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</si>
  <si>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</si>
  <si>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</si>
  <si>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</si>
  <si>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</si>
  <si>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</si>
  <si>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</si>
  <si>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</si>
  <si>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</si>
  <si>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</si>
  <si>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</si>
  <si>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</si>
  <si>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</si>
  <si>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</si>
  <si>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</si>
  <si>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</si>
  <si>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</si>
  <si>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</si>
  <si>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</si>
  <si>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</si>
  <si>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</si>
  <si>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</si>
  <si>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</si>
  <si>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</si>
  <si>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</si>
  <si>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</si>
  <si>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</si>
  <si>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</si>
  <si>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</si>
  <si>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</si>
  <si>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</si>
  <si>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</si>
  <si>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</si>
  <si>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</si>
  <si>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</si>
  <si>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</si>
  <si>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</si>
  <si>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</si>
  <si>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</si>
  <si>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</si>
  <si>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</si>
  <si>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</si>
  <si>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</si>
  <si>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</si>
  <si>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</si>
  <si>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</si>
  <si>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</si>
  <si>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</si>
  <si>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</si>
  <si>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</si>
  <si>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</si>
  <si>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</si>
  <si>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</si>
  <si>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</si>
  <si>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</si>
  <si>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</si>
  <si>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</si>
  <si>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</si>
  <si>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</si>
  <si>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</si>
  <si>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</si>
  <si>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</si>
  <si>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</si>
  <si>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</si>
  <si>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</si>
  <si>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</si>
  <si>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</si>
  <si>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</si>
  <si>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</si>
  <si>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</si>
  <si>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</si>
  <si>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</si>
  <si>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</si>
  <si>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</si>
  <si>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</si>
  <si>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</si>
  <si>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</si>
  <si>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</si>
  <si>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</si>
  <si>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</si>
  <si>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</si>
  <si>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</si>
  <si>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</si>
  <si>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</si>
  <si>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</si>
  <si>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</si>
  <si>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</si>
  <si>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</si>
  <si>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</si>
  <si>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</si>
  <si>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</si>
  <si>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</si>
  <si>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</si>
  <si>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</si>
  <si>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</si>
  <si>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</si>
  <si>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</si>
  <si>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</si>
  <si>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</si>
  <si>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</si>
  <si>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</si>
  <si>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</si>
  <si>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</si>
  <si>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</si>
  <si>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</si>
  <si>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</si>
  <si>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</si>
  <si>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</si>
  <si>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</si>
  <si>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</si>
  <si>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</si>
  <si>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</si>
  <si>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</si>
  <si>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</si>
  <si>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</si>
  <si>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</si>
  <si>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</si>
  <si>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</si>
  <si>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</si>
  <si>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</si>
  <si>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</si>
  <si>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</si>
  <si>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</si>
  <si>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</si>
  <si>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</si>
  <si>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</si>
  <si>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</si>
  <si>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</si>
  <si>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</si>
  <si>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</si>
  <si>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</si>
  <si>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</si>
  <si>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</si>
  <si>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</si>
  <si>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</si>
  <si>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</si>
  <si>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</si>
  <si>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</si>
  <si>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</si>
  <si>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</si>
  <si>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</si>
  <si>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</si>
  <si>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</si>
  <si>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</si>
  <si>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</si>
  <si>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</si>
  <si>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</si>
  <si>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</si>
  <si>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</si>
  <si>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</si>
  <si>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</si>
  <si>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</si>
  <si>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</si>
  <si>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</si>
  <si>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</si>
  <si>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</si>
  <si>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</si>
  <si>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</si>
  <si>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</si>
  <si>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</si>
  <si>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</si>
  <si>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</si>
  <si>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</si>
  <si>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</si>
  <si>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</si>
  <si>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</si>
  <si>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</si>
  <si>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</si>
  <si>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</si>
  <si>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</si>
  <si>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</si>
  <si>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</si>
  <si>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</si>
  <si>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</si>
  <si>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</si>
  <si>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</si>
  <si>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</si>
  <si>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</si>
  <si>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</si>
  <si>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</si>
  <si>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</si>
  <si>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</si>
  <si>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</si>
  <si>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</si>
  <si>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</si>
  <si>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</si>
  <si>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</si>
  <si>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</si>
  <si>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</si>
  <si>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</si>
  <si>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</si>
  <si>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</si>
  <si>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</si>
  <si>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</si>
  <si>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</si>
  <si>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</si>
  <si>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</si>
  <si>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</si>
  <si>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</si>
  <si>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</si>
  <si>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</si>
  <si>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</si>
  <si>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</si>
  <si>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</si>
  <si>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</si>
  <si>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</si>
  <si>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</si>
  <si>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</si>
  <si>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</si>
  <si>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</si>
  <si>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</si>
  <si>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</si>
  <si>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</si>
  <si>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</si>
  <si>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</si>
  <si>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</si>
  <si>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</si>
  <si>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</si>
  <si>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</si>
  <si>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</si>
  <si>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</si>
  <si>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</si>
  <si>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</si>
  <si>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</si>
  <si>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</si>
  <si>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</si>
  <si>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</si>
  <si>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</si>
  <si>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</si>
  <si>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</si>
  <si>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</si>
  <si>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</si>
  <si>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</si>
  <si>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</si>
  <si>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</si>
  <si>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</si>
  <si>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</si>
  <si>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</si>
  <si>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</si>
  <si>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</si>
  <si>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</si>
  <si>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</si>
  <si>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</si>
  <si>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</si>
  <si>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</si>
  <si>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</si>
  <si>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</si>
  <si>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</si>
  <si>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</si>
  <si>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</si>
  <si>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</si>
  <si>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</si>
  <si>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</si>
  <si>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</si>
  <si>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</si>
  <si>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</si>
  <si>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</si>
  <si>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</si>
  <si>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</si>
  <si>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</si>
  <si>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</si>
  <si>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</si>
  <si>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</si>
  <si>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</si>
  <si>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</si>
  <si>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</si>
  <si>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</si>
  <si>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</si>
  <si>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</si>
  <si>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</si>
  <si>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</si>
  <si>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</si>
  <si>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</si>
  <si>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</si>
  <si>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</si>
  <si>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</si>
  <si>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</si>
  <si>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</si>
  <si>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</si>
  <si>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</si>
  <si>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</si>
  <si>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</si>
  <si>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</si>
  <si>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</si>
  <si>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</si>
  <si>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</si>
  <si>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</si>
  <si>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</si>
  <si>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</si>
  <si>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</si>
  <si>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</si>
  <si>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</si>
  <si>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</si>
  <si>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</si>
  <si>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</si>
  <si>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</si>
  <si>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</si>
  <si>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</si>
  <si>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</si>
  <si>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</si>
  <si>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</si>
  <si>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</si>
  <si>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</si>
  <si>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</si>
  <si>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</si>
  <si>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</si>
  <si>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</si>
  <si>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</si>
  <si>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</si>
  <si>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</si>
  <si>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</si>
  <si>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</si>
  <si>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</si>
  <si>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</si>
  <si>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</si>
  <si>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</si>
  <si>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</si>
  <si>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</si>
  <si>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</si>
  <si>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</si>
  <si>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</si>
  <si>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</si>
  <si>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</si>
  <si>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</si>
  <si>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</si>
  <si>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</si>
  <si>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</si>
  <si>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</si>
  <si>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</si>
  <si>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</si>
  <si>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</si>
  <si>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</si>
  <si>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</si>
  <si>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</si>
  <si>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</si>
  <si>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</si>
  <si>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</si>
  <si>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</si>
  <si>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</si>
  <si>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</si>
  <si>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</si>
  <si>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</si>
  <si>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</si>
  <si>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</si>
  <si>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</si>
  <si>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</si>
  <si>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</si>
  <si>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</si>
  <si>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</si>
  <si>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</si>
  <si>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</si>
  <si>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</si>
  <si>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</si>
  <si>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</si>
  <si>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</si>
  <si>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</si>
  <si>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</si>
  <si>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</si>
  <si>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</si>
  <si>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</si>
  <si>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</si>
  <si>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</si>
  <si>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</si>
  <si>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</si>
  <si>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</si>
  <si>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</si>
  <si>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</si>
  <si>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</si>
  <si>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</si>
  <si>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</si>
  <si>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</si>
  <si>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</si>
  <si>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</si>
  <si>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</si>
  <si>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</si>
  <si>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</si>
  <si>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</si>
  <si>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</si>
  <si>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</si>
  <si>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</si>
  <si>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</si>
  <si>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</si>
  <si>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</si>
  <si>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</si>
  <si>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</si>
  <si>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</si>
  <si>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</si>
  <si>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</si>
  <si>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</si>
  <si>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</si>
  <si>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</si>
  <si>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</si>
  <si>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</si>
  <si>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</si>
  <si>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</si>
  <si>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</si>
  <si>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</si>
  <si>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</si>
  <si>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</si>
  <si>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</si>
  <si>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</si>
  <si>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</si>
  <si>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</si>
  <si>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</si>
  <si>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</si>
  <si>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</si>
  <si>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</si>
  <si>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</si>
  <si>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</si>
  <si>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</si>
  <si>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</si>
  <si>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</si>
  <si>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</si>
  <si>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</si>
  <si>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</si>
  <si>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</si>
  <si>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</si>
  <si>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</si>
  <si>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</si>
  <si>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</si>
  <si>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</si>
  <si>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</si>
  <si>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</si>
  <si>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</si>
  <si>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</si>
  <si>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</si>
  <si>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</si>
  <si>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</si>
  <si>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</si>
  <si>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</si>
  <si>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</si>
  <si>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</si>
  <si>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</si>
  <si>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</si>
  <si>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</si>
  <si>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</si>
  <si>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</si>
  <si>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</si>
  <si>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</si>
  <si>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</si>
  <si>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</si>
  <si>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</si>
  <si>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</si>
  <si>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</si>
  <si>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</si>
  <si>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</si>
  <si>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</si>
  <si>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</si>
  <si>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</si>
  <si>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</si>
  <si>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</si>
  <si>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</si>
  <si>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</si>
  <si>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</si>
  <si>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</si>
  <si>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</si>
  <si>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</si>
  <si>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</si>
  <si>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</si>
  <si>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</si>
  <si>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</si>
  <si>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</si>
  <si>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</si>
  <si>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</si>
  <si>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</si>
  <si>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</si>
  <si>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</si>
  <si>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</si>
  <si>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</si>
  <si>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</si>
  <si>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</si>
  <si>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</si>
  <si>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</si>
  <si>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</si>
  <si>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</si>
  <si>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</si>
  <si>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</si>
  <si>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</si>
  <si>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</si>
  <si>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</si>
  <si>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</si>
  <si>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</si>
  <si>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</si>
  <si>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</si>
  <si>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</si>
  <si>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</si>
  <si>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</si>
  <si>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</si>
  <si>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</si>
  <si>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</si>
  <si>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</si>
  <si>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</si>
  <si>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</si>
  <si>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</si>
  <si>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</si>
  <si>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</si>
  <si>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</si>
  <si>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</si>
  <si>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</si>
  <si>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</si>
  <si>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</si>
  <si>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</si>
  <si>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</si>
  <si>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</si>
  <si>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</si>
  <si>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</si>
  <si>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</si>
  <si>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</si>
  <si>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</si>
  <si>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</si>
  <si>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</si>
  <si>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</si>
  <si>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</si>
  <si>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</si>
  <si>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</si>
  <si>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</si>
  <si>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</si>
  <si>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</si>
  <si>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</si>
  <si>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</si>
  <si>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</si>
  <si>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</si>
  <si>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</si>
  <si>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</si>
  <si>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</si>
  <si>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</si>
  <si>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</si>
  <si>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</si>
  <si>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</si>
  <si>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</si>
  <si>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</si>
  <si>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</si>
  <si>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</si>
  <si>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</si>
  <si>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</si>
  <si>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</si>
  <si>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</si>
  <si>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</si>
  <si>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</si>
  <si>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</si>
  <si>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</si>
  <si>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</si>
  <si>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</si>
  <si>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</si>
  <si>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</si>
  <si>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</si>
  <si>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</si>
  <si>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</si>
  <si>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</si>
  <si>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</si>
  <si>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</si>
  <si>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</si>
  <si>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</si>
  <si>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</si>
  <si>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</si>
  <si>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</si>
  <si>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</si>
  <si>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</si>
  <si>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</si>
  <si>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</si>
  <si>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</si>
  <si>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</si>
  <si>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</si>
  <si>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</si>
  <si>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</si>
  <si>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</si>
  <si>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</si>
  <si>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</si>
  <si>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</si>
  <si>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</si>
  <si>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</si>
  <si>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</si>
  <si>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</si>
  <si>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</si>
  <si>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</si>
  <si>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</si>
  <si>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</si>
  <si>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</si>
  <si>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</si>
  <si>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</si>
  <si>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</si>
  <si>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</si>
  <si>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</si>
  <si>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</si>
  <si>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</si>
  <si>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</si>
  <si>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</si>
  <si>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</si>
  <si>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</si>
  <si>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</si>
  <si>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</si>
  <si>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</si>
  <si>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</si>
  <si>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</si>
  <si>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</si>
  <si>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</si>
  <si>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</si>
  <si>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</si>
  <si>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</si>
  <si>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</si>
  <si>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</si>
  <si>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</si>
  <si>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</si>
  <si>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</si>
  <si>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</si>
  <si>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</si>
  <si>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</si>
  <si>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</si>
  <si>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</si>
  <si>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</si>
  <si>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</si>
  <si>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</si>
  <si>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</si>
  <si>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</si>
  <si>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</si>
  <si>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</si>
  <si>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</si>
  <si>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</si>
  <si>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</si>
  <si>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</si>
  <si>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</si>
  <si>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</si>
  <si>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</si>
  <si>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</si>
  <si>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</si>
  <si>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</si>
  <si>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</si>
  <si>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</si>
  <si>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</si>
  <si>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</si>
  <si>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</si>
  <si>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</si>
  <si>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</si>
  <si>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</si>
  <si>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</si>
  <si>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</si>
  <si>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</si>
  <si>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</si>
  <si>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</si>
  <si>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</si>
  <si>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</si>
  <si>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</si>
  <si>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</si>
  <si>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</si>
  <si>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</si>
  <si>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</si>
  <si>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</si>
  <si>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</si>
  <si>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</si>
  <si>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</si>
  <si>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</si>
  <si>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</si>
  <si>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</si>
  <si>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</si>
  <si>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</si>
  <si>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</si>
  <si>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</si>
  <si>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</si>
  <si>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</si>
  <si>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</si>
  <si>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</si>
  <si>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</si>
  <si>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</si>
  <si>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</si>
  <si>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</si>
  <si>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</si>
  <si>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</si>
  <si>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</si>
  <si>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</si>
  <si>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</si>
  <si>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</si>
  <si>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</si>
  <si>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</si>
  <si>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</si>
  <si>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</si>
  <si>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</si>
  <si>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</si>
  <si>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</si>
  <si>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</si>
  <si>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</si>
  <si>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</si>
  <si>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</si>
  <si>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</si>
  <si>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</si>
  <si>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</si>
  <si>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</si>
  <si>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</si>
  <si>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</si>
  <si>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</si>
  <si>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</si>
  <si>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</si>
  <si>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</si>
  <si>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</si>
  <si>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</si>
  <si>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</si>
  <si>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</si>
  <si>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</si>
  <si>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</si>
  <si>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</si>
  <si>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</si>
  <si>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</si>
  <si>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</si>
  <si>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</si>
  <si>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</si>
  <si>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</si>
  <si>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</si>
  <si>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</si>
  <si>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</si>
  <si>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</si>
  <si>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</si>
  <si>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</si>
  <si>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</si>
  <si>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</si>
  <si>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</si>
  <si>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</si>
  <si>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</si>
  <si>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</si>
  <si>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</si>
  <si>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</si>
  <si>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</si>
  <si>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</si>
  <si>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</si>
  <si>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</si>
  <si>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</si>
  <si>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</si>
  <si>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</si>
  <si>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</si>
  <si>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</si>
  <si>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</si>
  <si>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</si>
  <si>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</si>
  <si>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</si>
  <si>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</si>
  <si>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</si>
  <si>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</si>
  <si>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</si>
  <si>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</si>
  <si>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</si>
  <si>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</si>
  <si>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</si>
  <si>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</si>
  <si>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</si>
  <si>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</si>
  <si>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</si>
  <si>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</si>
  <si>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</si>
  <si>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</si>
  <si>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</si>
  <si>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</si>
  <si>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</si>
  <si>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</si>
  <si>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</si>
  <si>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</si>
  <si>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</si>
  <si>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</si>
  <si>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</si>
  <si>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</si>
  <si>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</si>
  <si>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</si>
  <si>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</si>
  <si>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</si>
  <si>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</si>
  <si>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</si>
  <si>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</si>
  <si>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</si>
  <si>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</si>
  <si>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</si>
  <si>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</si>
  <si>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</si>
  <si>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</si>
  <si>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</si>
  <si>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</si>
  <si>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</si>
  <si>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</si>
  <si>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</si>
  <si>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</si>
  <si>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</si>
  <si>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</si>
  <si>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</si>
  <si>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</si>
  <si>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</si>
  <si>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</si>
  <si>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</si>
  <si>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</si>
  <si>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</si>
  <si>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</si>
  <si>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</si>
  <si>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</si>
  <si>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</si>
  <si>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</si>
  <si>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</si>
  <si>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</si>
  <si>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</si>
  <si>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</si>
  <si>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</si>
  <si>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</si>
  <si>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</si>
  <si>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</si>
  <si>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</si>
  <si>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</si>
  <si>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</si>
  <si>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</si>
  <si>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</si>
  <si>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</si>
  <si>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</si>
  <si>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</si>
  <si>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</si>
  <si>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</si>
  <si>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</si>
  <si>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</si>
  <si>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</si>
  <si>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</si>
  <si>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</si>
  <si>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</si>
  <si>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</si>
  <si>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</si>
  <si>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</si>
  <si>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</si>
  <si>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</si>
  <si>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</si>
  <si>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</si>
  <si>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</si>
  <si>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</si>
  <si>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</si>
  <si>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</si>
  <si>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</si>
  <si>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</si>
  <si>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</si>
  <si>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</si>
  <si>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</si>
  <si>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</si>
  <si>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</si>
  <si>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</si>
  <si>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</si>
  <si>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</si>
  <si>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</si>
  <si>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</si>
  <si>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</si>
  <si>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</si>
  <si>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</si>
  <si>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</si>
  <si>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</si>
  <si>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The following were changed to this spreadsheet on 6/10/13</t>
  </si>
  <si>
    <t>1.  Inserted missing formula in cell d47 of Library fund</t>
  </si>
  <si>
    <t>City of Grainfield</t>
  </si>
  <si>
    <t>County of Gove</t>
  </si>
  <si>
    <t>Water Utility</t>
  </si>
  <si>
    <t>Fire Protection</t>
  </si>
  <si>
    <t>Sewer Utility</t>
  </si>
  <si>
    <t>Park &amp; Recreation</t>
  </si>
  <si>
    <t>Joseph Heier</t>
  </si>
  <si>
    <t>Mayor</t>
  </si>
  <si>
    <t>City Office, Grainfield, Kansas</t>
  </si>
  <si>
    <t>City Office at 220 Main Grainfield, Kansas</t>
  </si>
  <si>
    <t>General Fun</t>
  </si>
  <si>
    <t>Fire Protection Rund</t>
  </si>
  <si>
    <t>Ordiance GO 117</t>
  </si>
  <si>
    <t>Kansas Water Supply Loan</t>
  </si>
  <si>
    <t>Street</t>
  </si>
  <si>
    <t>Park</t>
  </si>
  <si>
    <t>Law Enforcement</t>
  </si>
  <si>
    <t>Street Lights</t>
  </si>
  <si>
    <t>Shop</t>
  </si>
  <si>
    <t>Ball Diamond</t>
  </si>
  <si>
    <t>Commodities</t>
  </si>
  <si>
    <t>Appropriation</t>
  </si>
  <si>
    <t xml:space="preserve">  FICA</t>
  </si>
  <si>
    <t xml:space="preserve">  Insurance</t>
  </si>
  <si>
    <t xml:space="preserve">  KPERS</t>
  </si>
  <si>
    <t xml:space="preserve">  State Unemployment</t>
  </si>
  <si>
    <t>Transfer to Fire Protection</t>
  </si>
  <si>
    <t>Beautification</t>
  </si>
  <si>
    <t xml:space="preserve">  Water Sales</t>
  </si>
  <si>
    <t xml:space="preserve">   Deposits and Taps</t>
  </si>
  <si>
    <t xml:space="preserve">   Miscellaneous</t>
  </si>
  <si>
    <t xml:space="preserve">  Personal Services</t>
  </si>
  <si>
    <t xml:space="preserve">  KDHE Loan Payment - Principal Payment</t>
  </si>
  <si>
    <t xml:space="preserve">  KDHE Loan Payment - Interest Payment</t>
  </si>
  <si>
    <t xml:space="preserve">  KDHE Loan - Fees</t>
  </si>
  <si>
    <t xml:space="preserve">   Charges to Customers</t>
  </si>
  <si>
    <t xml:space="preserve">   Loan </t>
  </si>
  <si>
    <t xml:space="preserve">   Gove County Rural Fire District</t>
  </si>
  <si>
    <t xml:space="preserve">   Transfer from General Fund</t>
  </si>
  <si>
    <t xml:space="preserve">   Contractual</t>
  </si>
  <si>
    <t>Revolving Loan</t>
  </si>
  <si>
    <t>Loan Repayments</t>
  </si>
  <si>
    <t>Loan Disbursements</t>
  </si>
  <si>
    <t>Kansas Water Pollution Loan</t>
  </si>
  <si>
    <t>August 24, 2013</t>
  </si>
  <si>
    <t>AFG Grant</t>
  </si>
  <si>
    <t>8:00 A.M.</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</si>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</sst>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s>
  <fonts count="6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color indexed="10"/>
      <name val="Times New Roman"/>
      <family val="1"/>
    </font>
    <font>
      <sz val="10"/>
      <name val="Courier"/>
      <family val="3"/>
    </font>
    <font>
      <u/>
      <sz val="12"/>
      <color indexed="10"/>
      <name val="Times New Roman"/>
      <family val="1"/>
    </font>
    <font>
      <u/>
      <sz val="12"/>
      <color indexed="12"/>
      <name val="Courier New"/>
      <family val="3"/>
    </font>
    <font>
      <u/>
      <sz val="12"/>
      <color indexed="10"/>
      <name val="Times New Roman"/>
      <family val="1"/>
    </font>
    <font>
      <b/>
      <sz val="11"/>
      <color indexed="8"/>
      <name val="Cambria"/>
      <family val="1"/>
    </font>
    <font>
      <sz val="11"/>
      <color indexed="8"/>
      <name val="Cambria"/>
      <family val="1"/>
    </font>
    <font>
      <b/>
      <sz val="12"/>
      <color indexed="8"/>
      <name val="Times New Roman"/>
      <family val="1"/>
    </font>
    <font>
      <sz val="10"/>
      <color indexed="10"/>
      <name val="Times New Roman"/>
      <family val="1"/>
    </font>
    <font>
      <sz val="12"/>
      <color indexed="10"/>
      <name val="Times New Roman"/>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sz val="12"/>
      <color indexed="10"/>
      <name val="Times New Roman"/>
      <family val="1"/>
    </font>
    <font>
      <b/>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414">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7"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2"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cellStyleXfs>
  <cellXfs count="856">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protection locked="0"/>
    </xf>
    <xf numFmtId="0" fontId="4" fillId="3" borderId="2" xfId="0" applyFont="1" applyFill="1" applyBorder="1" applyProtection="1"/>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0" fontId="4" fillId="3" borderId="0" xfId="0" applyFont="1" applyFill="1" applyAlignment="1" applyProtection="1">
      <alignment horizontal="centerContinuous"/>
    </xf>
    <xf numFmtId="0" fontId="4" fillId="3" borderId="3" xfId="0" applyFont="1" applyFill="1" applyBorder="1" applyProtection="1"/>
    <xf numFmtId="37" fontId="4" fillId="3" borderId="0" xfId="0" applyNumberFormat="1" applyFont="1" applyFill="1" applyProtection="1"/>
    <xf numFmtId="0" fontId="3" fillId="3" borderId="0" xfId="413"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14" fontId="4" fillId="3" borderId="5" xfId="0" quotePrefix="1" applyNumberFormat="1" applyFont="1" applyFill="1" applyBorder="1" applyAlignment="1" applyProtection="1">
      <alignment horizontal="center"/>
    </xf>
    <xf numFmtId="0" fontId="4" fillId="3" borderId="2" xfId="0" applyFont="1" applyFill="1" applyBorder="1" applyAlignment="1" applyProtection="1">
      <alignment horizontal="fill"/>
    </xf>
    <xf numFmtId="0" fontId="3" fillId="3" borderId="0" xfId="0" applyFont="1" applyFill="1" applyAlignment="1" applyProtection="1">
      <alignment horizontal="left"/>
    </xf>
    <xf numFmtId="0" fontId="7" fillId="3" borderId="5" xfId="0" applyFont="1" applyFill="1" applyBorder="1" applyAlignment="1" applyProtection="1">
      <alignment horizontal="center"/>
    </xf>
    <xf numFmtId="0" fontId="4" fillId="3" borderId="0" xfId="0" applyFont="1" applyFill="1" applyAlignment="1" applyProtection="1">
      <alignment horizontal="center"/>
    </xf>
    <xf numFmtId="0" fontId="4" fillId="3" borderId="0" xfId="0" applyNumberFormat="1" applyFont="1" applyFill="1" applyAlignment="1" applyProtection="1">
      <alignment horizontal="right"/>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3" fillId="4" borderId="6" xfId="0" applyNumberFormat="1" applyFont="1" applyFill="1" applyBorder="1" applyAlignment="1" applyProtection="1">
      <alignment horizontal="center"/>
    </xf>
    <xf numFmtId="14" fontId="4" fillId="2" borderId="1" xfId="0" applyNumberFormat="1" applyFont="1" applyFill="1" applyBorder="1" applyAlignment="1" applyProtection="1">
      <alignment horizontal="center"/>
      <protection locked="0"/>
    </xf>
    <xf numFmtId="0" fontId="4" fillId="5" borderId="0" xfId="412" applyFont="1" applyFill="1" applyProtection="1"/>
    <xf numFmtId="0" fontId="4" fillId="5"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6"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7"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37" fontId="4" fillId="6" borderId="2" xfId="0" applyNumberFormat="1" applyFont="1" applyFill="1" applyBorder="1" applyAlignment="1" applyProtection="1">
      <alignment horizontal="left" vertical="center"/>
      <protection locked="0"/>
    </xf>
    <xf numFmtId="0" fontId="4" fillId="6" borderId="2" xfId="0" applyFont="1" applyFill="1" applyBorder="1" applyAlignment="1" applyProtection="1">
      <alignment vertical="center"/>
    </xf>
    <xf numFmtId="37" fontId="4" fillId="6" borderId="7" xfId="0" applyNumberFormat="1" applyFont="1" applyFill="1" applyBorder="1" applyAlignment="1" applyProtection="1">
      <alignment horizontal="left" vertical="center"/>
      <protection locked="0"/>
    </xf>
    <xf numFmtId="0" fontId="4" fillId="6" borderId="7"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Border="1" applyAlignment="1" applyProtection="1">
      <alignment horizontal="left" vertical="center"/>
      <protection locked="0"/>
    </xf>
    <xf numFmtId="0" fontId="3" fillId="6"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8" borderId="0" xfId="0" applyFont="1" applyFill="1" applyAlignment="1" applyProtection="1">
      <alignment vertical="center"/>
    </xf>
    <xf numFmtId="0" fontId="4" fillId="8" borderId="0" xfId="0" applyFont="1" applyFill="1" applyAlignment="1" applyProtection="1">
      <alignment vertical="center"/>
    </xf>
    <xf numFmtId="37" fontId="3" fillId="9" borderId="0" xfId="0" applyNumberFormat="1" applyFont="1" applyFill="1" applyAlignment="1" applyProtection="1">
      <alignment horizontal="left" vertical="center"/>
    </xf>
    <xf numFmtId="0" fontId="4" fillId="9" borderId="0" xfId="0" applyFont="1" applyFill="1" applyAlignment="1" applyProtection="1">
      <alignment vertical="center"/>
    </xf>
    <xf numFmtId="0" fontId="4" fillId="7" borderId="3"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7" fontId="4" fillId="7" borderId="5"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5"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2" xfId="0" applyNumberFormat="1" applyFont="1" applyFill="1" applyBorder="1" applyAlignment="1" applyProtection="1">
      <alignment horizontal="left" vertical="center"/>
    </xf>
    <xf numFmtId="0" fontId="4" fillId="3" borderId="2" xfId="0" applyFont="1" applyFill="1" applyBorder="1" applyAlignment="1" applyProtection="1">
      <alignment vertical="center"/>
    </xf>
    <xf numFmtId="0" fontId="4" fillId="3" borderId="7" xfId="0" applyFont="1" applyFill="1" applyBorder="1" applyAlignment="1" applyProtection="1">
      <alignment vertical="center"/>
    </xf>
    <xf numFmtId="37" fontId="4" fillId="3" borderId="9" xfId="0" applyNumberFormat="1" applyFont="1" applyFill="1" applyBorder="1" applyAlignment="1" applyProtection="1">
      <alignment vertical="center"/>
    </xf>
    <xf numFmtId="37" fontId="4" fillId="4" borderId="9"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2" xfId="0" applyNumberFormat="1" applyFont="1" applyFill="1" applyBorder="1" applyAlignment="1" applyProtection="1">
      <alignment vertical="center"/>
      <protection locked="0"/>
    </xf>
    <xf numFmtId="0" fontId="4" fillId="3" borderId="8" xfId="0" applyFont="1" applyFill="1" applyBorder="1" applyAlignment="1" applyProtection="1">
      <alignment vertical="center"/>
    </xf>
    <xf numFmtId="3" fontId="4" fillId="4" borderId="1" xfId="0" applyNumberFormat="1" applyFont="1" applyFill="1" applyBorder="1" applyAlignment="1" applyProtection="1">
      <alignment vertical="center"/>
    </xf>
    <xf numFmtId="164" fontId="4" fillId="3" borderId="5"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8" borderId="0" xfId="0" applyNumberFormat="1" applyFont="1" applyFill="1" applyAlignment="1" applyProtection="1">
      <alignment horizontal="center" vertical="center"/>
    </xf>
    <xf numFmtId="0" fontId="4" fillId="8" borderId="2" xfId="0" applyFont="1" applyFill="1" applyBorder="1" applyAlignment="1">
      <alignment horizontal="center" vertical="center"/>
    </xf>
    <xf numFmtId="37" fontId="4" fillId="3" borderId="1" xfId="0" applyNumberFormat="1" applyFont="1" applyFill="1" applyBorder="1" applyAlignment="1" applyProtection="1">
      <alignment vertical="center"/>
    </xf>
    <xf numFmtId="164" fontId="4" fillId="4" borderId="1" xfId="0" applyNumberFormat="1" applyFont="1" applyFill="1" applyBorder="1" applyAlignment="1" applyProtection="1">
      <alignment vertical="center"/>
    </xf>
    <xf numFmtId="37" fontId="4" fillId="7" borderId="2" xfId="0" applyNumberFormat="1" applyFont="1" applyFill="1" applyBorder="1" applyAlignment="1" applyProtection="1">
      <alignment horizontal="left" vertical="center"/>
    </xf>
    <xf numFmtId="0" fontId="4" fillId="7" borderId="2" xfId="0" applyFont="1" applyFill="1" applyBorder="1" applyAlignment="1" applyProtection="1">
      <alignment vertical="center"/>
    </xf>
    <xf numFmtId="37" fontId="4" fillId="7" borderId="7" xfId="0" applyNumberFormat="1" applyFont="1" applyFill="1" applyBorder="1" applyAlignment="1" applyProtection="1">
      <alignment horizontal="left" vertical="center"/>
    </xf>
    <xf numFmtId="0" fontId="4" fillId="7" borderId="7" xfId="0" applyFont="1" applyFill="1" applyBorder="1" applyAlignment="1" applyProtection="1">
      <alignment vertical="center"/>
    </xf>
    <xf numFmtId="0" fontId="4" fillId="3" borderId="9" xfId="0" applyFont="1" applyFill="1" applyBorder="1" applyAlignment="1" applyProtection="1">
      <alignment vertical="center"/>
    </xf>
    <xf numFmtId="37" fontId="12" fillId="8"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8" borderId="2" xfId="0" applyFont="1" applyFill="1" applyBorder="1" applyAlignment="1" applyProtection="1">
      <alignment vertical="center"/>
    </xf>
    <xf numFmtId="0" fontId="4" fillId="3" borderId="8" xfId="0" applyFont="1" applyFill="1" applyBorder="1" applyAlignment="1" applyProtection="1">
      <alignment vertical="center"/>
      <protection locked="0"/>
    </xf>
    <xf numFmtId="3" fontId="4" fillId="6" borderId="1" xfId="0" applyNumberFormat="1" applyFont="1" applyFill="1" applyBorder="1" applyAlignment="1" applyProtection="1">
      <alignment vertical="center"/>
      <protection locked="0"/>
    </xf>
    <xf numFmtId="0" fontId="4" fillId="8" borderId="7" xfId="0" applyFont="1" applyFill="1" applyBorder="1" applyAlignment="1" applyProtection="1">
      <alignment vertical="center"/>
    </xf>
    <xf numFmtId="0" fontId="4" fillId="3" borderId="9" xfId="0" applyFont="1" applyFill="1" applyBorder="1" applyAlignment="1" applyProtection="1">
      <alignment vertical="center"/>
      <protection locked="0"/>
    </xf>
    <xf numFmtId="0" fontId="0" fillId="0" borderId="0" xfId="0" applyAlignment="1">
      <alignment vertical="center"/>
    </xf>
    <xf numFmtId="37" fontId="4" fillId="3" borderId="7" xfId="0" applyNumberFormat="1" applyFont="1" applyFill="1" applyBorder="1" applyAlignment="1" applyProtection="1">
      <alignment horizontal="left" vertical="center"/>
    </xf>
    <xf numFmtId="37" fontId="4" fillId="6" borderId="1" xfId="0" applyNumberFormat="1" applyFont="1" applyFill="1" applyBorder="1" applyAlignment="1" applyProtection="1">
      <alignment vertical="center"/>
      <protection locked="0"/>
    </xf>
    <xf numFmtId="37" fontId="3" fillId="3" borderId="7"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1" fontId="4" fillId="6" borderId="2" xfId="0" applyNumberFormat="1" applyFont="1" applyFill="1" applyBorder="1" applyAlignment="1" applyProtection="1">
      <alignment vertical="center"/>
      <protection locked="0"/>
    </xf>
    <xf numFmtId="171" fontId="4" fillId="6" borderId="7"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xf>
    <xf numFmtId="171" fontId="4" fillId="6" borderId="10"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2" xfId="0" applyFill="1" applyBorder="1" applyAlignment="1" applyProtection="1">
      <alignment vertical="center"/>
    </xf>
    <xf numFmtId="37" fontId="3" fillId="8" borderId="0" xfId="0" applyNumberFormat="1" applyFont="1" applyFill="1" applyAlignment="1" applyProtection="1">
      <alignment horizontal="left" vertical="center"/>
    </xf>
    <xf numFmtId="3" fontId="4" fillId="8" borderId="0" xfId="0" applyNumberFormat="1" applyFont="1" applyFill="1" applyAlignment="1" applyProtection="1">
      <alignment vertical="center"/>
    </xf>
    <xf numFmtId="3" fontId="4" fillId="3" borderId="8" xfId="0" applyNumberFormat="1" applyFont="1" applyFill="1" applyBorder="1" applyAlignment="1" applyProtection="1">
      <alignment vertical="center"/>
    </xf>
    <xf numFmtId="3" fontId="4" fillId="3" borderId="9" xfId="0" applyNumberFormat="1" applyFont="1" applyFill="1" applyBorder="1" applyAlignment="1" applyProtection="1">
      <alignment vertical="center"/>
    </xf>
    <xf numFmtId="0" fontId="3" fillId="8" borderId="0" xfId="0" applyFont="1" applyFill="1" applyAlignment="1">
      <alignment vertical="center"/>
    </xf>
    <xf numFmtId="0" fontId="1" fillId="8" borderId="0" xfId="0" applyFont="1" applyFill="1" applyAlignment="1">
      <alignment vertical="center"/>
    </xf>
    <xf numFmtId="0" fontId="0" fillId="8" borderId="0" xfId="0" applyFill="1" applyAlignment="1" applyProtection="1">
      <alignment vertical="center"/>
      <protection locked="0"/>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4" fillId="3" borderId="7" xfId="0" applyFont="1" applyFill="1" applyBorder="1" applyAlignment="1">
      <alignment vertical="center"/>
    </xf>
    <xf numFmtId="0" fontId="0" fillId="3" borderId="7" xfId="0" applyFill="1" applyBorder="1" applyAlignment="1">
      <alignment vertical="center"/>
    </xf>
    <xf numFmtId="0" fontId="0" fillId="3" borderId="9" xfId="0" applyFill="1" applyBorder="1" applyAlignment="1">
      <alignment vertical="center"/>
    </xf>
    <xf numFmtId="0" fontId="0" fillId="5" borderId="0" xfId="0" applyFill="1" applyAlignment="1">
      <alignment vertical="center"/>
    </xf>
    <xf numFmtId="0" fontId="4" fillId="7" borderId="3" xfId="0" applyFont="1" applyFill="1" applyBorder="1" applyAlignment="1">
      <alignment horizontal="center" vertical="center"/>
    </xf>
    <xf numFmtId="0" fontId="4" fillId="7" borderId="5"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37" fontId="4" fillId="3" borderId="11" xfId="0" applyNumberFormat="1" applyFont="1" applyFill="1" applyBorder="1" applyAlignment="1" applyProtection="1">
      <alignment horizontal="centerContinuous" vertical="center"/>
    </xf>
    <xf numFmtId="0" fontId="4" fillId="3" borderId="7"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37" fontId="4" fillId="3" borderId="2"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4" xfId="0" applyFont="1" applyFill="1" applyBorder="1" applyAlignment="1">
      <alignment horizontal="center" vertical="center"/>
    </xf>
    <xf numFmtId="37" fontId="3" fillId="3" borderId="2"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37" fontId="4" fillId="3" borderId="11"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37" fontId="12" fillId="3" borderId="11" xfId="0" applyNumberFormat="1" applyFont="1" applyFill="1" applyBorder="1" applyAlignment="1" applyProtection="1">
      <alignment horizontal="left" vertical="center"/>
    </xf>
    <xf numFmtId="37" fontId="12" fillId="3" borderId="9"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vertical="center"/>
    </xf>
    <xf numFmtId="0" fontId="4" fillId="3" borderId="9" xfId="0" applyFont="1" applyFill="1" applyBorder="1" applyAlignment="1" applyProtection="1">
      <alignment horizontal="center" vertical="center"/>
    </xf>
    <xf numFmtId="37" fontId="4" fillId="3" borderId="9" xfId="0" applyNumberFormat="1"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 xfId="0" applyNumberFormat="1" applyFont="1" applyFill="1" applyBorder="1" applyAlignment="1" applyProtection="1">
      <alignment vertical="center"/>
    </xf>
    <xf numFmtId="0" fontId="0" fillId="10" borderId="1" xfId="0" applyFill="1" applyBorder="1" applyAlignment="1" applyProtection="1">
      <alignment vertical="center"/>
    </xf>
    <xf numFmtId="0" fontId="15" fillId="10" borderId="9" xfId="0" applyFont="1" applyFill="1" applyBorder="1" applyAlignment="1" applyProtection="1">
      <alignment horizontal="center"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37" fontId="4"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2" xfId="0" applyNumberFormat="1" applyFont="1" applyFill="1" applyBorder="1" applyAlignment="1">
      <alignment vertical="center"/>
    </xf>
    <xf numFmtId="3" fontId="4" fillId="3" borderId="7"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7" xfId="0" applyNumberFormat="1" applyFont="1" applyFill="1" applyBorder="1" applyAlignment="1">
      <alignment vertical="center"/>
    </xf>
    <xf numFmtId="3" fontId="4" fillId="3" borderId="2" xfId="0" applyNumberFormat="1" applyFont="1" applyFill="1" applyBorder="1" applyAlignment="1" applyProtection="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7" xfId="0" applyNumberFormat="1" applyFont="1" applyFill="1" applyBorder="1" applyAlignment="1" applyProtection="1">
      <alignment vertical="center"/>
    </xf>
    <xf numFmtId="3" fontId="4" fillId="3" borderId="10" xfId="0" applyNumberFormat="1"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vertical="center"/>
    </xf>
    <xf numFmtId="167" fontId="4" fillId="3" borderId="2"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4" xfId="0" applyNumberFormat="1" applyFont="1" applyFill="1" applyBorder="1" applyAlignment="1">
      <alignment vertical="center"/>
    </xf>
    <xf numFmtId="3" fontId="4" fillId="3" borderId="2" xfId="1" applyNumberFormat="1" applyFont="1" applyFill="1" applyBorder="1" applyAlignment="1" applyProtection="1">
      <alignment vertical="center"/>
    </xf>
    <xf numFmtId="0" fontId="6" fillId="0" borderId="0" xfId="0" applyFont="1" applyAlignment="1">
      <alignment vertical="center"/>
    </xf>
    <xf numFmtId="37" fontId="4" fillId="3" borderId="0" xfId="0" applyNumberFormat="1" applyFont="1" applyFill="1" applyAlignment="1" applyProtection="1">
      <alignment vertical="center"/>
    </xf>
    <xf numFmtId="0" fontId="4" fillId="3" borderId="2"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2" xfId="0" applyNumberFormat="1" applyFont="1" applyFill="1" applyBorder="1" applyAlignment="1" applyProtection="1">
      <alignment vertical="center"/>
    </xf>
    <xf numFmtId="165" fontId="4" fillId="4" borderId="2" xfId="0" applyNumberFormat="1"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6" borderId="5" xfId="0" applyFont="1" applyFill="1" applyBorder="1" applyAlignment="1" applyProtection="1">
      <alignment vertical="center"/>
      <protection locked="0"/>
    </xf>
    <xf numFmtId="170" fontId="4" fillId="6" borderId="5" xfId="1"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70" fontId="4" fillId="6" borderId="1" xfId="1"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center" vertical="center"/>
      <protection locked="0"/>
    </xf>
    <xf numFmtId="1" fontId="4" fillId="3" borderId="0" xfId="0" applyNumberFormat="1" applyFont="1" applyFill="1" applyBorder="1" applyAlignment="1" applyProtection="1">
      <alignment horizontal="right" vertical="center"/>
    </xf>
    <xf numFmtId="0" fontId="3" fillId="3" borderId="0" xfId="413" applyFont="1" applyFill="1" applyAlignment="1" applyProtection="1">
      <alignment horizontal="centerContinuous" vertical="center"/>
    </xf>
    <xf numFmtId="0" fontId="4" fillId="3" borderId="2"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 fontId="4" fillId="3" borderId="16"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2" fontId="4" fillId="3" borderId="1"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7" fontId="4" fillId="2" borderId="1" xfId="0" applyNumberFormat="1" applyFont="1" applyFill="1" applyBorder="1" applyAlignment="1" applyProtection="1">
      <alignment horizontal="center" vertical="center"/>
      <protection locked="0"/>
    </xf>
    <xf numFmtId="169"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8"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horizontal="center" vertical="center"/>
    </xf>
    <xf numFmtId="169" fontId="3"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3" fillId="3"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37" fontId="4" fillId="2" borderId="11" xfId="0" applyNumberFormat="1" applyFont="1" applyFill="1" applyBorder="1" applyAlignment="1" applyProtection="1">
      <alignment vertical="center"/>
      <protection locked="0"/>
    </xf>
    <xf numFmtId="37" fontId="4" fillId="2" borderId="9"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xf>
    <xf numFmtId="0" fontId="4" fillId="3" borderId="16" xfId="0" applyFont="1" applyFill="1" applyBorder="1" applyAlignment="1" applyProtection="1">
      <alignment horizontal="left" vertical="center"/>
    </xf>
    <xf numFmtId="3" fontId="4" fillId="2" borderId="11"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37" fontId="4" fillId="2" borderId="1"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protection locked="0"/>
    </xf>
    <xf numFmtId="37" fontId="15" fillId="10" borderId="11" xfId="0" applyNumberFormat="1" applyFont="1" applyFill="1" applyBorder="1" applyAlignment="1" applyProtection="1">
      <alignment horizontal="center" vertical="center"/>
    </xf>
    <xf numFmtId="37" fontId="15" fillId="10" borderId="9"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left" vertical="center"/>
    </xf>
    <xf numFmtId="37" fontId="3" fillId="4" borderId="1" xfId="0" applyNumberFormat="1" applyFont="1" applyFill="1" applyBorder="1" applyAlignment="1" applyProtection="1">
      <alignment vertical="center"/>
    </xf>
    <xf numFmtId="3" fontId="3" fillId="4" borderId="1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0" fontId="3" fillId="3" borderId="0" xfId="0" applyFont="1" applyFill="1" applyAlignment="1" applyProtection="1">
      <alignment horizontal="left" vertical="center"/>
    </xf>
    <xf numFmtId="0" fontId="3" fillId="3" borderId="11" xfId="0" applyFont="1" applyFill="1" applyBorder="1" applyAlignment="1" applyProtection="1">
      <alignment horizontal="left" vertical="center"/>
    </xf>
    <xf numFmtId="3" fontId="4" fillId="4"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4" borderId="11" xfId="0" applyFont="1" applyFill="1" applyBorder="1" applyAlignment="1" applyProtection="1">
      <alignment vertical="center"/>
    </xf>
    <xf numFmtId="0" fontId="4" fillId="2" borderId="11" xfId="0" applyFont="1" applyFill="1" applyBorder="1" applyAlignment="1" applyProtection="1">
      <alignment vertical="center"/>
      <protection locked="0"/>
    </xf>
    <xf numFmtId="0" fontId="4" fillId="3" borderId="11" xfId="0" applyFont="1" applyFill="1" applyBorder="1" applyAlignment="1" applyProtection="1">
      <alignment vertical="center"/>
    </xf>
    <xf numFmtId="37" fontId="4" fillId="4" borderId="1" xfId="0" applyNumberFormat="1" applyFont="1" applyFill="1" applyBorder="1" applyAlignment="1" applyProtection="1">
      <alignment vertical="center"/>
    </xf>
    <xf numFmtId="0" fontId="15" fillId="0" borderId="0" xfId="0" applyFont="1" applyAlignment="1" applyProtection="1">
      <alignment vertical="center"/>
    </xf>
    <xf numFmtId="0" fontId="13" fillId="3" borderId="0" xfId="0" applyFont="1" applyFill="1" applyAlignment="1" applyProtection="1">
      <alignment horizontal="center" vertical="center"/>
    </xf>
    <xf numFmtId="0" fontId="4" fillId="3" borderId="0" xfId="0" applyFont="1" applyFill="1" applyAlignment="1" applyProtection="1">
      <alignment horizontal="fill" vertical="center"/>
    </xf>
    <xf numFmtId="1" fontId="4" fillId="3" borderId="3" xfId="0" applyNumberFormat="1" applyFont="1" applyFill="1" applyBorder="1" applyAlignment="1" applyProtection="1">
      <alignment horizontal="center" vertical="center"/>
    </xf>
    <xf numFmtId="0" fontId="4" fillId="6"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37" fontId="3" fillId="4" borderId="6" xfId="0" applyNumberFormat="1" applyFont="1" applyFill="1" applyBorder="1" applyAlignment="1" applyProtection="1">
      <alignment vertical="center"/>
    </xf>
    <xf numFmtId="0" fontId="15" fillId="3" borderId="0" xfId="0" applyFont="1" applyFill="1" applyAlignment="1" applyProtection="1">
      <alignment vertical="center"/>
    </xf>
    <xf numFmtId="37" fontId="4" fillId="3" borderId="1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fill" vertical="center"/>
    </xf>
    <xf numFmtId="3" fontId="4" fillId="11" borderId="1"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4" fillId="0" borderId="0" xfId="0" applyNumberFormat="1" applyFont="1" applyAlignment="1" applyProtection="1">
      <alignment horizontal="fill" vertical="center"/>
      <protection locked="0"/>
    </xf>
    <xf numFmtId="0" fontId="4" fillId="6" borderId="11" xfId="0" applyFont="1" applyFill="1" applyBorder="1" applyAlignment="1" applyProtection="1">
      <alignment vertical="center"/>
      <protection locked="0"/>
    </xf>
    <xf numFmtId="3" fontId="4" fillId="3" borderId="1" xfId="0" applyNumberFormat="1"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3" fontId="4" fillId="3" borderId="2" xfId="0" applyNumberFormat="1" applyFont="1" applyFill="1" applyBorder="1" applyAlignment="1" applyProtection="1">
      <alignment horizontal="fill" vertical="center"/>
    </xf>
    <xf numFmtId="0" fontId="4" fillId="3" borderId="15" xfId="0" applyFont="1" applyFill="1" applyBorder="1" applyAlignment="1" applyProtection="1">
      <alignment vertical="center"/>
    </xf>
    <xf numFmtId="166" fontId="4" fillId="3" borderId="2" xfId="0" applyNumberFormat="1" applyFont="1" applyFill="1" applyBorder="1" applyAlignment="1" applyProtection="1">
      <alignment vertical="center"/>
    </xf>
    <xf numFmtId="37" fontId="4" fillId="3" borderId="2" xfId="0" quotePrefix="1" applyNumberFormat="1" applyFont="1" applyFill="1" applyBorder="1" applyAlignment="1" applyProtection="1">
      <alignment horizontal="right" vertical="center"/>
    </xf>
    <xf numFmtId="37" fontId="4" fillId="2" borderId="11" xfId="0" applyNumberFormat="1" applyFont="1" applyFill="1" applyBorder="1" applyAlignment="1" applyProtection="1">
      <alignment horizontal="left" vertical="center"/>
      <protection locked="0"/>
    </xf>
    <xf numFmtId="37" fontId="15" fillId="10" borderId="1" xfId="0" applyNumberFormat="1" applyFont="1" applyFill="1" applyBorder="1" applyAlignment="1" applyProtection="1">
      <alignment horizontal="center" vertical="center"/>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1" fillId="3" borderId="3" xfId="0" applyFont="1" applyFill="1" applyBorder="1" applyAlignment="1">
      <alignment vertical="center"/>
    </xf>
    <xf numFmtId="0" fontId="11" fillId="3" borderId="9" xfId="0" applyFont="1" applyFill="1" applyBorder="1" applyAlignment="1">
      <alignment horizontal="center" vertical="center"/>
    </xf>
    <xf numFmtId="0" fontId="11" fillId="3" borderId="13" xfId="0" applyFont="1" applyFill="1" applyBorder="1" applyAlignment="1">
      <alignment vertical="center"/>
    </xf>
    <xf numFmtId="0" fontId="11" fillId="3" borderId="1" xfId="0" applyFont="1" applyFill="1" applyBorder="1" applyAlignment="1">
      <alignment horizontal="center" vertical="center"/>
    </xf>
    <xf numFmtId="0" fontId="4" fillId="3" borderId="9" xfId="0" applyFont="1" applyFill="1" applyBorder="1" applyAlignment="1">
      <alignment vertical="center"/>
    </xf>
    <xf numFmtId="0" fontId="4" fillId="3" borderId="1" xfId="0" applyFont="1" applyFill="1" applyBorder="1" applyAlignment="1">
      <alignment horizontal="center" vertical="center"/>
    </xf>
    <xf numFmtId="0" fontId="11" fillId="3" borderId="16" xfId="0" applyFont="1" applyFill="1" applyBorder="1" applyAlignment="1">
      <alignment vertical="center"/>
    </xf>
    <xf numFmtId="3" fontId="11" fillId="6" borderId="1" xfId="0" applyNumberFormat="1" applyFont="1" applyFill="1" applyBorder="1" applyAlignment="1" applyProtection="1">
      <alignment horizontal="center" vertical="center"/>
      <protection locked="0"/>
    </xf>
    <xf numFmtId="0" fontId="11" fillId="3" borderId="2" xfId="0" applyFont="1" applyFill="1" applyBorder="1" applyAlignment="1">
      <alignment vertical="center"/>
    </xf>
    <xf numFmtId="3" fontId="11" fillId="4"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6" borderId="1" xfId="0" applyFont="1" applyFill="1" applyBorder="1" applyAlignment="1" applyProtection="1">
      <alignment vertical="center"/>
      <protection locked="0"/>
    </xf>
    <xf numFmtId="0" fontId="11" fillId="6" borderId="13" xfId="0"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1" fillId="6" borderId="9" xfId="0" applyFont="1" applyFill="1" applyBorder="1" applyAlignment="1" applyProtection="1">
      <alignment vertical="center"/>
      <protection locked="0"/>
    </xf>
    <xf numFmtId="0" fontId="11" fillId="6" borderId="5" xfId="0" applyFont="1" applyFill="1" applyBorder="1" applyAlignment="1" applyProtection="1">
      <alignment vertical="center"/>
      <protection locked="0"/>
    </xf>
    <xf numFmtId="0" fontId="11" fillId="6" borderId="12" xfId="0" applyFont="1" applyFill="1" applyBorder="1" applyAlignment="1" applyProtection="1">
      <alignment vertical="center"/>
      <protection locked="0"/>
    </xf>
    <xf numFmtId="3" fontId="17" fillId="10" borderId="1" xfId="0" applyNumberFormat="1" applyFont="1" applyFill="1" applyBorder="1" applyAlignment="1">
      <alignment horizontal="center" vertical="center"/>
    </xf>
    <xf numFmtId="3" fontId="4" fillId="0" borderId="0" xfId="0" applyNumberFormat="1" applyFont="1" applyAlignment="1">
      <alignment vertical="center"/>
    </xf>
    <xf numFmtId="0" fontId="4" fillId="4" borderId="0" xfId="0" applyFont="1" applyFill="1" applyAlignment="1">
      <alignment vertical="center"/>
    </xf>
    <xf numFmtId="0" fontId="4" fillId="0" borderId="0" xfId="0" applyFont="1" applyAlignment="1">
      <alignment horizontal="centerContinuous" vertical="center"/>
    </xf>
    <xf numFmtId="1" fontId="4" fillId="3" borderId="11" xfId="0" applyNumberFormat="1" applyFont="1" applyFill="1" applyBorder="1" applyAlignment="1" applyProtection="1">
      <alignment horizontal="centerContinuous" vertical="center"/>
    </xf>
    <xf numFmtId="164" fontId="4" fillId="3" borderId="1" xfId="0" applyNumberFormat="1" applyFont="1" applyFill="1" applyBorder="1" applyAlignment="1" applyProtection="1">
      <alignment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2"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6"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6"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xf>
    <xf numFmtId="172" fontId="4" fillId="3" borderId="6" xfId="0" applyNumberFormat="1" applyFont="1" applyFill="1" applyBorder="1" applyAlignment="1" applyProtection="1">
      <alignment horizontal="center" vertical="center"/>
    </xf>
    <xf numFmtId="172" fontId="4" fillId="3" borderId="2"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2" xfId="0" applyNumberFormat="1" applyFont="1" applyFill="1" applyBorder="1" applyAlignment="1">
      <alignment horizontal="center" vertical="center"/>
    </xf>
    <xf numFmtId="0" fontId="0" fillId="3" borderId="0" xfId="0" applyFill="1" applyAlignment="1">
      <alignment horizontal="center" vertical="center"/>
    </xf>
    <xf numFmtId="172" fontId="4" fillId="3" borderId="2" xfId="0" applyNumberFormat="1" applyFont="1" applyFill="1" applyBorder="1" applyAlignment="1">
      <alignment horizontal="center" vertical="center"/>
    </xf>
    <xf numFmtId="171" fontId="4" fillId="3"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0" fontId="4" fillId="0" borderId="0" xfId="382" applyFont="1" applyAlignment="1">
      <alignment vertical="center"/>
    </xf>
    <xf numFmtId="0" fontId="4" fillId="0" borderId="0" xfId="99" applyFont="1" applyAlignment="1">
      <alignment vertical="center" wrapText="1"/>
    </xf>
    <xf numFmtId="0" fontId="4" fillId="6" borderId="2"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28" fillId="0" borderId="0" xfId="387"/>
    <xf numFmtId="0" fontId="4" fillId="0" borderId="0" xfId="387" applyFont="1" applyAlignment="1">
      <alignment horizontal="left" vertical="center"/>
    </xf>
    <xf numFmtId="173" fontId="11" fillId="0" borderId="0" xfId="387" applyNumberFormat="1" applyFont="1" applyAlignment="1">
      <alignment horizontal="left" vertical="center"/>
    </xf>
    <xf numFmtId="49" fontId="4" fillId="0" borderId="0" xfId="387" applyNumberFormat="1" applyFont="1" applyAlignment="1">
      <alignment horizontal="left" vertical="center"/>
    </xf>
    <xf numFmtId="0" fontId="11" fillId="0" borderId="0" xfId="387" applyFont="1" applyAlignment="1">
      <alignment horizontal="left" vertical="center"/>
    </xf>
    <xf numFmtId="174" fontId="11" fillId="0" borderId="0" xfId="387" applyNumberFormat="1" applyFont="1" applyAlignment="1">
      <alignment horizontal="left" vertical="center"/>
    </xf>
    <xf numFmtId="0" fontId="27" fillId="0" borderId="0" xfId="141" applyFont="1" applyFill="1"/>
    <xf numFmtId="0" fontId="27" fillId="0" borderId="0" xfId="141"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68" applyFont="1" applyAlignment="1">
      <alignment vertical="center"/>
    </xf>
    <xf numFmtId="0" fontId="5" fillId="0" borderId="0" xfId="72" applyFont="1" applyAlignment="1">
      <alignment vertical="center"/>
    </xf>
    <xf numFmtId="0" fontId="4" fillId="0" borderId="0" xfId="242" applyFont="1" applyAlignment="1">
      <alignment vertical="center" wrapText="1"/>
    </xf>
    <xf numFmtId="0" fontId="4" fillId="0" borderId="0" xfId="80" applyFont="1" applyAlignment="1">
      <alignment vertical="center" wrapText="1"/>
    </xf>
    <xf numFmtId="0" fontId="4" fillId="0" borderId="0" xfId="90" applyFont="1" applyAlignment="1">
      <alignment vertical="center" wrapText="1"/>
    </xf>
    <xf numFmtId="0" fontId="4" fillId="3" borderId="0" xfId="0" applyFont="1" applyFill="1"/>
    <xf numFmtId="0" fontId="47"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3" fontId="11" fillId="4" borderId="5" xfId="0" applyNumberFormat="1" applyFont="1" applyFill="1" applyBorder="1" applyAlignment="1">
      <alignment horizontal="center" vertical="center"/>
    </xf>
    <xf numFmtId="3" fontId="4" fillId="11" borderId="11" xfId="0" applyNumberFormat="1" applyFont="1" applyFill="1" applyBorder="1" applyAlignment="1" applyProtection="1">
      <alignment vertical="center"/>
    </xf>
    <xf numFmtId="37" fontId="13" fillId="3" borderId="1"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3" fontId="4" fillId="3" borderId="0" xfId="0" applyNumberFormat="1" applyFont="1" applyFill="1" applyBorder="1" applyAlignment="1" applyProtection="1">
      <alignment vertical="center"/>
    </xf>
    <xf numFmtId="3" fontId="4" fillId="3" borderId="0" xfId="0" applyNumberFormat="1" applyFont="1" applyFill="1" applyBorder="1" applyAlignment="1" applyProtection="1">
      <alignment horizontal="fill" vertical="center"/>
    </xf>
    <xf numFmtId="37" fontId="15" fillId="6"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protection locked="0"/>
    </xf>
    <xf numFmtId="0" fontId="4" fillId="3" borderId="0" xfId="40" applyFont="1" applyFill="1" applyAlignment="1" applyProtection="1">
      <alignment horizontal="right" vertical="center"/>
    </xf>
    <xf numFmtId="0" fontId="2" fillId="0" borderId="0" xfId="36"/>
    <xf numFmtId="0" fontId="4" fillId="3" borderId="0" xfId="36" applyFont="1" applyFill="1" applyAlignment="1" applyProtection="1">
      <alignment vertical="center"/>
    </xf>
    <xf numFmtId="0" fontId="4" fillId="0" borderId="0" xfId="36" applyFont="1" applyAlignment="1" applyProtection="1">
      <alignment vertical="center"/>
      <protection locked="0"/>
    </xf>
    <xf numFmtId="37" fontId="4" fillId="3" borderId="0" xfId="36" applyNumberFormat="1" applyFont="1" applyFill="1" applyAlignment="1" applyProtection="1">
      <alignment horizontal="left" vertical="center"/>
    </xf>
    <xf numFmtId="0" fontId="3" fillId="3" borderId="0" xfId="36" applyFont="1" applyFill="1" applyAlignment="1" applyProtection="1">
      <alignment vertical="center"/>
    </xf>
    <xf numFmtId="3" fontId="4" fillId="2" borderId="1" xfId="36" applyNumberFormat="1" applyFont="1" applyFill="1" applyBorder="1" applyAlignment="1" applyProtection="1">
      <alignment vertical="center"/>
      <protection locked="0"/>
    </xf>
    <xf numFmtId="3" fontId="4" fillId="4" borderId="1" xfId="36" applyNumberFormat="1" applyFont="1" applyFill="1" applyBorder="1" applyAlignment="1" applyProtection="1">
      <alignment vertical="center"/>
    </xf>
    <xf numFmtId="0" fontId="4" fillId="3" borderId="0" xfId="36" applyFont="1" applyFill="1" applyAlignment="1" applyProtection="1">
      <alignment vertical="center"/>
      <protection locked="0"/>
    </xf>
    <xf numFmtId="0" fontId="2" fillId="0" borderId="0" xfId="36" applyAlignment="1">
      <alignment vertical="center"/>
    </xf>
    <xf numFmtId="1" fontId="4" fillId="3" borderId="0" xfId="36" applyNumberFormat="1" applyFont="1" applyFill="1" applyBorder="1" applyAlignment="1" applyProtection="1">
      <alignment horizontal="right" vertical="center"/>
    </xf>
    <xf numFmtId="37" fontId="4" fillId="3" borderId="0" xfId="36" quotePrefix="1" applyNumberFormat="1" applyFont="1" applyFill="1" applyAlignment="1" applyProtection="1">
      <alignment horizontal="right" vertical="center"/>
    </xf>
    <xf numFmtId="37" fontId="4" fillId="3" borderId="11" xfId="36" applyNumberFormat="1" applyFont="1" applyFill="1" applyBorder="1" applyAlignment="1" applyProtection="1">
      <alignment horizontal="left" vertical="center"/>
    </xf>
    <xf numFmtId="3" fontId="4" fillId="3" borderId="1" xfId="36" applyNumberFormat="1" applyFont="1" applyFill="1" applyBorder="1" applyAlignment="1" applyProtection="1">
      <alignment vertical="center"/>
    </xf>
    <xf numFmtId="37" fontId="4" fillId="3" borderId="11" xfId="36" applyNumberFormat="1" applyFont="1" applyFill="1" applyBorder="1" applyAlignment="1" applyProtection="1">
      <alignment vertical="center"/>
    </xf>
    <xf numFmtId="0" fontId="4" fillId="3" borderId="11" xfId="36" applyFont="1" applyFill="1" applyBorder="1" applyAlignment="1" applyProtection="1">
      <alignment vertical="center"/>
    </xf>
    <xf numFmtId="37" fontId="4" fillId="3" borderId="0" xfId="36" applyNumberFormat="1" applyFont="1" applyFill="1" applyAlignment="1" applyProtection="1">
      <alignment vertical="center"/>
    </xf>
    <xf numFmtId="0" fontId="4" fillId="3" borderId="0" xfId="36" applyFont="1" applyFill="1" applyAlignment="1" applyProtection="1">
      <alignment horizontal="right" vertical="center"/>
    </xf>
    <xf numFmtId="37" fontId="4" fillId="3" borderId="0" xfId="36" applyNumberFormat="1" applyFont="1" applyFill="1" applyAlignment="1" applyProtection="1">
      <alignment horizontal="right" vertical="center"/>
    </xf>
    <xf numFmtId="3" fontId="4" fillId="3" borderId="1" xfId="36" applyNumberFormat="1" applyFont="1" applyFill="1" applyBorder="1" applyAlignment="1" applyProtection="1">
      <alignment horizontal="center" vertical="center"/>
    </xf>
    <xf numFmtId="37" fontId="4" fillId="3" borderId="0" xfId="36" applyNumberFormat="1" applyFont="1" applyFill="1" applyAlignment="1" applyProtection="1">
      <alignment horizontal="fill" vertical="center"/>
    </xf>
    <xf numFmtId="37" fontId="4" fillId="3" borderId="16" xfId="36" applyNumberFormat="1" applyFont="1" applyFill="1" applyBorder="1" applyAlignment="1" applyProtection="1">
      <alignment horizontal="left" vertical="center"/>
    </xf>
    <xf numFmtId="37" fontId="3" fillId="3" borderId="11" xfId="36" applyNumberFormat="1" applyFont="1" applyFill="1" applyBorder="1" applyAlignment="1" applyProtection="1">
      <alignment horizontal="left" vertical="center"/>
    </xf>
    <xf numFmtId="3" fontId="4" fillId="3" borderId="0" xfId="36" applyNumberFormat="1" applyFont="1" applyFill="1" applyAlignment="1" applyProtection="1">
      <alignment horizontal="center" vertical="center"/>
    </xf>
    <xf numFmtId="0" fontId="15" fillId="0" borderId="0" xfId="36" applyFont="1" applyAlignment="1" applyProtection="1">
      <alignment vertical="center"/>
    </xf>
    <xf numFmtId="0" fontId="13" fillId="3" borderId="0" xfId="36" applyFont="1" applyFill="1" applyAlignment="1" applyProtection="1">
      <alignment horizontal="center" vertical="center"/>
    </xf>
    <xf numFmtId="37" fontId="4" fillId="2" borderId="11" xfId="36" applyNumberFormat="1" applyFont="1" applyFill="1" applyBorder="1" applyAlignment="1" applyProtection="1">
      <alignment horizontal="left" vertical="center"/>
      <protection locked="0"/>
    </xf>
    <xf numFmtId="3" fontId="3" fillId="4" borderId="1" xfId="36" applyNumberFormat="1" applyFont="1" applyFill="1" applyBorder="1" applyAlignment="1" applyProtection="1">
      <alignment vertical="center"/>
    </xf>
    <xf numFmtId="0" fontId="4" fillId="3" borderId="11" xfId="36" applyFont="1" applyFill="1" applyBorder="1" applyAlignment="1" applyProtection="1">
      <alignment vertical="center"/>
      <protection locked="0"/>
    </xf>
    <xf numFmtId="3" fontId="4" fillId="3" borderId="1" xfId="36" applyNumberFormat="1" applyFont="1" applyFill="1" applyBorder="1" applyAlignment="1" applyProtection="1">
      <alignment horizontal="fill" vertical="center"/>
    </xf>
    <xf numFmtId="37" fontId="4" fillId="6" borderId="0" xfId="36" applyNumberFormat="1" applyFont="1" applyFill="1" applyAlignment="1" applyProtection="1">
      <alignment horizontal="left" vertical="center"/>
      <protection locked="0"/>
    </xf>
    <xf numFmtId="0" fontId="4" fillId="2" borderId="11" xfId="36" applyFont="1" applyFill="1" applyBorder="1" applyAlignment="1" applyProtection="1">
      <alignment horizontal="left" vertical="center"/>
      <protection locked="0"/>
    </xf>
    <xf numFmtId="3" fontId="3" fillId="3" borderId="1" xfId="36" applyNumberFormat="1" applyFont="1" applyFill="1" applyBorder="1" applyAlignment="1" applyProtection="1">
      <alignment vertical="center"/>
    </xf>
    <xf numFmtId="0" fontId="4" fillId="3" borderId="17" xfId="36" applyFont="1" applyFill="1" applyBorder="1" applyAlignment="1" applyProtection="1">
      <alignment vertical="center"/>
      <protection locked="0"/>
    </xf>
    <xf numFmtId="0" fontId="4" fillId="3" borderId="12" xfId="36" applyFont="1" applyFill="1" applyBorder="1" applyAlignment="1" applyProtection="1">
      <alignment vertical="center"/>
      <protection locked="0"/>
    </xf>
    <xf numFmtId="175" fontId="11" fillId="3" borderId="17" xfId="36" applyNumberFormat="1" applyFont="1" applyFill="1" applyBorder="1" applyAlignment="1" applyProtection="1">
      <alignment vertical="center"/>
      <protection locked="0"/>
    </xf>
    <xf numFmtId="175" fontId="11" fillId="3" borderId="16" xfId="36" applyNumberFormat="1" applyFont="1" applyFill="1" applyBorder="1" applyAlignment="1" applyProtection="1">
      <alignment horizontal="center" vertical="center"/>
      <protection locked="0"/>
    </xf>
    <xf numFmtId="175" fontId="11" fillId="3" borderId="17" xfId="36" applyNumberFormat="1" applyFont="1" applyFill="1" applyBorder="1" applyAlignment="1" applyProtection="1">
      <alignment horizontal="center" vertical="center"/>
      <protection locked="0"/>
    </xf>
    <xf numFmtId="0" fontId="11" fillId="3" borderId="0" xfId="36" applyFont="1" applyFill="1" applyBorder="1" applyAlignment="1" applyProtection="1">
      <alignment vertical="center"/>
      <protection locked="0"/>
    </xf>
    <xf numFmtId="0" fontId="11" fillId="3" borderId="0" xfId="36" applyFont="1" applyFill="1" applyBorder="1" applyAlignment="1" applyProtection="1">
      <alignment horizontal="left" vertical="center"/>
      <protection locked="0"/>
    </xf>
    <xf numFmtId="37" fontId="4" fillId="6" borderId="11" xfId="36" applyNumberFormat="1" applyFont="1" applyFill="1" applyBorder="1" applyAlignment="1" applyProtection="1">
      <alignment horizontal="right" vertical="center"/>
      <protection locked="0"/>
    </xf>
    <xf numFmtId="3" fontId="3" fillId="4" borderId="11" xfId="36" applyNumberFormat="1" applyFont="1" applyFill="1" applyBorder="1" applyAlignment="1" applyProtection="1">
      <alignment vertical="center"/>
    </xf>
    <xf numFmtId="3" fontId="4" fillId="3" borderId="11" xfId="36" applyNumberFormat="1" applyFont="1" applyFill="1" applyBorder="1" applyAlignment="1" applyProtection="1">
      <alignment vertical="center"/>
    </xf>
    <xf numFmtId="37" fontId="4" fillId="6" borderId="11" xfId="36" applyNumberFormat="1" applyFont="1" applyFill="1" applyBorder="1" applyAlignment="1" applyProtection="1">
      <alignment vertical="center"/>
      <protection locked="0"/>
    </xf>
    <xf numFmtId="3" fontId="4" fillId="2" borderId="11" xfId="36" applyNumberFormat="1" applyFont="1" applyFill="1" applyBorder="1" applyAlignment="1" applyProtection="1">
      <alignment vertical="center"/>
      <protection locked="0"/>
    </xf>
    <xf numFmtId="3" fontId="3" fillId="3" borderId="11" xfId="36" applyNumberFormat="1" applyFont="1" applyFill="1" applyBorder="1" applyAlignment="1" applyProtection="1">
      <alignment vertical="center"/>
    </xf>
    <xf numFmtId="3" fontId="4" fillId="4" borderId="11" xfId="36" applyNumberFormat="1" applyFont="1" applyFill="1" applyBorder="1" applyAlignment="1" applyProtection="1">
      <alignment vertical="center"/>
    </xf>
    <xf numFmtId="37" fontId="3" fillId="3" borderId="2" xfId="36" applyNumberFormat="1" applyFont="1" applyFill="1" applyBorder="1" applyAlignment="1" applyProtection="1">
      <alignment vertical="center"/>
    </xf>
    <xf numFmtId="37" fontId="3" fillId="3" borderId="0" xfId="36" applyNumberFormat="1" applyFont="1" applyFill="1" applyBorder="1" applyAlignment="1" applyProtection="1">
      <alignment vertical="center"/>
    </xf>
    <xf numFmtId="0" fontId="8" fillId="7" borderId="1" xfId="0" applyFont="1" applyFill="1" applyBorder="1" applyAlignment="1" applyProtection="1">
      <alignment vertical="center" shrinkToFit="1"/>
    </xf>
    <xf numFmtId="37" fontId="4" fillId="3" borderId="4" xfId="36" applyNumberFormat="1" applyFont="1" applyFill="1" applyBorder="1" applyAlignment="1" applyProtection="1">
      <alignment horizontal="center" vertical="center"/>
    </xf>
    <xf numFmtId="37" fontId="4" fillId="3" borderId="5" xfId="36"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7" borderId="0" xfId="0" applyFont="1" applyFill="1"/>
    <xf numFmtId="0" fontId="36" fillId="3" borderId="0" xfId="0" applyFont="1" applyFill="1"/>
    <xf numFmtId="0" fontId="48" fillId="7" borderId="0" xfId="0" applyFont="1" applyFill="1" applyAlignment="1">
      <alignment horizontal="center" wrapText="1"/>
    </xf>
    <xf numFmtId="0" fontId="48" fillId="3" borderId="0" xfId="0" applyFont="1" applyFill="1"/>
    <xf numFmtId="0" fontId="36" fillId="3" borderId="0" xfId="0" applyFont="1" applyFill="1" applyAlignment="1">
      <alignment horizontal="center"/>
    </xf>
    <xf numFmtId="0" fontId="48" fillId="3" borderId="18" xfId="0" applyFont="1" applyFill="1" applyBorder="1"/>
    <xf numFmtId="0" fontId="36" fillId="3" borderId="19" xfId="0" applyFont="1" applyFill="1" applyBorder="1"/>
    <xf numFmtId="0" fontId="36" fillId="3" borderId="20" xfId="0" applyFont="1" applyFill="1" applyBorder="1"/>
    <xf numFmtId="175" fontId="36" fillId="3" borderId="21" xfId="0" applyNumberFormat="1" applyFont="1" applyFill="1" applyBorder="1"/>
    <xf numFmtId="0" fontId="36" fillId="3" borderId="0" xfId="0" applyFont="1" applyFill="1" applyBorder="1"/>
    <xf numFmtId="175" fontId="36" fillId="3" borderId="2" xfId="0" applyNumberFormat="1" applyFont="1" applyFill="1" applyBorder="1" applyAlignment="1">
      <alignment horizontal="center"/>
    </xf>
    <xf numFmtId="0" fontId="36" fillId="3" borderId="22" xfId="0" applyFont="1" applyFill="1" applyBorder="1"/>
    <xf numFmtId="0" fontId="36" fillId="3" borderId="23" xfId="0" applyFont="1" applyFill="1" applyBorder="1"/>
    <xf numFmtId="0" fontId="36" fillId="3" borderId="24" xfId="0" applyFont="1" applyFill="1" applyBorder="1"/>
    <xf numFmtId="0" fontId="36" fillId="3" borderId="25" xfId="0" applyFont="1" applyFill="1" applyBorder="1"/>
    <xf numFmtId="175" fontId="36" fillId="3" borderId="0" xfId="0" applyNumberFormat="1" applyFont="1" applyFill="1"/>
    <xf numFmtId="0" fontId="36" fillId="3" borderId="18" xfId="0" applyFont="1" applyFill="1" applyBorder="1"/>
    <xf numFmtId="0" fontId="36" fillId="3" borderId="26" xfId="0" applyFont="1" applyFill="1" applyBorder="1"/>
    <xf numFmtId="175" fontId="36" fillId="6" borderId="21" xfId="0" applyNumberFormat="1" applyFont="1" applyFill="1" applyBorder="1" applyAlignment="1" applyProtection="1">
      <alignment horizontal="center"/>
      <protection locked="0"/>
    </xf>
    <xf numFmtId="172" fontId="36" fillId="3" borderId="0" xfId="0" applyNumberFormat="1" applyFont="1" applyFill="1" applyBorder="1" applyAlignment="1">
      <alignment horizontal="center"/>
    </xf>
    <xf numFmtId="0" fontId="49" fillId="0" borderId="0" xfId="0" applyFont="1" applyBorder="1"/>
    <xf numFmtId="0" fontId="36" fillId="0" borderId="0" xfId="0" applyFont="1" applyBorder="1"/>
    <xf numFmtId="0" fontId="48" fillId="0" borderId="0" xfId="0" applyFont="1" applyBorder="1" applyAlignment="1">
      <alignment horizontal="centerContinuous"/>
    </xf>
    <xf numFmtId="0" fontId="36" fillId="0" borderId="0" xfId="0" applyFont="1" applyBorder="1" applyAlignment="1">
      <alignment horizontal="centerContinuous"/>
    </xf>
    <xf numFmtId="0" fontId="36" fillId="7" borderId="0" xfId="0" applyFont="1" applyFill="1" applyBorder="1"/>
    <xf numFmtId="0" fontId="36" fillId="3" borderId="27" xfId="0" applyFont="1" applyFill="1" applyBorder="1"/>
    <xf numFmtId="0" fontId="36" fillId="3" borderId="10" xfId="0" applyFont="1" applyFill="1" applyBorder="1"/>
    <xf numFmtId="0" fontId="36" fillId="3" borderId="28" xfId="0" applyFont="1" applyFill="1" applyBorder="1"/>
    <xf numFmtId="5" fontId="36" fillId="3" borderId="24" xfId="0" applyNumberFormat="1" applyFont="1" applyFill="1" applyBorder="1" applyAlignment="1">
      <alignment horizontal="center"/>
    </xf>
    <xf numFmtId="0" fontId="36" fillId="3" borderId="24" xfId="0" applyFont="1" applyFill="1" applyBorder="1" applyAlignment="1">
      <alignment horizontal="center"/>
    </xf>
    <xf numFmtId="172" fontId="36" fillId="3" borderId="24" xfId="0" applyNumberFormat="1" applyFont="1" applyFill="1" applyBorder="1" applyAlignment="1">
      <alignment horizontal="center"/>
    </xf>
    <xf numFmtId="176" fontId="36" fillId="3" borderId="24" xfId="0" applyNumberFormat="1" applyFont="1" applyFill="1" applyBorder="1" applyAlignment="1">
      <alignment horizontal="center"/>
    </xf>
    <xf numFmtId="0" fontId="36" fillId="3" borderId="0" xfId="0" applyFont="1" applyFill="1" applyAlignment="1">
      <alignment horizontal="center" wrapText="1"/>
    </xf>
    <xf numFmtId="0" fontId="48" fillId="3" borderId="18" xfId="0" applyFont="1" applyFill="1" applyBorder="1" applyAlignment="1"/>
    <xf numFmtId="0" fontId="36" fillId="3" borderId="19" xfId="0" applyFont="1" applyFill="1" applyBorder="1" applyAlignment="1"/>
    <xf numFmtId="0" fontId="36" fillId="3" borderId="20" xfId="0" applyFont="1" applyFill="1" applyBorder="1" applyAlignment="1"/>
    <xf numFmtId="0" fontId="36" fillId="3" borderId="26" xfId="0" applyFont="1" applyFill="1" applyBorder="1" applyAlignment="1"/>
    <xf numFmtId="0" fontId="36" fillId="3" borderId="22" xfId="0" applyFont="1" applyFill="1" applyBorder="1" applyAlignment="1"/>
    <xf numFmtId="0" fontId="36" fillId="3" borderId="27" xfId="0" applyFont="1" applyFill="1" applyBorder="1" applyAlignment="1"/>
    <xf numFmtId="0" fontId="36" fillId="3" borderId="10" xfId="0" applyFont="1" applyFill="1" applyBorder="1" applyAlignment="1"/>
    <xf numFmtId="0" fontId="36" fillId="3" borderId="28" xfId="0" applyFont="1" applyFill="1" applyBorder="1" applyAlignment="1"/>
    <xf numFmtId="171" fontId="36" fillId="3" borderId="0" xfId="0" applyNumberFormat="1" applyFont="1" applyFill="1" applyBorder="1" applyAlignment="1">
      <alignment horizontal="center"/>
    </xf>
    <xf numFmtId="0" fontId="36" fillId="3" borderId="23" xfId="0" applyFont="1" applyFill="1" applyBorder="1" applyAlignment="1"/>
    <xf numFmtId="5" fontId="36" fillId="3" borderId="0" xfId="0" applyNumberFormat="1" applyFont="1" applyFill="1" applyBorder="1" applyAlignment="1">
      <alignment horizontal="center"/>
    </xf>
    <xf numFmtId="0" fontId="36" fillId="7" borderId="0" xfId="0" applyFont="1" applyFill="1" applyAlignment="1"/>
    <xf numFmtId="172" fontId="36" fillId="6" borderId="2" xfId="0" applyNumberFormat="1" applyFont="1" applyFill="1" applyBorder="1" applyAlignment="1" applyProtection="1">
      <alignment horizontal="center"/>
      <protection locked="0"/>
    </xf>
    <xf numFmtId="176" fontId="36" fillId="3" borderId="0" xfId="0" applyNumberFormat="1" applyFont="1" applyFill="1" applyBorder="1"/>
    <xf numFmtId="0" fontId="36" fillId="12"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10" applyFont="1" applyAlignment="1" applyProtection="1"/>
    <xf numFmtId="3" fontId="4" fillId="3" borderId="5" xfId="0" applyNumberFormat="1"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 fontId="4" fillId="6" borderId="11" xfId="36" applyNumberFormat="1" applyFont="1" applyFill="1" applyBorder="1" applyAlignment="1" applyProtection="1">
      <alignment horizontal="right" vertical="center"/>
      <protection locked="0"/>
    </xf>
    <xf numFmtId="0" fontId="4" fillId="0" borderId="0" xfId="40" applyFont="1" applyAlignment="1">
      <alignment vertical="center" wrapText="1"/>
    </xf>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40" applyFont="1" applyAlignment="1">
      <alignment vertical="center"/>
    </xf>
    <xf numFmtId="0" fontId="50" fillId="0" borderId="0" xfId="0" applyFont="1" applyAlignment="1">
      <alignment wrapText="1"/>
    </xf>
    <xf numFmtId="0" fontId="23" fillId="0" borderId="0" xfId="0" applyFont="1" applyAlignment="1">
      <alignment wrapText="1"/>
    </xf>
    <xf numFmtId="172" fontId="4" fillId="6" borderId="12" xfId="36" applyNumberFormat="1" applyFont="1" applyFill="1" applyBorder="1" applyAlignment="1" applyProtection="1">
      <alignment horizontal="center"/>
      <protection locked="0"/>
    </xf>
    <xf numFmtId="0" fontId="40" fillId="3" borderId="17" xfId="36" applyFont="1" applyFill="1" applyBorder="1" applyProtection="1"/>
    <xf numFmtId="0" fontId="4" fillId="3" borderId="0" xfId="36" applyFont="1" applyFill="1" applyBorder="1" applyProtection="1"/>
    <xf numFmtId="175" fontId="4" fillId="3" borderId="12" xfId="36" applyNumberFormat="1" applyFont="1" applyFill="1" applyBorder="1" applyAlignment="1" applyProtection="1">
      <alignment horizontal="center"/>
    </xf>
    <xf numFmtId="0" fontId="4" fillId="3" borderId="16" xfId="36" applyFont="1" applyFill="1" applyBorder="1" applyProtection="1"/>
    <xf numFmtId="0" fontId="4" fillId="3" borderId="2" xfId="36" applyFont="1" applyFill="1" applyBorder="1" applyProtection="1"/>
    <xf numFmtId="175" fontId="4" fillId="10" borderId="8" xfId="36" applyNumberFormat="1" applyFont="1" applyFill="1" applyBorder="1" applyAlignment="1" applyProtection="1">
      <alignment horizontal="center"/>
    </xf>
    <xf numFmtId="0" fontId="4" fillId="0" borderId="0" xfId="36" applyFont="1" applyFill="1" applyBorder="1" applyProtection="1"/>
    <xf numFmtId="0" fontId="4" fillId="3" borderId="17" xfId="36" applyFont="1" applyFill="1" applyBorder="1" applyProtection="1"/>
    <xf numFmtId="0" fontId="4" fillId="3" borderId="12" xfId="36" applyFont="1" applyFill="1" applyBorder="1" applyProtection="1"/>
    <xf numFmtId="171" fontId="4" fillId="3" borderId="12" xfId="36" applyNumberFormat="1" applyFont="1" applyFill="1" applyBorder="1" applyAlignment="1" applyProtection="1">
      <alignment horizontal="center"/>
    </xf>
    <xf numFmtId="0" fontId="4" fillId="10" borderId="17" xfId="36" applyFont="1" applyFill="1" applyBorder="1" applyProtection="1"/>
    <xf numFmtId="0" fontId="4" fillId="10" borderId="0" xfId="36" applyFont="1" applyFill="1" applyBorder="1" applyProtection="1"/>
    <xf numFmtId="0" fontId="4" fillId="10" borderId="16" xfId="36" applyFont="1" applyFill="1" applyBorder="1" applyProtection="1"/>
    <xf numFmtId="0" fontId="4" fillId="10" borderId="2" xfId="36" applyFont="1" applyFill="1" applyBorder="1" applyProtection="1"/>
    <xf numFmtId="0" fontId="4" fillId="0" borderId="0" xfId="36" applyFont="1" applyProtection="1"/>
    <xf numFmtId="175" fontId="4" fillId="3" borderId="8" xfId="36" applyNumberFormat="1" applyFont="1" applyFill="1" applyBorder="1" applyAlignment="1" applyProtection="1">
      <alignment horizontal="center"/>
    </xf>
    <xf numFmtId="0" fontId="5" fillId="0" borderId="0" xfId="73" applyFont="1" applyAlignment="1">
      <alignment vertical="center"/>
    </xf>
    <xf numFmtId="0" fontId="51" fillId="0" borderId="0" xfId="0" applyFont="1" applyAlignment="1">
      <alignment vertical="center"/>
    </xf>
    <xf numFmtId="0" fontId="52" fillId="0" borderId="0" xfId="0" applyFont="1" applyAlignment="1" applyProtection="1">
      <alignment horizontal="center" vertical="center"/>
      <protection locked="0"/>
    </xf>
    <xf numFmtId="0" fontId="53" fillId="3" borderId="0" xfId="0" applyFont="1" applyFill="1" applyAlignment="1" applyProtection="1">
      <alignment horizontal="center" vertical="center"/>
    </xf>
    <xf numFmtId="37" fontId="4" fillId="3" borderId="29" xfId="0" applyNumberFormat="1" applyFont="1" applyFill="1" applyBorder="1" applyAlignment="1" applyProtection="1">
      <alignment vertical="center"/>
    </xf>
    <xf numFmtId="0" fontId="4" fillId="3" borderId="29" xfId="0" applyFont="1" applyFill="1" applyBorder="1" applyAlignment="1" applyProtection="1">
      <alignment vertical="center"/>
    </xf>
    <xf numFmtId="170" fontId="4" fillId="6" borderId="1" xfId="1" applyNumberFormat="1" applyFont="1" applyFill="1" applyBorder="1" applyAlignment="1" applyProtection="1">
      <alignment vertical="center"/>
      <protection locked="0"/>
    </xf>
    <xf numFmtId="37" fontId="3" fillId="3" borderId="0" xfId="0" applyNumberFormat="1" applyFont="1" applyFill="1" applyBorder="1" applyAlignment="1" applyProtection="1">
      <alignment vertical="center"/>
    </xf>
    <xf numFmtId="0" fontId="4" fillId="2" borderId="11" xfId="26" applyNumberFormat="1" applyFont="1" applyFill="1" applyBorder="1" applyAlignment="1" applyProtection="1">
      <alignment horizontal="left" vertical="center"/>
      <protection locked="0"/>
    </xf>
    <xf numFmtId="0" fontId="4" fillId="2" borderId="11" xfId="40" applyNumberFormat="1" applyFont="1" applyFill="1" applyBorder="1" applyAlignment="1" applyProtection="1">
      <alignment horizontal="left" vertical="center"/>
      <protection locked="0"/>
    </xf>
    <xf numFmtId="0" fontId="4" fillId="3" borderId="0" xfId="36" applyFont="1" applyFill="1" applyBorder="1" applyAlignment="1" applyProtection="1">
      <alignment vertical="center"/>
      <protection locked="0"/>
    </xf>
    <xf numFmtId="0" fontId="4" fillId="3" borderId="0" xfId="36" applyFont="1" applyFill="1" applyBorder="1" applyAlignment="1" applyProtection="1">
      <alignment vertical="center"/>
    </xf>
    <xf numFmtId="0" fontId="40" fillId="3" borderId="0" xfId="36" applyFont="1" applyFill="1" applyBorder="1" applyAlignment="1" applyProtection="1">
      <alignment vertical="center"/>
      <protection locked="0"/>
    </xf>
    <xf numFmtId="175" fontId="40" fillId="6" borderId="1" xfId="36" applyNumberFormat="1" applyFont="1" applyFill="1" applyBorder="1" applyAlignment="1" applyProtection="1">
      <alignment horizontal="center" vertical="center"/>
      <protection locked="0"/>
    </xf>
    <xf numFmtId="0" fontId="4" fillId="3" borderId="17" xfId="36" applyFont="1" applyFill="1" applyBorder="1" applyAlignment="1" applyProtection="1">
      <alignment vertical="center"/>
    </xf>
    <xf numFmtId="0" fontId="4" fillId="3" borderId="12" xfId="36" applyFont="1" applyFill="1" applyBorder="1" applyAlignment="1" applyProtection="1">
      <alignment vertical="center"/>
    </xf>
    <xf numFmtId="175" fontId="40" fillId="3" borderId="17" xfId="36" applyNumberFormat="1" applyFont="1" applyFill="1" applyBorder="1" applyAlignment="1" applyProtection="1">
      <alignment horizontal="center" vertical="center"/>
    </xf>
    <xf numFmtId="0" fontId="40" fillId="3" borderId="0" xfId="36" applyFont="1" applyFill="1" applyBorder="1" applyAlignment="1" applyProtection="1">
      <alignment horizontal="left" vertical="center"/>
    </xf>
    <xf numFmtId="0" fontId="40" fillId="3" borderId="12" xfId="36" applyFont="1" applyFill="1" applyBorder="1" applyAlignment="1" applyProtection="1">
      <alignment vertical="center"/>
    </xf>
    <xf numFmtId="0" fontId="40" fillId="3" borderId="0" xfId="36" applyFont="1" applyFill="1" applyBorder="1" applyAlignment="1" applyProtection="1">
      <alignment vertical="center"/>
    </xf>
    <xf numFmtId="175" fontId="40" fillId="3" borderId="16" xfId="36" applyNumberFormat="1" applyFont="1" applyFill="1" applyBorder="1" applyAlignment="1" applyProtection="1">
      <alignment horizontal="center" vertical="center"/>
    </xf>
    <xf numFmtId="175" fontId="40" fillId="3" borderId="17" xfId="36" applyNumberFormat="1" applyFont="1" applyFill="1" applyBorder="1" applyAlignment="1" applyProtection="1">
      <alignment vertical="center"/>
    </xf>
    <xf numFmtId="0" fontId="42" fillId="10" borderId="2" xfId="36" applyFont="1" applyFill="1" applyBorder="1" applyAlignment="1" applyProtection="1">
      <alignment vertical="center"/>
    </xf>
    <xf numFmtId="0" fontId="40" fillId="10" borderId="8" xfId="36" applyFont="1" applyFill="1" applyBorder="1" applyAlignment="1" applyProtection="1">
      <alignment vertical="center"/>
    </xf>
    <xf numFmtId="0" fontId="4" fillId="10" borderId="8" xfId="36" applyFont="1" applyFill="1" applyBorder="1" applyAlignment="1" applyProtection="1">
      <alignment vertical="center"/>
    </xf>
    <xf numFmtId="0" fontId="40" fillId="3" borderId="17" xfId="36" applyFont="1" applyFill="1" applyBorder="1" applyAlignment="1" applyProtection="1">
      <alignment horizontal="left" vertical="center"/>
    </xf>
    <xf numFmtId="175" fontId="42" fillId="10" borderId="16" xfId="36" applyNumberFormat="1" applyFont="1" applyFill="1" applyBorder="1" applyAlignment="1" applyProtection="1">
      <alignment horizontal="center" vertical="center"/>
    </xf>
    <xf numFmtId="175" fontId="42" fillId="10" borderId="8" xfId="36" applyNumberFormat="1" applyFont="1" applyFill="1" applyBorder="1" applyAlignment="1" applyProtection="1">
      <alignment horizontal="center" vertical="center"/>
      <protection locked="0"/>
    </xf>
    <xf numFmtId="172" fontId="40" fillId="3" borderId="9" xfId="36" applyNumberFormat="1" applyFont="1" applyFill="1" applyBorder="1" applyAlignment="1" applyProtection="1">
      <alignment horizontal="center" vertical="center"/>
      <protection locked="0"/>
    </xf>
    <xf numFmtId="0" fontId="40" fillId="3" borderId="17" xfId="36" applyFont="1" applyFill="1" applyBorder="1" applyAlignment="1" applyProtection="1">
      <alignment vertical="center"/>
    </xf>
    <xf numFmtId="37" fontId="4" fillId="0" borderId="0"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171" fontId="4" fillId="3" borderId="0" xfId="0" applyNumberFormat="1" applyFont="1" applyFill="1" applyBorder="1" applyAlignment="1" applyProtection="1">
      <alignment horizontal="center" vertical="center"/>
    </xf>
    <xf numFmtId="3" fontId="4" fillId="3" borderId="30" xfId="0" applyNumberFormat="1" applyFont="1" applyFill="1" applyBorder="1" applyAlignment="1" applyProtection="1">
      <alignment horizontal="center" vertical="center"/>
    </xf>
    <xf numFmtId="172" fontId="4" fillId="3" borderId="30" xfId="0" applyNumberFormat="1" applyFont="1" applyFill="1" applyBorder="1" applyAlignment="1" applyProtection="1">
      <alignment horizontal="center" vertical="center"/>
    </xf>
    <xf numFmtId="37" fontId="4" fillId="3" borderId="0" xfId="0" applyNumberFormat="1" applyFont="1" applyFill="1" applyAlignment="1" applyProtection="1">
      <alignment horizontal="left" vertical="center"/>
      <protection locked="0"/>
    </xf>
    <xf numFmtId="37" fontId="4" fillId="3" borderId="2" xfId="0" applyNumberFormat="1" applyFont="1" applyFill="1" applyBorder="1" applyAlignment="1" applyProtection="1">
      <alignment vertical="center"/>
      <protection locked="0"/>
    </xf>
    <xf numFmtId="37" fontId="4" fillId="3" borderId="3" xfId="26" applyNumberFormat="1" applyFont="1" applyFill="1" applyBorder="1" applyAlignment="1" applyProtection="1">
      <alignment horizontal="center"/>
    </xf>
    <xf numFmtId="37" fontId="4" fillId="3" borderId="5" xfId="26" applyNumberFormat="1" applyFont="1" applyFill="1" applyBorder="1" applyAlignment="1" applyProtection="1">
      <alignment horizontal="center"/>
    </xf>
    <xf numFmtId="3" fontId="4" fillId="4" borderId="6"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0" fontId="3" fillId="3" borderId="2" xfId="0" applyFont="1" applyFill="1" applyBorder="1" applyAlignment="1" applyProtection="1">
      <alignment vertical="center"/>
    </xf>
    <xf numFmtId="0" fontId="48" fillId="3" borderId="26" xfId="0" applyFont="1" applyFill="1" applyBorder="1" applyAlignment="1">
      <alignment horizontal="centerContinuous" vertical="center"/>
    </xf>
    <xf numFmtId="175" fontId="48" fillId="3" borderId="0" xfId="0" applyNumberFormat="1" applyFont="1" applyFill="1" applyBorder="1" applyAlignment="1">
      <alignment horizontal="centerContinuous" vertical="center"/>
    </xf>
    <xf numFmtId="0" fontId="48" fillId="3" borderId="0" xfId="0" applyFont="1" applyFill="1" applyBorder="1" applyAlignment="1">
      <alignment horizontal="centerContinuous" vertical="center"/>
    </xf>
    <xf numFmtId="172" fontId="48" fillId="3" borderId="0" xfId="0" applyNumberFormat="1" applyFont="1" applyFill="1" applyBorder="1" applyAlignment="1" applyProtection="1">
      <alignment horizontal="centerContinuous" vertical="center"/>
      <protection locked="0"/>
    </xf>
    <xf numFmtId="176" fontId="48" fillId="3" borderId="0" xfId="0" applyNumberFormat="1" applyFont="1" applyFill="1" applyBorder="1" applyAlignment="1">
      <alignment horizontal="centerContinuous" vertical="center"/>
    </xf>
    <xf numFmtId="0" fontId="48" fillId="3" borderId="22" xfId="0" applyFont="1" applyFill="1" applyBorder="1" applyAlignment="1">
      <alignment horizontal="centerContinuous" vertical="center"/>
    </xf>
    <xf numFmtId="0" fontId="48" fillId="3" borderId="26" xfId="0" applyFont="1" applyFill="1" applyBorder="1" applyAlignment="1">
      <alignment horizontal="centerContinuous"/>
    </xf>
    <xf numFmtId="175" fontId="48" fillId="3" borderId="0" xfId="0" applyNumberFormat="1" applyFont="1" applyFill="1" applyBorder="1" applyAlignment="1">
      <alignment horizontal="centerContinuous"/>
    </xf>
    <xf numFmtId="0" fontId="48" fillId="3" borderId="0" xfId="0" applyFont="1" applyFill="1" applyBorder="1" applyAlignment="1">
      <alignment horizontal="centerContinuous"/>
    </xf>
    <xf numFmtId="172" fontId="48" fillId="3" borderId="0" xfId="0" applyNumberFormat="1" applyFont="1" applyFill="1" applyBorder="1" applyAlignment="1" applyProtection="1">
      <alignment horizontal="centerContinuous"/>
      <protection locked="0"/>
    </xf>
    <xf numFmtId="176" fontId="48" fillId="3" borderId="0" xfId="0" applyNumberFormat="1" applyFont="1" applyFill="1" applyBorder="1" applyAlignment="1">
      <alignment horizontal="centerContinuous"/>
    </xf>
    <xf numFmtId="0" fontId="48" fillId="3" borderId="22" xfId="0" applyFont="1" applyFill="1" applyBorder="1" applyAlignment="1">
      <alignment horizontal="centerContinuous"/>
    </xf>
    <xf numFmtId="175" fontId="36" fillId="0" borderId="0" xfId="0" applyNumberFormat="1" applyFont="1"/>
    <xf numFmtId="175" fontId="36" fillId="3" borderId="24" xfId="0" applyNumberFormat="1" applyFont="1" applyFill="1" applyBorder="1" applyAlignment="1">
      <alignment horizontal="center"/>
    </xf>
    <xf numFmtId="172" fontId="36" fillId="3" borderId="24" xfId="0" applyNumberFormat="1" applyFont="1" applyFill="1" applyBorder="1" applyAlignment="1" applyProtection="1">
      <alignment horizontal="center"/>
      <protection locked="0"/>
    </xf>
    <xf numFmtId="176" fontId="36" fillId="3" borderId="24" xfId="0" applyNumberFormat="1" applyFont="1" applyFill="1" applyBorder="1"/>
    <xf numFmtId="172" fontId="36" fillId="3" borderId="0" xfId="0" applyNumberFormat="1" applyFont="1" applyFill="1" applyBorder="1" applyAlignment="1" applyProtection="1">
      <alignment horizontal="center"/>
      <protection locked="0"/>
    </xf>
    <xf numFmtId="175" fontId="36" fillId="3" borderId="19" xfId="0" applyNumberFormat="1" applyFont="1" applyFill="1" applyBorder="1" applyAlignment="1">
      <alignment horizontal="center"/>
    </xf>
    <xf numFmtId="0" fontId="36" fillId="3" borderId="19" xfId="0" applyFont="1" applyFill="1" applyBorder="1" applyAlignment="1">
      <alignment horizontal="center"/>
    </xf>
    <xf numFmtId="172" fontId="36" fillId="3" borderId="19" xfId="0" applyNumberFormat="1" applyFont="1" applyFill="1" applyBorder="1" applyAlignment="1" applyProtection="1">
      <alignment horizontal="center"/>
      <protection locked="0"/>
    </xf>
    <xf numFmtId="176" fontId="36" fillId="3" borderId="19" xfId="0" applyNumberFormat="1" applyFont="1" applyFill="1" applyBorder="1"/>
    <xf numFmtId="175" fontId="36" fillId="3" borderId="0" xfId="0" applyNumberFormat="1" applyFont="1" applyFill="1" applyBorder="1" applyAlignment="1" applyProtection="1">
      <alignment horizontal="center"/>
      <protection locked="0"/>
    </xf>
    <xf numFmtId="175" fontId="4" fillId="10" borderId="12" xfId="36" applyNumberFormat="1" applyFont="1" applyFill="1" applyBorder="1" applyAlignment="1" applyProtection="1">
      <alignment horizontal="center"/>
    </xf>
    <xf numFmtId="0" fontId="4" fillId="10" borderId="16" xfId="0" applyFont="1" applyFill="1" applyBorder="1" applyAlignment="1">
      <alignment vertical="center"/>
    </xf>
    <xf numFmtId="0" fontId="4" fillId="10" borderId="2" xfId="0" applyFont="1" applyFill="1" applyBorder="1" applyAlignment="1">
      <alignment vertical="center"/>
    </xf>
    <xf numFmtId="175" fontId="4" fillId="10" borderId="8" xfId="0" applyNumberFormat="1" applyFont="1" applyFill="1" applyBorder="1" applyAlignment="1">
      <alignment horizontal="center" vertical="center"/>
    </xf>
    <xf numFmtId="175" fontId="36" fillId="3" borderId="0" xfId="0" applyNumberFormat="1" applyFont="1" applyFill="1" applyBorder="1" applyAlignment="1">
      <alignment horizontal="center"/>
    </xf>
    <xf numFmtId="176" fontId="36" fillId="3" borderId="0" xfId="0" applyNumberFormat="1" applyFont="1" applyFill="1" applyBorder="1" applyAlignment="1">
      <alignment horizontal="center"/>
    </xf>
    <xf numFmtId="0" fontId="48" fillId="3" borderId="0" xfId="0" applyFont="1" applyFill="1" applyAlignment="1">
      <alignment horizontal="center" wrapText="1"/>
    </xf>
    <xf numFmtId="0" fontId="36" fillId="3" borderId="0" xfId="0" applyFont="1" applyFill="1" applyBorder="1" applyAlignment="1">
      <alignment horizontal="center"/>
    </xf>
    <xf numFmtId="175" fontId="36" fillId="6" borderId="2" xfId="0" applyNumberFormat="1" applyFont="1" applyFill="1" applyBorder="1" applyAlignment="1" applyProtection="1">
      <alignment horizontal="center"/>
      <protection locked="0"/>
    </xf>
    <xf numFmtId="0" fontId="48" fillId="3" borderId="0" xfId="0" applyFont="1" applyFill="1" applyAlignment="1">
      <alignment horizontal="center"/>
    </xf>
    <xf numFmtId="175" fontId="36" fillId="3" borderId="0" xfId="0" applyNumberFormat="1" applyFont="1" applyFill="1" applyAlignment="1">
      <alignment horizontal="center"/>
    </xf>
    <xf numFmtId="0" fontId="36" fillId="3" borderId="0" xfId="0" applyFont="1" applyFill="1" applyBorder="1" applyAlignment="1"/>
    <xf numFmtId="0" fontId="36" fillId="3" borderId="25" xfId="0" applyFont="1" applyFill="1" applyBorder="1" applyAlignment="1"/>
    <xf numFmtId="0" fontId="36" fillId="3" borderId="10" xfId="0" applyFont="1" applyFill="1" applyBorder="1" applyAlignment="1">
      <alignment horizontal="center"/>
    </xf>
    <xf numFmtId="0" fontId="4" fillId="3" borderId="0" xfId="10" applyNumberFormat="1" applyFont="1" applyFill="1" applyBorder="1" applyAlignment="1" applyProtection="1">
      <alignment horizontal="right" vertical="center"/>
    </xf>
    <xf numFmtId="0" fontId="4" fillId="0" borderId="0" xfId="73" applyFont="1" applyAlignment="1">
      <alignment vertical="center"/>
    </xf>
    <xf numFmtId="0" fontId="4" fillId="3" borderId="4" xfId="0" applyFont="1" applyFill="1" applyBorder="1" applyProtection="1"/>
    <xf numFmtId="10" fontId="4" fillId="2" borderId="1" xfId="0" applyNumberFormat="1" applyFont="1" applyFill="1" applyBorder="1" applyAlignment="1" applyProtection="1">
      <alignment vertical="center"/>
      <protection locked="0"/>
    </xf>
    <xf numFmtId="178" fontId="4" fillId="2" borderId="1" xfId="0" applyNumberFormat="1" applyFont="1" applyFill="1" applyBorder="1" applyAlignment="1" applyProtection="1">
      <alignment vertical="center"/>
      <protection locked="0"/>
    </xf>
    <xf numFmtId="171" fontId="4" fillId="3" borderId="9" xfId="0" applyNumberFormat="1" applyFont="1" applyFill="1" applyBorder="1" applyAlignment="1" applyProtection="1">
      <alignment vertical="center"/>
    </xf>
    <xf numFmtId="0" fontId="54" fillId="0" borderId="0" xfId="0" applyFont="1"/>
    <xf numFmtId="49" fontId="4" fillId="6" borderId="0" xfId="387" applyNumberFormat="1" applyFont="1" applyFill="1" applyAlignment="1" applyProtection="1">
      <alignment horizontal="left" vertical="center"/>
      <protection locked="0"/>
    </xf>
    <xf numFmtId="49" fontId="4" fillId="0" borderId="0" xfId="387" applyNumberFormat="1" applyFont="1" applyFill="1" applyAlignment="1" applyProtection="1">
      <alignment horizontal="left" vertical="center"/>
      <protection locked="0"/>
    </xf>
    <xf numFmtId="0" fontId="4" fillId="6" borderId="0" xfId="387" applyFont="1" applyFill="1" applyAlignment="1" applyProtection="1">
      <alignment horizontal="left" vertical="center"/>
      <protection locked="0"/>
    </xf>
    <xf numFmtId="0" fontId="28" fillId="6" borderId="0" xfId="387" applyFill="1" applyAlignment="1" applyProtection="1">
      <alignment horizontal="left" vertical="center"/>
      <protection locked="0"/>
    </xf>
    <xf numFmtId="0" fontId="55" fillId="0" borderId="0" xfId="387" applyFont="1"/>
    <xf numFmtId="173" fontId="56" fillId="0" borderId="0" xfId="387" applyNumberFormat="1" applyFont="1" applyAlignment="1">
      <alignment horizontal="left" vertical="center"/>
    </xf>
    <xf numFmtId="0" fontId="56" fillId="0" borderId="0" xfId="387" applyNumberFormat="1" applyFont="1" applyAlignment="1">
      <alignment horizontal="left" vertical="center"/>
    </xf>
    <xf numFmtId="1" fontId="56" fillId="0" borderId="0" xfId="387" applyNumberFormat="1" applyFont="1" applyAlignment="1">
      <alignment horizontal="left" vertical="center"/>
    </xf>
    <xf numFmtId="0" fontId="57" fillId="0" borderId="0" xfId="387" applyFont="1" applyAlignment="1">
      <alignment horizontal="left" vertical="center"/>
    </xf>
    <xf numFmtId="49" fontId="4" fillId="3" borderId="0" xfId="0" applyNumberFormat="1" applyFont="1" applyFill="1" applyAlignment="1" applyProtection="1">
      <alignment horizontal="left" vertical="center"/>
    </xf>
    <xf numFmtId="0" fontId="42" fillId="10" borderId="17" xfId="36" applyFont="1" applyFill="1" applyBorder="1" applyAlignment="1" applyProtection="1">
      <alignment vertical="center"/>
      <protection locked="0"/>
    </xf>
    <xf numFmtId="0" fontId="4" fillId="10" borderId="0" xfId="36" applyFont="1" applyFill="1" applyBorder="1" applyAlignment="1" applyProtection="1">
      <alignment vertical="center"/>
      <protection locked="0"/>
    </xf>
    <xf numFmtId="0" fontId="40" fillId="10" borderId="0" xfId="36"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0" fillId="3" borderId="16" xfId="0" applyFont="1" applyFill="1" applyBorder="1" applyAlignment="1" applyProtection="1">
      <alignment vertical="center"/>
      <protection locked="0"/>
    </xf>
    <xf numFmtId="0" fontId="40" fillId="3" borderId="2"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10" borderId="8" xfId="0" applyFont="1" applyFill="1" applyBorder="1" applyAlignment="1" applyProtection="1">
      <alignment vertical="center"/>
      <protection locked="0"/>
    </xf>
    <xf numFmtId="172" fontId="40" fillId="3" borderId="17" xfId="0" applyNumberFormat="1" applyFont="1" applyFill="1" applyBorder="1" applyAlignment="1" applyProtection="1">
      <alignment horizontal="center" vertical="center"/>
    </xf>
    <xf numFmtId="0" fontId="40" fillId="3" borderId="0" xfId="0" applyFont="1" applyFill="1" applyBorder="1" applyAlignment="1" applyProtection="1">
      <alignment horizontal="left" vertical="center"/>
    </xf>
    <xf numFmtId="0" fontId="41" fillId="3" borderId="0" xfId="0" applyFont="1" applyFill="1" applyBorder="1" applyAlignment="1" applyProtection="1">
      <alignment horizontal="center" vertical="center"/>
    </xf>
    <xf numFmtId="0" fontId="0" fillId="3" borderId="12" xfId="0" applyFill="1" applyBorder="1" applyAlignment="1" applyProtection="1">
      <alignment vertical="center"/>
    </xf>
    <xf numFmtId="172" fontId="40" fillId="10" borderId="16" xfId="0" applyNumberFormat="1" applyFont="1" applyFill="1" applyBorder="1" applyAlignment="1" applyProtection="1">
      <alignment horizontal="center" vertical="center"/>
    </xf>
    <xf numFmtId="172" fontId="40" fillId="3" borderId="11" xfId="0" applyNumberFormat="1" applyFont="1" applyFill="1" applyBorder="1" applyAlignment="1" applyProtection="1">
      <alignment horizontal="center" vertical="center"/>
    </xf>
    <xf numFmtId="172" fontId="40" fillId="10" borderId="11" xfId="0" applyNumberFormat="1" applyFont="1" applyFill="1" applyBorder="1" applyAlignment="1" applyProtection="1">
      <alignment horizontal="center" vertical="center"/>
    </xf>
    <xf numFmtId="0" fontId="40" fillId="3" borderId="2" xfId="0" applyFont="1" applyFill="1" applyBorder="1" applyAlignment="1" applyProtection="1">
      <alignment horizontal="left" vertical="center"/>
    </xf>
    <xf numFmtId="0" fontId="41" fillId="3" borderId="2" xfId="0" applyFont="1" applyFill="1" applyBorder="1" applyAlignment="1" applyProtection="1">
      <alignment horizontal="center" vertical="center"/>
    </xf>
    <xf numFmtId="0" fontId="0" fillId="3" borderId="8" xfId="0" applyFill="1" applyBorder="1" applyAlignment="1" applyProtection="1">
      <alignment vertical="center"/>
    </xf>
    <xf numFmtId="0" fontId="51" fillId="0" borderId="0" xfId="0" applyFont="1" applyProtection="1">
      <protection locked="0"/>
    </xf>
    <xf numFmtId="175" fontId="11" fillId="10" borderId="16" xfId="36" applyNumberFormat="1" applyFont="1" applyFill="1" applyBorder="1" applyAlignment="1" applyProtection="1">
      <alignment horizontal="center" vertical="center"/>
      <protection locked="0"/>
    </xf>
    <xf numFmtId="0" fontId="11" fillId="10" borderId="2" xfId="36" applyFont="1" applyFill="1" applyBorder="1" applyAlignment="1" applyProtection="1">
      <alignment vertical="center"/>
      <protection locked="0"/>
    </xf>
    <xf numFmtId="0" fontId="4" fillId="10" borderId="8" xfId="36"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3" fontId="4" fillId="10" borderId="6" xfId="36" applyNumberFormat="1" applyFont="1" applyFill="1" applyBorder="1" applyAlignment="1" applyProtection="1">
      <alignment vertical="center"/>
    </xf>
    <xf numFmtId="3" fontId="4" fillId="11" borderId="6" xfId="0" applyNumberFormat="1" applyFont="1" applyFill="1" applyBorder="1" applyAlignment="1" applyProtection="1">
      <alignment vertical="center"/>
    </xf>
    <xf numFmtId="3" fontId="4" fillId="10" borderId="6" xfId="0" applyNumberFormat="1" applyFont="1" applyFill="1" applyBorder="1" applyAlignment="1" applyProtection="1">
      <alignment vertical="center"/>
    </xf>
    <xf numFmtId="0" fontId="40" fillId="3" borderId="17" xfId="0" applyFont="1" applyFill="1" applyBorder="1" applyAlignment="1" applyProtection="1">
      <alignment vertical="center"/>
    </xf>
    <xf numFmtId="0" fontId="40" fillId="3" borderId="0" xfId="0" applyFont="1" applyFill="1" applyBorder="1" applyAlignment="1" applyProtection="1">
      <alignment vertical="center"/>
    </xf>
    <xf numFmtId="175" fontId="40" fillId="3" borderId="12" xfId="0" applyNumberFormat="1" applyFont="1" applyFill="1" applyBorder="1" applyAlignment="1" applyProtection="1">
      <alignment horizontal="center" vertical="center"/>
    </xf>
    <xf numFmtId="0" fontId="40" fillId="3" borderId="17" xfId="0" applyFont="1" applyFill="1" applyBorder="1" applyAlignment="1" applyProtection="1">
      <alignment horizontal="left" vertical="center"/>
    </xf>
    <xf numFmtId="175" fontId="40" fillId="6" borderId="1" xfId="0" applyNumberFormat="1" applyFont="1" applyFill="1" applyBorder="1" applyAlignment="1" applyProtection="1">
      <alignment horizontal="center" vertical="center"/>
      <protection locked="0"/>
    </xf>
    <xf numFmtId="172" fontId="42" fillId="3" borderId="9" xfId="0" applyNumberFormat="1" applyFont="1" applyFill="1" applyBorder="1" applyAlignment="1" applyProtection="1">
      <alignment horizontal="center" vertical="center"/>
    </xf>
    <xf numFmtId="0" fontId="42" fillId="10" borderId="17" xfId="0" applyFont="1" applyFill="1" applyBorder="1" applyAlignment="1" applyProtection="1">
      <alignment vertical="center"/>
    </xf>
    <xf numFmtId="0" fontId="4" fillId="10" borderId="0" xfId="0" applyFont="1" applyFill="1" applyBorder="1" applyAlignment="1" applyProtection="1">
      <alignment vertical="center"/>
    </xf>
    <xf numFmtId="0" fontId="40" fillId="10" borderId="0" xfId="0" applyFont="1" applyFill="1" applyBorder="1" applyAlignment="1" applyProtection="1">
      <alignment vertical="center"/>
    </xf>
    <xf numFmtId="175" fontId="42" fillId="10" borderId="9" xfId="0" applyNumberFormat="1" applyFont="1" applyFill="1" applyBorder="1" applyAlignment="1" applyProtection="1">
      <alignment horizontal="center" vertical="center"/>
    </xf>
    <xf numFmtId="37" fontId="40" fillId="3" borderId="16" xfId="0" applyNumberFormat="1" applyFont="1" applyFill="1" applyBorder="1" applyAlignment="1" applyProtection="1">
      <alignment horizontal="left" vertical="center"/>
    </xf>
    <xf numFmtId="0" fontId="44" fillId="3" borderId="2" xfId="0" applyFont="1" applyFill="1" applyBorder="1" applyAlignment="1">
      <alignment horizontal="left" vertical="center"/>
    </xf>
    <xf numFmtId="175" fontId="42" fillId="10" borderId="8"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12" xfId="0" applyFont="1" applyFill="1" applyBorder="1" applyProtection="1">
      <protection locked="0"/>
    </xf>
    <xf numFmtId="175" fontId="40" fillId="3" borderId="17" xfId="0" applyNumberFormat="1" applyFont="1" applyFill="1" applyBorder="1" applyAlignment="1" applyProtection="1">
      <alignment horizontal="center" vertical="center"/>
    </xf>
    <xf numFmtId="0" fontId="40" fillId="3" borderId="12" xfId="0" applyFont="1" applyFill="1" applyBorder="1" applyAlignment="1" applyProtection="1">
      <alignment vertical="center"/>
    </xf>
    <xf numFmtId="175" fontId="40" fillId="3" borderId="16" xfId="0" applyNumberFormat="1" applyFont="1" applyFill="1" applyBorder="1" applyAlignment="1" applyProtection="1">
      <alignment horizontal="center" vertical="center"/>
    </xf>
    <xf numFmtId="0" fontId="43" fillId="0" borderId="0" xfId="0" applyFont="1" applyAlignment="1" applyProtection="1">
      <alignment horizontal="right" vertical="center"/>
    </xf>
    <xf numFmtId="175" fontId="11" fillId="3" borderId="17"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175" fontId="11" fillId="3" borderId="17" xfId="0" applyNumberFormat="1" applyFont="1" applyFill="1" applyBorder="1" applyAlignment="1" applyProtection="1">
      <alignment vertical="center"/>
    </xf>
    <xf numFmtId="0" fontId="11" fillId="3" borderId="0" xfId="0" applyFont="1" applyFill="1" applyBorder="1" applyAlignment="1" applyProtection="1">
      <alignment vertical="center"/>
    </xf>
    <xf numFmtId="175" fontId="11" fillId="3" borderId="16" xfId="0" applyNumberFormat="1" applyFont="1" applyFill="1" applyBorder="1" applyAlignment="1" applyProtection="1">
      <alignment horizontal="center" vertical="center"/>
    </xf>
    <xf numFmtId="175" fontId="11" fillId="10" borderId="16" xfId="0" applyNumberFormat="1" applyFont="1" applyFill="1" applyBorder="1" applyAlignment="1" applyProtection="1">
      <alignment horizontal="center" vertical="center"/>
    </xf>
    <xf numFmtId="0" fontId="11" fillId="10" borderId="2" xfId="0" applyFont="1" applyFill="1" applyBorder="1" applyAlignment="1" applyProtection="1">
      <alignment vertical="center"/>
    </xf>
    <xf numFmtId="0" fontId="4" fillId="10" borderId="8" xfId="0" applyFont="1" applyFill="1" applyBorder="1" applyAlignment="1" applyProtection="1">
      <alignment vertical="center"/>
    </xf>
    <xf numFmtId="0" fontId="4" fillId="10" borderId="8" xfId="0" applyFont="1" applyFill="1" applyBorder="1" applyProtection="1">
      <protection locked="0"/>
    </xf>
    <xf numFmtId="0" fontId="51" fillId="0" borderId="0" xfId="0" applyFont="1"/>
    <xf numFmtId="0" fontId="4" fillId="3" borderId="0" xfId="26" applyFont="1" applyFill="1"/>
    <xf numFmtId="0" fontId="2" fillId="0" borderId="0" xfId="26"/>
    <xf numFmtId="0" fontId="4" fillId="3" borderId="0" xfId="26" applyFont="1" applyFill="1" applyAlignment="1">
      <alignment vertical="center"/>
    </xf>
    <xf numFmtId="37" fontId="4" fillId="3" borderId="0" xfId="26" applyNumberFormat="1" applyFont="1" applyFill="1" applyAlignment="1">
      <alignment vertical="center"/>
    </xf>
    <xf numFmtId="0" fontId="4" fillId="3" borderId="2" xfId="26" applyFont="1" applyFill="1" applyBorder="1" applyAlignment="1">
      <alignment vertical="center"/>
    </xf>
    <xf numFmtId="0" fontId="4" fillId="3" borderId="0" xfId="26" applyFont="1" applyFill="1" applyAlignment="1">
      <alignment horizontal="center" vertical="center"/>
    </xf>
    <xf numFmtId="0" fontId="5" fillId="3" borderId="0" xfId="26" applyFont="1" applyFill="1" applyAlignment="1">
      <alignment horizontal="center" vertical="center"/>
    </xf>
    <xf numFmtId="175" fontId="4" fillId="3" borderId="0" xfId="26" applyNumberFormat="1" applyFont="1" applyFill="1" applyAlignment="1">
      <alignment vertical="center"/>
    </xf>
    <xf numFmtId="175" fontId="4" fillId="3" borderId="10" xfId="26" applyNumberFormat="1" applyFont="1" applyFill="1" applyBorder="1" applyAlignment="1">
      <alignment vertical="center"/>
    </xf>
    <xf numFmtId="175" fontId="4" fillId="3" borderId="0" xfId="26" applyNumberFormat="1" applyFont="1" applyFill="1" applyBorder="1" applyAlignment="1">
      <alignment vertical="center"/>
    </xf>
    <xf numFmtId="0" fontId="52" fillId="10" borderId="0" xfId="26" applyFont="1" applyFill="1" applyAlignment="1">
      <alignment vertical="center"/>
    </xf>
    <xf numFmtId="0" fontId="52" fillId="3" borderId="0" xfId="26" applyFont="1" applyFill="1" applyAlignment="1">
      <alignment horizontal="center" vertical="center"/>
    </xf>
    <xf numFmtId="172" fontId="4" fillId="3" borderId="0" xfId="26" applyNumberFormat="1" applyFont="1" applyFill="1" applyAlignment="1">
      <alignment horizontal="center" vertical="center"/>
    </xf>
    <xf numFmtId="179" fontId="52" fillId="3" borderId="0" xfId="26" applyNumberFormat="1" applyFont="1" applyFill="1" applyAlignment="1">
      <alignment horizontal="center" vertical="center"/>
    </xf>
    <xf numFmtId="0" fontId="52" fillId="10" borderId="0" xfId="26" applyFont="1" applyFill="1" applyAlignment="1">
      <alignment horizontal="center" vertical="center"/>
    </xf>
    <xf numFmtId="0" fontId="58" fillId="10" borderId="0" xfId="26" applyFont="1" applyFill="1" applyAlignment="1">
      <alignment horizontal="center" vertical="center"/>
    </xf>
    <xf numFmtId="0" fontId="4" fillId="3" borderId="0" xfId="26" applyFont="1" applyFill="1" applyAlignment="1">
      <alignment horizontal="right" vertical="center"/>
    </xf>
    <xf numFmtId="0" fontId="4" fillId="3" borderId="0" xfId="26" applyFont="1" applyFill="1" applyAlignment="1">
      <alignment horizontal="left" vertical="center"/>
    </xf>
    <xf numFmtId="0" fontId="4" fillId="3" borderId="0" xfId="21" applyFont="1" applyFill="1"/>
    <xf numFmtId="0" fontId="2" fillId="3" borderId="0" xfId="26" applyFill="1"/>
    <xf numFmtId="0" fontId="3" fillId="3" borderId="0" xfId="21" applyFont="1" applyFill="1"/>
    <xf numFmtId="0" fontId="2" fillId="3" borderId="0" xfId="21" applyFill="1"/>
    <xf numFmtId="0" fontId="10" fillId="0" borderId="0" xfId="10" applyAlignment="1" applyProtection="1"/>
    <xf numFmtId="175" fontId="40" fillId="3" borderId="17" xfId="0" applyNumberFormat="1" applyFont="1" applyFill="1" applyBorder="1" applyAlignment="1" applyProtection="1">
      <alignment vertical="center"/>
    </xf>
    <xf numFmtId="175" fontId="40" fillId="10" borderId="16" xfId="0" applyNumberFormat="1" applyFont="1" applyFill="1" applyBorder="1" applyAlignment="1" applyProtection="1">
      <alignment horizontal="center" vertical="center"/>
    </xf>
    <xf numFmtId="0" fontId="40" fillId="10" borderId="2" xfId="0" applyFont="1" applyFill="1" applyBorder="1" applyAlignment="1" applyProtection="1">
      <alignment vertical="center"/>
    </xf>
    <xf numFmtId="0" fontId="40" fillId="10" borderId="8" xfId="0" applyFont="1" applyFill="1" applyBorder="1" applyAlignment="1" applyProtection="1">
      <alignment vertical="center"/>
    </xf>
    <xf numFmtId="0" fontId="4"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fill" vertical="center"/>
      <protection locked="0"/>
    </xf>
    <xf numFmtId="0" fontId="3" fillId="3" borderId="0" xfId="0" applyFont="1" applyFill="1" applyAlignment="1" applyProtection="1">
      <alignment horizontal="right"/>
    </xf>
    <xf numFmtId="6" fontId="4" fillId="3" borderId="0" xfId="26" applyNumberFormat="1" applyFont="1" applyFill="1" applyBorder="1" applyAlignment="1">
      <alignment horizontal="center" vertic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37" fontId="7" fillId="3" borderId="13" xfId="0" applyNumberFormat="1" applyFont="1" applyFill="1" applyBorder="1" applyAlignment="1" applyProtection="1">
      <alignment horizontal="center" vertical="center"/>
    </xf>
    <xf numFmtId="0" fontId="4" fillId="0" borderId="0" xfId="0" applyFont="1" applyBorder="1" applyAlignment="1">
      <alignment vertical="center"/>
    </xf>
    <xf numFmtId="3" fontId="4" fillId="3" borderId="1" xfId="0" applyNumberFormat="1" applyFont="1" applyFill="1" applyBorder="1" applyAlignment="1" applyProtection="1">
      <alignment horizontal="right" vertical="center"/>
    </xf>
    <xf numFmtId="177" fontId="4" fillId="3" borderId="1" xfId="0" applyNumberFormat="1" applyFont="1" applyFill="1" applyBorder="1" applyAlignment="1" applyProtection="1">
      <alignment horizontal="right" vertical="center"/>
    </xf>
    <xf numFmtId="171"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29" xfId="0" applyNumberFormat="1" applyFont="1" applyFill="1" applyBorder="1" applyAlignment="1" applyProtection="1">
      <alignment horizontal="right" vertical="center"/>
    </xf>
    <xf numFmtId="0" fontId="4" fillId="3" borderId="29" xfId="0" applyFont="1" applyFill="1" applyBorder="1" applyAlignment="1" applyProtection="1">
      <alignment horizontal="right" vertical="center"/>
    </xf>
    <xf numFmtId="3" fontId="4" fillId="4" borderId="5" xfId="0" applyNumberFormat="1" applyFont="1" applyFill="1" applyBorder="1" applyAlignment="1" applyProtection="1">
      <alignment horizontal="right" vertical="center"/>
    </xf>
    <xf numFmtId="172" fontId="4" fillId="4" borderId="5" xfId="0" applyNumberFormat="1" applyFont="1" applyFill="1" applyBorder="1" applyAlignment="1" applyProtection="1">
      <alignment horizontal="right" vertical="center"/>
    </xf>
    <xf numFmtId="178" fontId="4" fillId="3" borderId="0" xfId="403" applyNumberFormat="1" applyFont="1" applyFill="1" applyAlignment="1" applyProtection="1">
      <alignment horizontal="center" vertical="center"/>
    </xf>
    <xf numFmtId="37" fontId="4" fillId="0" borderId="0" xfId="21" applyNumberFormat="1" applyFont="1" applyFill="1" applyAlignment="1" applyProtection="1">
      <alignment horizontal="left" vertical="center" wrapText="1"/>
    </xf>
    <xf numFmtId="0" fontId="4" fillId="0" borderId="0" xfId="405" applyFont="1" applyAlignment="1">
      <alignment vertical="center" wrapText="1"/>
    </xf>
    <xf numFmtId="0" fontId="4" fillId="0" borderId="0" xfId="20" applyFont="1" applyAlignment="1">
      <alignment vertical="center" wrapText="1"/>
    </xf>
    <xf numFmtId="0" fontId="4" fillId="0" borderId="0" xfId="21" applyFont="1" applyAlignment="1">
      <alignment vertical="center" wrapText="1"/>
    </xf>
    <xf numFmtId="0" fontId="4" fillId="0" borderId="0" xfId="343" applyFont="1" applyAlignment="1">
      <alignment vertical="center" wrapText="1"/>
    </xf>
    <xf numFmtId="0" fontId="4" fillId="0" borderId="0" xfId="363" applyNumberFormat="1" applyFont="1" applyAlignment="1">
      <alignment vertical="center" wrapText="1"/>
    </xf>
    <xf numFmtId="0" fontId="4" fillId="0" borderId="0" xfId="29" applyFont="1" applyAlignment="1">
      <alignment vertical="center" wrapText="1"/>
    </xf>
    <xf numFmtId="0" fontId="4" fillId="0" borderId="0" xfId="62" applyFont="1" applyAlignment="1">
      <alignment vertical="center" wrapText="1"/>
    </xf>
    <xf numFmtId="0" fontId="4" fillId="0" borderId="0" xfId="69" applyFont="1" applyAlignment="1">
      <alignment vertical="center" wrapText="1"/>
    </xf>
    <xf numFmtId="0" fontId="43" fillId="0" borderId="0" xfId="0" applyFont="1" applyAlignment="1" applyProtection="1">
      <alignment vertical="center"/>
    </xf>
    <xf numFmtId="0" fontId="10" fillId="3" borderId="0" xfId="10" applyFill="1" applyAlignment="1" applyProtection="1"/>
    <xf numFmtId="0" fontId="60" fillId="3" borderId="0" xfId="328" applyFill="1"/>
    <xf numFmtId="0" fontId="60" fillId="0" borderId="0" xfId="328"/>
    <xf numFmtId="0" fontId="4" fillId="0" borderId="0" xfId="104" applyFont="1" applyAlignment="1">
      <alignment vertical="center"/>
    </xf>
    <xf numFmtId="0" fontId="59" fillId="3" borderId="9" xfId="0" applyFont="1" applyFill="1" applyBorder="1" applyAlignment="1">
      <alignment horizontal="center" vertical="center"/>
    </xf>
    <xf numFmtId="0" fontId="3" fillId="3" borderId="7" xfId="0" applyFont="1" applyFill="1" applyBorder="1" applyAlignment="1">
      <alignment horizontal="centerContinuous" vertical="center"/>
    </xf>
    <xf numFmtId="0" fontId="42" fillId="3" borderId="11" xfId="0" applyFont="1" applyFill="1" applyBorder="1" applyAlignment="1">
      <alignment horizontal="centerContinuous"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left" vertical="center"/>
    </xf>
    <xf numFmtId="0" fontId="0" fillId="0" borderId="0" xfId="0" applyAlignment="1">
      <alignment horizontal="left"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5" borderId="10" xfId="0" applyFont="1" applyFill="1" applyBorder="1" applyAlignment="1">
      <alignment vertical="center" wrapText="1"/>
    </xf>
    <xf numFmtId="0" fontId="0" fillId="0" borderId="10" xfId="0" applyBorder="1" applyAlignment="1">
      <alignment vertical="center" wrapText="1"/>
    </xf>
    <xf numFmtId="0" fontId="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4" fillId="0" borderId="0" xfId="387" applyFont="1" applyAlignment="1">
      <alignment horizontal="left" vertical="center" wrapText="1"/>
    </xf>
    <xf numFmtId="0" fontId="28" fillId="0" borderId="0" xfId="387" applyAlignment="1">
      <alignment horizontal="left" vertical="center" wrapText="1"/>
    </xf>
    <xf numFmtId="0" fontId="12" fillId="0" borderId="0" xfId="387" applyFont="1" applyAlignment="1">
      <alignment horizontal="left" vertical="center"/>
    </xf>
    <xf numFmtId="37" fontId="12" fillId="3" borderId="0" xfId="0" applyNumberFormat="1" applyFont="1" applyFill="1" applyAlignment="1" applyProtection="1">
      <alignment horizontal="center" vertical="center"/>
    </xf>
    <xf numFmtId="0" fontId="30"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7" borderId="3" xfId="0" applyFont="1" applyFill="1" applyBorder="1" applyAlignment="1" applyProtection="1">
      <alignment horizontal="center" vertical="center" wrapText="1" shrinkToFit="1"/>
    </xf>
    <xf numFmtId="0" fontId="0" fillId="0" borderId="5" xfId="0" applyBorder="1" applyAlignment="1" applyProtection="1">
      <alignment horizontal="center" vertical="center" wrapText="1"/>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3" fillId="3" borderId="0" xfId="0" applyNumberFormat="1" applyFont="1" applyFill="1" applyAlignment="1" applyProtection="1">
      <alignment horizontal="center" vertical="center"/>
    </xf>
    <xf numFmtId="37" fontId="4" fillId="3" borderId="11"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3" borderId="0" xfId="0" applyFont="1" applyFill="1" applyAlignment="1" applyProtection="1">
      <alignment horizontal="center" vertical="center"/>
    </xf>
    <xf numFmtId="0" fontId="4" fillId="3" borderId="16" xfId="0" applyFont="1" applyFill="1" applyBorder="1" applyAlignment="1" applyProtection="1">
      <alignment horizontal="center" vertical="center"/>
    </xf>
    <xf numFmtId="0" fontId="0" fillId="0" borderId="8" xfId="0" applyBorder="1" applyAlignment="1" applyProtection="1">
      <alignment vertical="center"/>
    </xf>
    <xf numFmtId="1" fontId="4" fillId="3" borderId="16" xfId="0" applyNumberFormat="1" applyFont="1" applyFill="1" applyBorder="1" applyAlignment="1" applyProtection="1">
      <alignment horizontal="center" vertical="center"/>
    </xf>
    <xf numFmtId="0" fontId="0" fillId="0" borderId="8" xfId="0" applyBorder="1" applyAlignment="1" applyProtection="1">
      <alignment horizontal="center" vertical="center"/>
    </xf>
    <xf numFmtId="0" fontId="12" fillId="3" borderId="0" xfId="404" applyFont="1" applyFill="1" applyAlignment="1">
      <alignment horizontal="center"/>
    </xf>
    <xf numFmtId="0" fontId="2" fillId="3" borderId="0" xfId="26" applyFill="1" applyAlignment="1">
      <alignment horizontal="center"/>
    </xf>
    <xf numFmtId="0" fontId="3" fillId="3" borderId="0" xfId="26" applyFont="1" applyFill="1" applyAlignment="1">
      <alignment horizontal="center" vertical="center"/>
    </xf>
    <xf numFmtId="0" fontId="12" fillId="3" borderId="0" xfId="26" applyFont="1" applyFill="1" applyAlignment="1">
      <alignment horizontal="center" vertical="center"/>
    </xf>
    <xf numFmtId="0" fontId="4" fillId="3" borderId="0" xfId="26" applyFont="1" applyFill="1" applyAlignment="1">
      <alignment vertical="center" wrapText="1"/>
    </xf>
    <xf numFmtId="172" fontId="41" fillId="3" borderId="15" xfId="0" applyNumberFormat="1" applyFont="1" applyFill="1" applyBorder="1" applyAlignment="1" applyProtection="1">
      <alignment horizontal="center"/>
    </xf>
    <xf numFmtId="0" fontId="14" fillId="0" borderId="10" xfId="0" applyFont="1" applyBorder="1" applyAlignment="1"/>
    <xf numFmtId="0" fontId="14" fillId="0" borderId="13" xfId="0" applyFont="1" applyBorder="1" applyAlignment="1"/>
    <xf numFmtId="0" fontId="41" fillId="3" borderId="15" xfId="36" applyFont="1" applyFill="1" applyBorder="1" applyAlignment="1" applyProtection="1">
      <alignment horizontal="center" vertical="center"/>
    </xf>
    <xf numFmtId="0" fontId="41" fillId="3" borderId="10" xfId="36" applyFont="1" applyFill="1" applyBorder="1" applyAlignment="1" applyProtection="1">
      <alignment horizontal="center" vertical="center"/>
    </xf>
    <xf numFmtId="0" fontId="2" fillId="0" borderId="13" xfId="36" applyBorder="1" applyAlignment="1" applyProtection="1">
      <alignment vertical="center"/>
    </xf>
    <xf numFmtId="3" fontId="4" fillId="3" borderId="10" xfId="40" applyNumberFormat="1" applyFont="1" applyFill="1" applyBorder="1" applyAlignment="1" applyProtection="1">
      <alignment horizontal="right" vertical="center"/>
    </xf>
    <xf numFmtId="0" fontId="2" fillId="0" borderId="13" xfId="40" applyBorder="1" applyAlignment="1">
      <alignment horizontal="right" vertical="center"/>
    </xf>
    <xf numFmtId="0" fontId="4" fillId="3" borderId="0" xfId="40" applyFont="1" applyFill="1" applyAlignment="1" applyProtection="1">
      <alignment horizontal="right" vertical="center"/>
    </xf>
    <xf numFmtId="0" fontId="4" fillId="0" borderId="12" xfId="40"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3" xfId="0" applyBorder="1" applyAlignment="1">
      <alignment vertical="center"/>
    </xf>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0" fontId="34" fillId="3" borderId="15" xfId="36" applyFont="1" applyFill="1" applyBorder="1" applyAlignment="1" applyProtection="1">
      <alignment horizontal="center" vertical="center"/>
      <protection locked="0"/>
    </xf>
    <xf numFmtId="0" fontId="41" fillId="3" borderId="15" xfId="0" applyFont="1" applyFill="1" applyBorder="1" applyAlignment="1" applyProtection="1">
      <alignment horizontal="center" vertical="center"/>
    </xf>
    <xf numFmtId="0" fontId="44" fillId="0" borderId="10" xfId="0" applyFont="1" applyBorder="1" applyAlignment="1">
      <alignment horizontal="center" vertical="center"/>
    </xf>
    <xf numFmtId="0" fontId="0" fillId="0" borderId="13" xfId="0" applyBorder="1" applyAlignment="1"/>
    <xf numFmtId="0" fontId="0" fillId="0" borderId="10" xfId="0" applyBorder="1" applyAlignment="1">
      <alignment horizontal="center" vertical="center"/>
    </xf>
    <xf numFmtId="0" fontId="0" fillId="0" borderId="0" xfId="0" applyBorder="1" applyAlignment="1">
      <alignment horizontal="right"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12" fillId="3" borderId="15" xfId="36" applyFont="1" applyFill="1" applyBorder="1" applyAlignment="1" applyProtection="1">
      <alignment horizontal="center"/>
    </xf>
    <xf numFmtId="0" fontId="0" fillId="0" borderId="10" xfId="0" applyBorder="1" applyAlignment="1">
      <alignment horizontal="center"/>
    </xf>
    <xf numFmtId="0" fontId="0" fillId="0" borderId="13" xfId="0" applyBorder="1" applyAlignment="1">
      <alignment horizontal="center"/>
    </xf>
    <xf numFmtId="37" fontId="4" fillId="3" borderId="2" xfId="0" applyNumberFormat="1" applyFont="1" applyFill="1" applyBorder="1" applyAlignment="1" applyProtection="1">
      <alignment horizontal="center" vertical="center"/>
      <protection locked="0"/>
    </xf>
    <xf numFmtId="0" fontId="2" fillId="0" borderId="10" xfId="36" applyBorder="1" applyAlignment="1" applyProtection="1">
      <alignment horizontal="center"/>
    </xf>
    <xf numFmtId="0" fontId="2" fillId="0" borderId="13" xfId="36" applyBorder="1" applyAlignment="1" applyProtection="1">
      <alignment horizontal="center"/>
    </xf>
    <xf numFmtId="0" fontId="12" fillId="3" borderId="10" xfId="36" applyFont="1" applyFill="1" applyBorder="1" applyAlignment="1" applyProtection="1">
      <alignment horizontal="center"/>
    </xf>
    <xf numFmtId="0" fontId="12" fillId="3" borderId="13" xfId="36" applyFont="1" applyFill="1" applyBorder="1" applyAlignment="1" applyProtection="1">
      <alignment horizontal="center"/>
    </xf>
    <xf numFmtId="37" fontId="4" fillId="3" borderId="0" xfId="61"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36" fillId="3" borderId="10" xfId="0" applyFont="1" applyFill="1" applyBorder="1" applyAlignment="1">
      <alignment horizontal="center"/>
    </xf>
    <xf numFmtId="175" fontId="36" fillId="6" borderId="2" xfId="0" applyNumberFormat="1" applyFont="1" applyFill="1" applyBorder="1" applyAlignment="1" applyProtection="1">
      <alignment horizontal="center"/>
      <protection locked="0"/>
    </xf>
    <xf numFmtId="0" fontId="48" fillId="3" borderId="0" xfId="0" applyFont="1" applyFill="1" applyAlignment="1">
      <alignment horizontal="center" wrapText="1"/>
    </xf>
    <xf numFmtId="0" fontId="36" fillId="3" borderId="0" xfId="0" applyFont="1" applyFill="1" applyBorder="1" applyAlignment="1">
      <alignment horizontal="center"/>
    </xf>
    <xf numFmtId="0" fontId="36" fillId="3" borderId="0" xfId="0" applyFont="1" applyFill="1" applyAlignment="1">
      <alignment wrapText="1"/>
    </xf>
    <xf numFmtId="5" fontId="36" fillId="3" borderId="2" xfId="0" applyNumberFormat="1" applyFont="1" applyFill="1" applyBorder="1" applyAlignment="1">
      <alignment horizontal="center"/>
    </xf>
    <xf numFmtId="0" fontId="48" fillId="3" borderId="19" xfId="0" applyFont="1" applyFill="1" applyBorder="1" applyAlignment="1">
      <alignment horizontal="center" vertical="center"/>
    </xf>
    <xf numFmtId="0" fontId="36" fillId="0" borderId="19" xfId="0" applyFont="1" applyBorder="1" applyAlignment="1">
      <alignment horizontal="center" vertical="center"/>
    </xf>
    <xf numFmtId="175" fontId="36" fillId="3" borderId="0" xfId="0" applyNumberFormat="1" applyFont="1" applyFill="1" applyBorder="1" applyAlignment="1">
      <alignment horizontal="center"/>
    </xf>
    <xf numFmtId="0" fontId="48" fillId="3" borderId="0" xfId="0" applyFont="1" applyFill="1" applyBorder="1" applyAlignment="1">
      <alignment horizontal="center" wrapText="1"/>
    </xf>
    <xf numFmtId="0" fontId="36" fillId="0" borderId="0" xfId="0" applyFont="1" applyAlignment="1">
      <alignment horizontal="center" wrapText="1"/>
    </xf>
    <xf numFmtId="0" fontId="48" fillId="0" borderId="0" xfId="0" applyFont="1" applyAlignment="1">
      <alignment horizontal="center" wrapText="1"/>
    </xf>
    <xf numFmtId="0" fontId="36" fillId="3" borderId="0" xfId="0" applyFont="1" applyFill="1" applyBorder="1" applyAlignment="1">
      <alignment wrapText="1"/>
    </xf>
    <xf numFmtId="0" fontId="36" fillId="0" borderId="0" xfId="0" applyFont="1" applyAlignment="1">
      <alignment wrapText="1"/>
    </xf>
    <xf numFmtId="0" fontId="48" fillId="3" borderId="0" xfId="0" applyFont="1" applyFill="1" applyAlignment="1">
      <alignment horizontal="center" vertical="center"/>
    </xf>
    <xf numFmtId="0" fontId="48" fillId="0" borderId="0" xfId="0" applyFont="1" applyAlignment="1">
      <alignment horizontal="center" vertical="center"/>
    </xf>
    <xf numFmtId="0" fontId="48" fillId="3" borderId="0" xfId="0" applyFont="1" applyFill="1" applyAlignment="1">
      <alignment horizontal="center"/>
    </xf>
    <xf numFmtId="175" fontId="36" fillId="3" borderId="0" xfId="0" applyNumberFormat="1" applyFont="1" applyFill="1" applyAlignment="1"/>
    <xf numFmtId="0" fontId="36" fillId="3" borderId="24" xfId="0" applyFont="1" applyFill="1" applyBorder="1" applyAlignment="1"/>
    <xf numFmtId="0" fontId="36" fillId="3" borderId="25" xfId="0" applyFont="1" applyFill="1" applyBorder="1" applyAlignment="1"/>
    <xf numFmtId="175" fontId="36" fillId="3" borderId="0" xfId="0" applyNumberFormat="1" applyFont="1" applyFill="1" applyAlignment="1">
      <alignment horizontal="center"/>
    </xf>
    <xf numFmtId="175" fontId="36" fillId="6" borderId="21" xfId="0" applyNumberFormat="1" applyFont="1" applyFill="1" applyBorder="1" applyAlignment="1" applyProtection="1">
      <alignment horizontal="center"/>
      <protection locked="0"/>
    </xf>
    <xf numFmtId="0" fontId="36" fillId="3" borderId="0" xfId="0" applyFont="1" applyFill="1" applyBorder="1" applyAlignment="1"/>
    <xf numFmtId="0" fontId="36" fillId="0" borderId="0" xfId="0" applyFont="1" applyBorder="1" applyAlignment="1"/>
    <xf numFmtId="171" fontId="36" fillId="6" borderId="2" xfId="0" applyNumberFormat="1" applyFont="1" applyFill="1" applyBorder="1" applyAlignment="1" applyProtection="1">
      <alignment horizontal="center"/>
      <protection locked="0"/>
    </xf>
    <xf numFmtId="176" fontId="36" fillId="3" borderId="0" xfId="0" applyNumberFormat="1" applyFont="1" applyFill="1" applyBorder="1" applyAlignment="1">
      <alignment horizontal="center"/>
    </xf>
    <xf numFmtId="176" fontId="36" fillId="0" borderId="22" xfId="0" applyNumberFormat="1" applyFont="1" applyBorder="1" applyAlignment="1">
      <alignment horizontal="center"/>
    </xf>
    <xf numFmtId="0" fontId="36" fillId="3" borderId="26" xfId="0" applyFont="1" applyFill="1" applyBorder="1" applyAlignment="1">
      <alignment vertical="top" wrapText="1"/>
    </xf>
    <xf numFmtId="0" fontId="36" fillId="0" borderId="0" xfId="0" applyFont="1" applyAlignment="1">
      <alignment vertical="top" wrapText="1"/>
    </xf>
    <xf numFmtId="0" fontId="36" fillId="0" borderId="22" xfId="0" applyFont="1" applyBorder="1" applyAlignment="1">
      <alignment vertical="top" wrapText="1"/>
    </xf>
    <xf numFmtId="0" fontId="36" fillId="0" borderId="22" xfId="0" applyFont="1" applyBorder="1" applyAlignment="1">
      <alignment horizontal="center"/>
    </xf>
  </cellXfs>
  <cellStyles count="414">
    <cellStyle name="Comma" xfId="1" builtinId="3"/>
    <cellStyle name="Comma 11 2" xfId="2"/>
    <cellStyle name="Comma 16" xfId="3"/>
    <cellStyle name="Comma 16 2" xfId="4"/>
    <cellStyle name="Comma 16 3" xfId="5"/>
    <cellStyle name="Comma 2 2" xfId="6"/>
    <cellStyle name="Comma 4 2" xfId="7"/>
    <cellStyle name="Comma 7 2" xfId="8"/>
    <cellStyle name="Comma 7 3" xfId="9"/>
    <cellStyle name="Hyperlink" xfId="10" builtinId="8"/>
    <cellStyle name="Hyperlink 2 2" xfId="11"/>
    <cellStyle name="Hyperlink 3 2" xfId="12"/>
    <cellStyle name="Hyperlink 3 3" xfId="13"/>
    <cellStyle name="Hyperlink 4 2" xfId="14"/>
    <cellStyle name="Hyperlink 7" xfId="15"/>
    <cellStyle name="Hyperlink 7 2" xfId="16"/>
    <cellStyle name="Hyperlink 8" xfId="17"/>
    <cellStyle name="Hyperlink 8 2" xfId="18"/>
    <cellStyle name="Normal" xfId="0" builtinId="0"/>
    <cellStyle name="Normal 10" xfId="19"/>
    <cellStyle name="Normal 10 2" xfId="20"/>
    <cellStyle name="Normal 10 2 2" xfId="21"/>
    <cellStyle name="Normal 10 2 2 2" xfId="22"/>
    <cellStyle name="Normal 10 2 2 3" xfId="23"/>
    <cellStyle name="Normal 10 3" xfId="24"/>
    <cellStyle name="Normal 10 4" xfId="25"/>
    <cellStyle name="Normal 10 5" xfId="26"/>
    <cellStyle name="Normal 10 6" xfId="27"/>
    <cellStyle name="Normal 10 7" xfId="28"/>
    <cellStyle name="Normal 11" xfId="29"/>
    <cellStyle name="Normal 11 2" xfId="30"/>
    <cellStyle name="Normal 11 2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xfId="76"/>
    <cellStyle name="Normal 17 2" xfId="77"/>
    <cellStyle name="Normal 17 3" xfId="78"/>
    <cellStyle name="Normal 17 4" xfId="79"/>
    <cellStyle name="Normal 18" xfId="80"/>
    <cellStyle name="Normal 18 2" xfId="81"/>
    <cellStyle name="Normal 18 2 2" xfId="82"/>
    <cellStyle name="Normal 18 2 3" xfId="83"/>
    <cellStyle name="Normal 18 3" xfId="84"/>
    <cellStyle name="Normal 18 4" xfId="85"/>
    <cellStyle name="Normal 18 5" xfId="86"/>
    <cellStyle name="Normal 18 6" xfId="87"/>
    <cellStyle name="Normal 18 7" xfId="88"/>
    <cellStyle name="Normal 18 8" xfId="89"/>
    <cellStyle name="Normal 19" xfId="90"/>
    <cellStyle name="Normal 19 2" xfId="91"/>
    <cellStyle name="Normal 19 2 2" xfId="92"/>
    <cellStyle name="Normal 19 2 3" xfId="93"/>
    <cellStyle name="Normal 19 3" xfId="94"/>
    <cellStyle name="Normal 19 4" xfId="95"/>
    <cellStyle name="Normal 19 5" xfId="96"/>
    <cellStyle name="Normal 19 6" xfId="97"/>
    <cellStyle name="Normal 19 7" xfId="98"/>
    <cellStyle name="Normal 2" xfId="99"/>
    <cellStyle name="Normal 2 10" xfId="100"/>
    <cellStyle name="Normal 2 10 10" xfId="101"/>
    <cellStyle name="Normal 2 10 11" xfId="102"/>
    <cellStyle name="Normal 2 10 2" xfId="103"/>
    <cellStyle name="Normal 2 10 2 2" xfId="104"/>
    <cellStyle name="Normal 2 10 3" xfId="105"/>
    <cellStyle name="Normal 2 10 3 2" xfId="106"/>
    <cellStyle name="Normal 2 10 4" xfId="107"/>
    <cellStyle name="Normal 2 10 4 2" xfId="108"/>
    <cellStyle name="Normal 2 10 5" xfId="109"/>
    <cellStyle name="Normal 2 10 5 2" xfId="110"/>
    <cellStyle name="Normal 2 10 6" xfId="111"/>
    <cellStyle name="Normal 2 10 6 2" xfId="112"/>
    <cellStyle name="Normal 2 10 7" xfId="113"/>
    <cellStyle name="Normal 2 10 7 2" xfId="114"/>
    <cellStyle name="Normal 2 10 8" xfId="115"/>
    <cellStyle name="Normal 2 10 8 2" xfId="116"/>
    <cellStyle name="Normal 2 10 9" xfId="117"/>
    <cellStyle name="Normal 2 11" xfId="118"/>
    <cellStyle name="Normal 2 11 10" xfId="119"/>
    <cellStyle name="Normal 2 11 11" xfId="120"/>
    <cellStyle name="Normal 2 11 2" xfId="121"/>
    <cellStyle name="Normal 2 11 2 2" xfId="122"/>
    <cellStyle name="Normal 2 11 3" xfId="123"/>
    <cellStyle name="Normal 2 11 3 2" xfId="124"/>
    <cellStyle name="Normal 2 11 4" xfId="125"/>
    <cellStyle name="Normal 2 11 4 2" xfId="126"/>
    <cellStyle name="Normal 2 11 5" xfId="127"/>
    <cellStyle name="Normal 2 11 5 2" xfId="128"/>
    <cellStyle name="Normal 2 11 6" xfId="129"/>
    <cellStyle name="Normal 2 11 6 2" xfId="130"/>
    <cellStyle name="Normal 2 11 7" xfId="131"/>
    <cellStyle name="Normal 2 11 7 2" xfId="132"/>
    <cellStyle name="Normal 2 11 8" xfId="133"/>
    <cellStyle name="Normal 2 11 8 2" xfId="134"/>
    <cellStyle name="Normal 2 11 9" xfId="135"/>
    <cellStyle name="Normal 2 12" xfId="136"/>
    <cellStyle name="Normal 2 13" xfId="137"/>
    <cellStyle name="Normal 2 14" xfId="138"/>
    <cellStyle name="Normal 2 15" xfId="139"/>
    <cellStyle name="Normal 2 16" xfId="140"/>
    <cellStyle name="Normal 2 2" xfId="141"/>
    <cellStyle name="Normal 2 2 10" xfId="142"/>
    <cellStyle name="Normal 2 2 10 2" xfId="143"/>
    <cellStyle name="Normal 2 2 11" xfId="144"/>
    <cellStyle name="Normal 2 2 11 2" xfId="145"/>
    <cellStyle name="Normal 2 2 12" xfId="146"/>
    <cellStyle name="Normal 2 2 12 2" xfId="147"/>
    <cellStyle name="Normal 2 2 12 2 2" xfId="148"/>
    <cellStyle name="Normal 2 2 12 2 3" xfId="149"/>
    <cellStyle name="Normal 2 2 12 3" xfId="150"/>
    <cellStyle name="Normal 2 2 12 4" xfId="151"/>
    <cellStyle name="Normal 2 2 13" xfId="152"/>
    <cellStyle name="Normal 2 2 13 2" xfId="153"/>
    <cellStyle name="Normal 2 2 13 2 2" xfId="154"/>
    <cellStyle name="Normal 2 2 13 2 3" xfId="155"/>
    <cellStyle name="Normal 2 2 13 3" xfId="156"/>
    <cellStyle name="Normal 2 2 13 4" xfId="157"/>
    <cellStyle name="Normal 2 2 14" xfId="158"/>
    <cellStyle name="Normal 2 2 14 2" xfId="159"/>
    <cellStyle name="Normal 2 2 15" xfId="160"/>
    <cellStyle name="Normal 2 2 15 2" xfId="161"/>
    <cellStyle name="Normal 2 2 16" xfId="162"/>
    <cellStyle name="Normal 2 2 16 2" xfId="163"/>
    <cellStyle name="Normal 2 2 16 3" xfId="164"/>
    <cellStyle name="Normal 2 2 17" xfId="165"/>
    <cellStyle name="Normal 2 2 18" xfId="166"/>
    <cellStyle name="Normal 2 2 19" xfId="167"/>
    <cellStyle name="Normal 2 2 2" xfId="168"/>
    <cellStyle name="Normal 2 2 2 2" xfId="169"/>
    <cellStyle name="Normal 2 2 2 2 2" xfId="170"/>
    <cellStyle name="Normal 2 2 2 2 3" xfId="171"/>
    <cellStyle name="Normal 2 2 2 3" xfId="172"/>
    <cellStyle name="Normal 2 2 2 3 2" xfId="173"/>
    <cellStyle name="Normal 2 2 2 4" xfId="174"/>
    <cellStyle name="Normal 2 2 2 4 2" xfId="175"/>
    <cellStyle name="Normal 2 2 2 5" xfId="176"/>
    <cellStyle name="Normal 2 2 2 5 2" xfId="177"/>
    <cellStyle name="Normal 2 2 2 6" xfId="178"/>
    <cellStyle name="Normal 2 2 2 6 2" xfId="179"/>
    <cellStyle name="Normal 2 2 2 7" xfId="180"/>
    <cellStyle name="Normal 2 2 2 8" xfId="181"/>
    <cellStyle name="Normal 2 2 20" xfId="182"/>
    <cellStyle name="Normal 2 2 21" xfId="183"/>
    <cellStyle name="Normal 2 2 3" xfId="184"/>
    <cellStyle name="Normal 2 2 3 2" xfId="185"/>
    <cellStyle name="Normal 2 2 4" xfId="186"/>
    <cellStyle name="Normal 2 2 4 2" xfId="187"/>
    <cellStyle name="Normal 2 2 5" xfId="188"/>
    <cellStyle name="Normal 2 2 5 2" xfId="189"/>
    <cellStyle name="Normal 2 2 6" xfId="190"/>
    <cellStyle name="Normal 2 2 6 2" xfId="191"/>
    <cellStyle name="Normal 2 2 7" xfId="192"/>
    <cellStyle name="Normal 2 2 7 2" xfId="193"/>
    <cellStyle name="Normal 2 2 8" xfId="194"/>
    <cellStyle name="Normal 2 2 8 2" xfId="195"/>
    <cellStyle name="Normal 2 2 9" xfId="196"/>
    <cellStyle name="Normal 2 2 9 2" xfId="197"/>
    <cellStyle name="Normal 2 3" xfId="198"/>
    <cellStyle name="Normal 2 3 10" xfId="199"/>
    <cellStyle name="Normal 2 3 11" xfId="200"/>
    <cellStyle name="Normal 2 3 12" xfId="201"/>
    <cellStyle name="Normal 2 3 13" xfId="202"/>
    <cellStyle name="Normal 2 3 14" xfId="203"/>
    <cellStyle name="Normal 2 3 15" xfId="204"/>
    <cellStyle name="Normal 2 3 2" xfId="205"/>
    <cellStyle name="Normal 2 3 2 2" xfId="206"/>
    <cellStyle name="Normal 2 3 2 2 2" xfId="207"/>
    <cellStyle name="Normal 2 3 2 2 3" xfId="208"/>
    <cellStyle name="Normal 2 3 2 3" xfId="209"/>
    <cellStyle name="Normal 2 3 2 4" xfId="210"/>
    <cellStyle name="Normal 2 3 2 5" xfId="211"/>
    <cellStyle name="Normal 2 3 3" xfId="212"/>
    <cellStyle name="Normal 2 3 3 2" xfId="213"/>
    <cellStyle name="Normal 2 3 3 3" xfId="214"/>
    <cellStyle name="Normal 2 3 4" xfId="215"/>
    <cellStyle name="Normal 2 3 5" xfId="216"/>
    <cellStyle name="Normal 2 3 6" xfId="217"/>
    <cellStyle name="Normal 2 3 7" xfId="218"/>
    <cellStyle name="Normal 2 3 8" xfId="219"/>
    <cellStyle name="Normal 2 3 9" xfId="220"/>
    <cellStyle name="Normal 2 4" xfId="221"/>
    <cellStyle name="Normal 2 4 10" xfId="222"/>
    <cellStyle name="Normal 2 4 11" xfId="223"/>
    <cellStyle name="Normal 2 4 12" xfId="224"/>
    <cellStyle name="Normal 2 4 13" xfId="225"/>
    <cellStyle name="Normal 2 4 2" xfId="226"/>
    <cellStyle name="Normal 2 4 2 2" xfId="227"/>
    <cellStyle name="Normal 2 4 2 2 2" xfId="228"/>
    <cellStyle name="Normal 2 4 2 2 3" xfId="229"/>
    <cellStyle name="Normal 2 4 2 3" xfId="230"/>
    <cellStyle name="Normal 2 4 2 4" xfId="231"/>
    <cellStyle name="Normal 2 4 2 5" xfId="232"/>
    <cellStyle name="Normal 2 4 3" xfId="233"/>
    <cellStyle name="Normal 2 4 3 2" xfId="234"/>
    <cellStyle name="Normal 2 4 3 3"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12" xfId="245"/>
    <cellStyle name="Normal 2 5 12 2" xfId="246"/>
    <cellStyle name="Normal 2 5 2" xfId="247"/>
    <cellStyle name="Normal 2 5 2 2" xfId="248"/>
    <cellStyle name="Normal 2 5 3" xfId="249"/>
    <cellStyle name="Normal 2 5 3 2" xfId="250"/>
    <cellStyle name="Normal 2 5 4" xfId="251"/>
    <cellStyle name="Normal 2 5 5" xfId="252"/>
    <cellStyle name="Normal 2 5 6" xfId="253"/>
    <cellStyle name="Normal 2 5 7" xfId="254"/>
    <cellStyle name="Normal 2 5 8" xfId="255"/>
    <cellStyle name="Normal 2 5 9" xfId="256"/>
    <cellStyle name="Normal 2 6" xfId="257"/>
    <cellStyle name="Normal 2 6 10" xfId="258"/>
    <cellStyle name="Normal 2 6 11" xfId="259"/>
    <cellStyle name="Normal 2 6 12" xfId="260"/>
    <cellStyle name="Normal 2 6 2" xfId="261"/>
    <cellStyle name="Normal 2 6 2 2" xfId="262"/>
    <cellStyle name="Normal 2 6 3" xfId="263"/>
    <cellStyle name="Normal 2 6 3 2" xfId="264"/>
    <cellStyle name="Normal 2 6 4" xfId="265"/>
    <cellStyle name="Normal 2 6 5" xfId="266"/>
    <cellStyle name="Normal 2 6 6" xfId="267"/>
    <cellStyle name="Normal 2 6 7" xfId="268"/>
    <cellStyle name="Normal 2 6 8" xfId="269"/>
    <cellStyle name="Normal 2 6 9" xfId="270"/>
    <cellStyle name="Normal 2 7" xfId="271"/>
    <cellStyle name="Normal 2 7 10" xfId="272"/>
    <cellStyle name="Normal 2 7 2" xfId="273"/>
    <cellStyle name="Normal 2 7 2 2" xfId="274"/>
    <cellStyle name="Normal 2 7 2 3" xfId="275"/>
    <cellStyle name="Normal 2 7 3" xfId="276"/>
    <cellStyle name="Normal 2 7 3 2" xfId="277"/>
    <cellStyle name="Normal 2 7 4" xfId="278"/>
    <cellStyle name="Normal 2 7 4 2" xfId="279"/>
    <cellStyle name="Normal 2 7 5" xfId="280"/>
    <cellStyle name="Normal 2 7 5 2" xfId="281"/>
    <cellStyle name="Normal 2 7 6" xfId="282"/>
    <cellStyle name="Normal 2 7 6 2" xfId="283"/>
    <cellStyle name="Normal 2 7 7" xfId="284"/>
    <cellStyle name="Normal 2 7 7 2" xfId="285"/>
    <cellStyle name="Normal 2 7 8" xfId="286"/>
    <cellStyle name="Normal 2 7 8 2" xfId="287"/>
    <cellStyle name="Normal 2 7 9" xfId="288"/>
    <cellStyle name="Normal 2 8" xfId="289"/>
    <cellStyle name="Normal 2 8 10" xfId="290"/>
    <cellStyle name="Normal 2 8 11" xfId="291"/>
    <cellStyle name="Normal 2 8 2" xfId="292"/>
    <cellStyle name="Normal 2 8 2 2" xfId="293"/>
    <cellStyle name="Normal 2 8 3" xfId="294"/>
    <cellStyle name="Normal 2 8 3 2" xfId="295"/>
    <cellStyle name="Normal 2 8 4" xfId="296"/>
    <cellStyle name="Normal 2 8 4 2" xfId="297"/>
    <cellStyle name="Normal 2 8 5" xfId="298"/>
    <cellStyle name="Normal 2 8 5 2" xfId="299"/>
    <cellStyle name="Normal 2 8 6" xfId="300"/>
    <cellStyle name="Normal 2 8 6 2" xfId="301"/>
    <cellStyle name="Normal 2 8 7" xfId="302"/>
    <cellStyle name="Normal 2 8 7 2" xfId="303"/>
    <cellStyle name="Normal 2 8 8" xfId="304"/>
    <cellStyle name="Normal 2 8 8 2" xfId="305"/>
    <cellStyle name="Normal 2 8 9" xfId="306"/>
    <cellStyle name="Normal 2 9" xfId="307"/>
    <cellStyle name="Normal 2 9 10" xfId="308"/>
    <cellStyle name="Normal 2 9 11" xfId="309"/>
    <cellStyle name="Normal 2 9 2" xfId="310"/>
    <cellStyle name="Normal 2 9 2 2" xfId="311"/>
    <cellStyle name="Normal 2 9 3" xfId="312"/>
    <cellStyle name="Normal 2 9 3 2" xfId="313"/>
    <cellStyle name="Normal 2 9 4" xfId="314"/>
    <cellStyle name="Normal 2 9 4 2" xfId="315"/>
    <cellStyle name="Normal 2 9 5" xfId="316"/>
    <cellStyle name="Normal 2 9 5 2" xfId="317"/>
    <cellStyle name="Normal 2 9 6" xfId="318"/>
    <cellStyle name="Normal 2 9 6 2" xfId="319"/>
    <cellStyle name="Normal 2 9 7" xfId="320"/>
    <cellStyle name="Normal 2 9 7 2" xfId="321"/>
    <cellStyle name="Normal 2 9 8" xfId="322"/>
    <cellStyle name="Normal 2 9 8 2" xfId="323"/>
    <cellStyle name="Normal 2 9 9" xfId="324"/>
    <cellStyle name="Normal 20" xfId="325"/>
    <cellStyle name="Normal 20 2" xfId="326"/>
    <cellStyle name="Normal 20 3" xfId="327"/>
    <cellStyle name="Normal 21" xfId="328"/>
    <cellStyle name="Normal 21 2" xfId="329"/>
    <cellStyle name="Normal 22" xfId="330"/>
    <cellStyle name="Normal 22 2" xfId="331"/>
    <cellStyle name="Normal 22 3" xfId="332"/>
    <cellStyle name="Normal 23" xfId="333"/>
    <cellStyle name="Normal 23 2" xfId="334"/>
    <cellStyle name="Normal 23 3" xfId="335"/>
    <cellStyle name="Normal 24" xfId="336"/>
    <cellStyle name="Normal 24 2" xfId="337"/>
    <cellStyle name="Normal 24 3" xfId="338"/>
    <cellStyle name="Normal 25" xfId="339"/>
    <cellStyle name="Normal 25 2" xfId="340"/>
    <cellStyle name="Normal 25 3" xfId="341"/>
    <cellStyle name="Normal 26" xfId="342"/>
    <cellStyle name="Normal 3" xfId="343"/>
    <cellStyle name="Normal 3 2" xfId="344"/>
    <cellStyle name="Normal 3 2 2" xfId="345"/>
    <cellStyle name="Normal 3 2 2 2" xfId="346"/>
    <cellStyle name="Normal 3 2 2 3" xfId="347"/>
    <cellStyle name="Normal 3 2 3" xfId="348"/>
    <cellStyle name="Normal 3 2 4" xfId="349"/>
    <cellStyle name="Normal 3 2 5" xfId="350"/>
    <cellStyle name="Normal 3 3" xfId="351"/>
    <cellStyle name="Normal 3 3 2" xfId="352"/>
    <cellStyle name="Normal 3 3 2 2" xfId="353"/>
    <cellStyle name="Normal 3 3 2 3" xfId="354"/>
    <cellStyle name="Normal 3 3 3" xfId="355"/>
    <cellStyle name="Normal 3 3 4" xfId="356"/>
    <cellStyle name="Normal 3 4" xfId="357"/>
    <cellStyle name="Normal 3 5" xfId="358"/>
    <cellStyle name="Normal 3 6" xfId="359"/>
    <cellStyle name="Normal 3 7" xfId="360"/>
    <cellStyle name="Normal 3 8" xfId="361"/>
    <cellStyle name="Normal 3 9" xfId="362"/>
    <cellStyle name="Normal 4" xfId="363"/>
    <cellStyle name="Normal 4 2" xfId="364"/>
    <cellStyle name="Normal 4 2 2" xfId="365"/>
    <cellStyle name="Normal 4 2 2 2"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5 5" xfId="381"/>
    <cellStyle name="Normal 6" xfId="382"/>
    <cellStyle name="Normal 6 2" xfId="383"/>
    <cellStyle name="Normal 6 3" xfId="384"/>
    <cellStyle name="Normal 6 4" xfId="385"/>
    <cellStyle name="Normal 6 5" xfId="386"/>
    <cellStyle name="Normal 7 2" xfId="387"/>
    <cellStyle name="Normal 7 2 2" xfId="388"/>
    <cellStyle name="Normal 7 2 2 2" xfId="389"/>
    <cellStyle name="Normal 7 2 3" xfId="390"/>
    <cellStyle name="Normal 7 2 4" xfId="391"/>
    <cellStyle name="Normal 7 2 5" xfId="392"/>
    <cellStyle name="Normal 7 3" xfId="393"/>
    <cellStyle name="Normal 7 4" xfId="394"/>
    <cellStyle name="Normal 7 4 2" xfId="395"/>
    <cellStyle name="Normal 7 4 3" xfId="396"/>
    <cellStyle name="Normal 7 5" xfId="397"/>
    <cellStyle name="Normal 7 5 2" xfId="398"/>
    <cellStyle name="Normal 7 5 3" xfId="399"/>
    <cellStyle name="Normal 7 5 4" xfId="400"/>
    <cellStyle name="Normal 7 6" xfId="401"/>
    <cellStyle name="Normal 7 7" xfId="402"/>
    <cellStyle name="Normal 8" xfId="403"/>
    <cellStyle name="Normal 8 2" xfId="404"/>
    <cellStyle name="Normal 9" xfId="405"/>
    <cellStyle name="Normal 9 2" xfId="406"/>
    <cellStyle name="Normal 9 2 2" xfId="407"/>
    <cellStyle name="Normal 9 3" xfId="408"/>
    <cellStyle name="Normal 9 4" xfId="409"/>
    <cellStyle name="Normal 9 5" xfId="410"/>
    <cellStyle name="Normal 9 6" xfId="411"/>
    <cellStyle name="Normal_debt" xfId="412"/>
    <cellStyle name="Normal_lpform" xfId="413"/>
  </cellStyles>
  <dxfs count="318">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7.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15"/>
  <sheetViews>
    <sheetView topLeftCell="A38" zoomScale="80" workbookViewId="0">
      <selection activeCell="L8" sqref="L8"/>
    </sheetView>
  </sheetViews>
  <sheetFormatPr defaultRowHeight="15.75"/>
  <cols>
    <col min="1" max="1" width="75.77734375" style="32" customWidth="1"/>
    <col min="2" max="16384" width="8.88671875" style="32"/>
  </cols>
  <sheetData>
    <row r="1" spans="1:1">
      <c r="A1" s="31" t="s">
        <v>131</v>
      </c>
    </row>
    <row r="3" spans="1:1" ht="39.75" customHeight="1">
      <c r="A3" s="487" t="s">
        <v>850</v>
      </c>
    </row>
    <row r="4" spans="1:1">
      <c r="A4" s="33"/>
    </row>
    <row r="5" spans="1:1" ht="49.5" customHeight="1">
      <c r="A5" s="34" t="s">
        <v>648</v>
      </c>
    </row>
    <row r="6" spans="1:1">
      <c r="A6" s="34"/>
    </row>
    <row r="7" spans="1:1" ht="75" customHeight="1">
      <c r="A7" s="34" t="s">
        <v>792</v>
      </c>
    </row>
    <row r="8" spans="1:1">
      <c r="A8" s="34"/>
    </row>
    <row r="9" spans="1:1" ht="32.25" customHeight="1">
      <c r="A9" s="34" t="s">
        <v>203</v>
      </c>
    </row>
    <row r="11" spans="1:1" ht="51" customHeight="1">
      <c r="A11" s="34" t="s">
        <v>707</v>
      </c>
    </row>
    <row r="13" spans="1:1">
      <c r="A13" s="31" t="s">
        <v>658</v>
      </c>
    </row>
    <row r="14" spans="1:1">
      <c r="A14" s="31"/>
    </row>
    <row r="15" spans="1:1">
      <c r="A15" s="33" t="s">
        <v>659</v>
      </c>
    </row>
    <row r="17" spans="1:1" ht="37.5" customHeight="1">
      <c r="A17" s="35" t="s">
        <v>230</v>
      </c>
    </row>
    <row r="18" spans="1:1" ht="9" customHeight="1">
      <c r="A18" s="35"/>
    </row>
    <row r="20" spans="1:1">
      <c r="A20" s="31" t="s">
        <v>713</v>
      </c>
    </row>
    <row r="22" spans="1:1" ht="36" customHeight="1">
      <c r="A22" s="34" t="s">
        <v>204</v>
      </c>
    </row>
    <row r="23" spans="1:1">
      <c r="A23" s="34"/>
    </row>
    <row r="24" spans="1:1">
      <c r="A24" s="36" t="s">
        <v>205</v>
      </c>
    </row>
    <row r="25" spans="1:1" ht="12" customHeight="1">
      <c r="A25" s="34"/>
    </row>
    <row r="26" spans="1:1">
      <c r="A26" s="37" t="s">
        <v>113</v>
      </c>
    </row>
    <row r="27" spans="1:1">
      <c r="A27" s="38"/>
    </row>
    <row r="28" spans="1:1" ht="84.75" customHeight="1">
      <c r="A28" s="39" t="s">
        <v>643</v>
      </c>
    </row>
    <row r="29" spans="1:1" ht="12.75" customHeight="1">
      <c r="A29" s="40"/>
    </row>
    <row r="30" spans="1:1">
      <c r="A30" s="41" t="s">
        <v>206</v>
      </c>
    </row>
    <row r="31" spans="1:1">
      <c r="A31" s="40"/>
    </row>
    <row r="32" spans="1:1">
      <c r="A32" s="42" t="s">
        <v>657</v>
      </c>
    </row>
    <row r="33" spans="1:1">
      <c r="A33" s="40"/>
    </row>
    <row r="34" spans="1:1">
      <c r="A34" s="34" t="s">
        <v>48</v>
      </c>
    </row>
    <row r="36" spans="1:1">
      <c r="A36" s="31" t="s">
        <v>49</v>
      </c>
    </row>
    <row r="38" spans="1:1" ht="66.75" customHeight="1">
      <c r="A38" s="34" t="s">
        <v>475</v>
      </c>
    </row>
    <row r="39" spans="1:1" ht="35.25" customHeight="1">
      <c r="A39" s="34" t="s">
        <v>133</v>
      </c>
    </row>
    <row r="40" spans="1:1" ht="53.25" customHeight="1">
      <c r="A40" s="43" t="s">
        <v>207</v>
      </c>
    </row>
    <row r="41" spans="1:1" ht="102.75" customHeight="1">
      <c r="A41" s="725" t="s">
        <v>793</v>
      </c>
    </row>
    <row r="43" spans="1:1" ht="84" customHeight="1">
      <c r="A43" s="34" t="s">
        <v>476</v>
      </c>
    </row>
    <row r="44" spans="1:1" ht="53.25" customHeight="1">
      <c r="A44" s="34" t="s">
        <v>208</v>
      </c>
    </row>
    <row r="45" spans="1:1" ht="102" customHeight="1">
      <c r="A45" s="34" t="s">
        <v>708</v>
      </c>
    </row>
    <row r="46" spans="1:1" ht="15.75" customHeight="1">
      <c r="A46" s="34"/>
    </row>
    <row r="47" spans="1:1" ht="74.099999999999994" customHeight="1">
      <c r="A47" s="726" t="s">
        <v>794</v>
      </c>
    </row>
    <row r="48" spans="1:1" ht="69.95" customHeight="1">
      <c r="A48" s="370" t="s">
        <v>365</v>
      </c>
    </row>
    <row r="49" spans="1:1" ht="75.75" customHeight="1">
      <c r="A49" s="727" t="s">
        <v>795</v>
      </c>
    </row>
    <row r="50" spans="1:1" ht="15.75" customHeight="1">
      <c r="A50" s="34"/>
    </row>
    <row r="51" spans="1:1" ht="69.75" customHeight="1">
      <c r="A51" s="34" t="s">
        <v>366</v>
      </c>
    </row>
    <row r="52" spans="1:1" ht="37.5" customHeight="1">
      <c r="A52" s="34" t="s">
        <v>367</v>
      </c>
    </row>
    <row r="53" spans="1:1" ht="69" customHeight="1">
      <c r="A53" s="34" t="s">
        <v>368</v>
      </c>
    </row>
    <row r="54" spans="1:1" ht="115.5" customHeight="1">
      <c r="A54" s="728" t="s">
        <v>832</v>
      </c>
    </row>
    <row r="56" spans="1:1" ht="84.75" customHeight="1">
      <c r="A56" s="34" t="s">
        <v>831</v>
      </c>
    </row>
    <row r="57" spans="1:1" ht="116.25" customHeight="1">
      <c r="A57" s="34" t="s">
        <v>369</v>
      </c>
    </row>
    <row r="58" spans="1:1" ht="38.25" customHeight="1">
      <c r="A58" s="34" t="s">
        <v>370</v>
      </c>
    </row>
    <row r="59" spans="1:1">
      <c r="A59" s="34"/>
    </row>
    <row r="60" spans="1:1" ht="74.25" customHeight="1">
      <c r="A60" s="728" t="s">
        <v>796</v>
      </c>
    </row>
    <row r="61" spans="1:1">
      <c r="A61" s="34"/>
    </row>
    <row r="62" spans="1:1" ht="66.75" customHeight="1">
      <c r="A62" s="34" t="s">
        <v>371</v>
      </c>
    </row>
    <row r="63" spans="1:1" ht="37.5" customHeight="1">
      <c r="A63" s="34" t="s">
        <v>380</v>
      </c>
    </row>
    <row r="64" spans="1:1" ht="91.5" customHeight="1">
      <c r="A64" s="34" t="s">
        <v>381</v>
      </c>
    </row>
    <row r="65" spans="1:1" ht="47.25" customHeight="1">
      <c r="A65" s="348" t="s">
        <v>382</v>
      </c>
    </row>
    <row r="67" spans="1:1" s="34" customFormat="1" ht="66.75" customHeight="1">
      <c r="A67" s="34" t="s">
        <v>372</v>
      </c>
    </row>
    <row r="69" spans="1:1" ht="67.5" customHeight="1">
      <c r="A69" s="34" t="s">
        <v>373</v>
      </c>
    </row>
    <row r="70" spans="1:1" ht="18" customHeight="1">
      <c r="A70" s="34"/>
    </row>
    <row r="71" spans="1:1" ht="149.25" customHeight="1">
      <c r="A71" s="728" t="s">
        <v>797</v>
      </c>
    </row>
    <row r="73" spans="1:1" ht="95.25" customHeight="1">
      <c r="A73" s="34" t="s">
        <v>798</v>
      </c>
    </row>
    <row r="74" spans="1:1" ht="84.75" customHeight="1">
      <c r="A74" s="728" t="s">
        <v>830</v>
      </c>
    </row>
    <row r="75" spans="1:1" ht="104.25" customHeight="1">
      <c r="A75" s="492" t="s">
        <v>799</v>
      </c>
    </row>
    <row r="76" spans="1:1" ht="75" customHeight="1">
      <c r="A76" s="492" t="s">
        <v>800</v>
      </c>
    </row>
    <row r="77" spans="1:1" ht="75" customHeight="1">
      <c r="A77" s="492" t="s">
        <v>801</v>
      </c>
    </row>
    <row r="78" spans="1:1" ht="137.25" customHeight="1">
      <c r="A78" s="34" t="s">
        <v>802</v>
      </c>
    </row>
    <row r="79" spans="1:1" ht="91.5" customHeight="1">
      <c r="A79" s="728" t="s">
        <v>803</v>
      </c>
    </row>
    <row r="80" spans="1:1" ht="135" customHeight="1">
      <c r="A80" s="34" t="s">
        <v>804</v>
      </c>
    </row>
    <row r="81" spans="1:1" ht="141.75" customHeight="1">
      <c r="A81" s="34" t="s">
        <v>805</v>
      </c>
    </row>
    <row r="82" spans="1:1" ht="87" customHeight="1">
      <c r="A82" s="34" t="s">
        <v>806</v>
      </c>
    </row>
    <row r="83" spans="1:1" ht="105" customHeight="1">
      <c r="A83" s="34" t="s">
        <v>807</v>
      </c>
    </row>
    <row r="84" spans="1:1" ht="86.25" customHeight="1">
      <c r="A84" s="34" t="s">
        <v>808</v>
      </c>
    </row>
    <row r="85" spans="1:1" ht="129.75" customHeight="1">
      <c r="A85" s="34" t="s">
        <v>809</v>
      </c>
    </row>
    <row r="86" spans="1:1" ht="110.25" customHeight="1">
      <c r="A86" s="729" t="s">
        <v>810</v>
      </c>
    </row>
    <row r="87" spans="1:1" ht="117" customHeight="1">
      <c r="A87" s="730" t="s">
        <v>811</v>
      </c>
    </row>
    <row r="88" spans="1:1" ht="72" customHeight="1">
      <c r="A88" s="369" t="s">
        <v>812</v>
      </c>
    </row>
    <row r="89" spans="1:1" ht="63.75" customHeight="1">
      <c r="A89" s="728" t="s">
        <v>374</v>
      </c>
    </row>
    <row r="90" spans="1:1" ht="43.5" customHeight="1">
      <c r="A90" s="731" t="s">
        <v>375</v>
      </c>
    </row>
    <row r="91" spans="1:1" ht="53.25" customHeight="1">
      <c r="A91" s="492" t="s">
        <v>817</v>
      </c>
    </row>
    <row r="92" spans="1:1" ht="144.75" customHeight="1">
      <c r="A92" s="492" t="s">
        <v>818</v>
      </c>
    </row>
    <row r="93" spans="1:1" ht="159" customHeight="1">
      <c r="A93" s="492" t="s">
        <v>819</v>
      </c>
    </row>
    <row r="94" spans="1:1" ht="107.25" customHeight="1">
      <c r="A94" s="732" t="s">
        <v>820</v>
      </c>
    </row>
    <row r="95" spans="1:1" ht="114.75" customHeight="1">
      <c r="A95" s="733" t="s">
        <v>821</v>
      </c>
    </row>
    <row r="96" spans="1:1" ht="20.25" customHeight="1"/>
    <row r="97" spans="1:1" ht="157.5" customHeight="1">
      <c r="A97" s="34" t="s">
        <v>813</v>
      </c>
    </row>
    <row r="98" spans="1:1" ht="134.25" customHeight="1">
      <c r="A98" s="34" t="s">
        <v>814</v>
      </c>
    </row>
    <row r="99" spans="1:1" ht="59.25" customHeight="1">
      <c r="A99" s="34" t="s">
        <v>815</v>
      </c>
    </row>
    <row r="100" spans="1:1" ht="30.75" customHeight="1">
      <c r="A100" s="34" t="s">
        <v>816</v>
      </c>
    </row>
    <row r="101" spans="1:1" ht="15" customHeight="1"/>
    <row r="102" spans="1:1" ht="83.25" customHeight="1">
      <c r="A102" s="728" t="s">
        <v>822</v>
      </c>
    </row>
    <row r="103" spans="1:1" ht="15.75" customHeight="1">
      <c r="A103" s="371"/>
    </row>
    <row r="104" spans="1:1" ht="73.5" customHeight="1">
      <c r="A104" s="492" t="s">
        <v>823</v>
      </c>
    </row>
    <row r="105" spans="1:1" ht="112.5" customHeight="1">
      <c r="A105" s="492" t="s">
        <v>824</v>
      </c>
    </row>
    <row r="106" spans="1:1" ht="122.25" customHeight="1">
      <c r="A106" s="492" t="s">
        <v>825</v>
      </c>
    </row>
    <row r="107" spans="1:1" ht="91.5" customHeight="1">
      <c r="A107" s="492"/>
    </row>
    <row r="108" spans="1:1" ht="58.5" customHeight="1">
      <c r="A108" s="371"/>
    </row>
    <row r="109" spans="1:1" ht="66" customHeight="1">
      <c r="A109" s="371"/>
    </row>
    <row r="110" spans="1:1" ht="16.5" customHeight="1">
      <c r="A110" s="34"/>
    </row>
    <row r="111" spans="1:1" ht="72.75" customHeight="1">
      <c r="A111" s="34"/>
    </row>
    <row r="113" spans="1:1" ht="69" customHeight="1">
      <c r="A113" s="492"/>
    </row>
    <row r="114" spans="1:1" ht="110.25" customHeight="1">
      <c r="A114" s="492"/>
    </row>
    <row r="115" spans="1:1" ht="132" customHeight="1">
      <c r="A115" s="492"/>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topLeftCell="A3" zoomScale="75" workbookViewId="0">
      <selection activeCell="M28" sqref="M28"/>
    </sheetView>
  </sheetViews>
  <sheetFormatPr defaultRowHeight="15.75"/>
  <cols>
    <col min="1" max="1" width="4.77734375" style="44" customWidth="1"/>
    <col min="2" max="2" width="20.77734375" style="44" customWidth="1"/>
    <col min="3" max="3" width="9.33203125" style="44" customWidth="1"/>
    <col min="4" max="4" width="8.6640625" style="44" customWidth="1"/>
    <col min="5" max="5" width="8.77734375" style="44" customWidth="1"/>
    <col min="6" max="6" width="12.77734375" style="44" customWidth="1"/>
    <col min="7" max="7" width="14.33203125" style="44" customWidth="1"/>
    <col min="8" max="13" width="9.77734375" style="44" customWidth="1"/>
    <col min="14" max="16384" width="8.88671875" style="44"/>
  </cols>
  <sheetData>
    <row r="1" spans="2:13">
      <c r="B1" s="196" t="str">
        <f ca="1">inputPrYr!$D$2</f>
        <v>City of Grainfield</v>
      </c>
      <c r="C1" s="46"/>
      <c r="D1" s="46"/>
      <c r="E1" s="46"/>
      <c r="F1" s="46"/>
      <c r="G1" s="46"/>
      <c r="H1" s="46"/>
      <c r="I1" s="46"/>
      <c r="J1" s="46"/>
      <c r="K1" s="46"/>
      <c r="L1" s="46"/>
      <c r="M1" s="218">
        <f ca="1">inputPrYr!$C$5</f>
        <v>2014</v>
      </c>
    </row>
    <row r="2" spans="2:13">
      <c r="B2" s="196"/>
      <c r="C2" s="46"/>
      <c r="D2" s="46"/>
      <c r="E2" s="46"/>
      <c r="F2" s="46"/>
      <c r="G2" s="46"/>
      <c r="H2" s="46"/>
      <c r="I2" s="46"/>
      <c r="J2" s="46"/>
      <c r="K2" s="46"/>
      <c r="L2" s="46"/>
      <c r="M2" s="168"/>
    </row>
    <row r="3" spans="2:13">
      <c r="B3" s="219" t="s">
        <v>57</v>
      </c>
      <c r="C3" s="55"/>
      <c r="D3" s="55"/>
      <c r="E3" s="55"/>
      <c r="F3" s="55"/>
      <c r="G3" s="55"/>
      <c r="H3" s="55"/>
      <c r="I3" s="55"/>
      <c r="J3" s="55"/>
      <c r="K3" s="55"/>
      <c r="L3" s="55"/>
      <c r="M3" s="55"/>
    </row>
    <row r="4" spans="2:13" ht="10.5" customHeight="1">
      <c r="B4" s="46"/>
      <c r="C4" s="220"/>
      <c r="D4" s="220"/>
      <c r="E4" s="220"/>
      <c r="F4" s="220"/>
      <c r="G4" s="220"/>
      <c r="H4" s="220"/>
      <c r="I4" s="220"/>
      <c r="J4" s="220"/>
      <c r="K4" s="220"/>
      <c r="L4" s="220"/>
      <c r="M4" s="220"/>
    </row>
    <row r="5" spans="2:13" ht="18" customHeight="1">
      <c r="B5" s="151"/>
      <c r="C5" s="198" t="s">
        <v>25</v>
      </c>
      <c r="D5" s="198" t="s">
        <v>25</v>
      </c>
      <c r="E5" s="198" t="s">
        <v>39</v>
      </c>
      <c r="F5" s="198"/>
      <c r="G5" s="198" t="s">
        <v>163</v>
      </c>
      <c r="H5" s="46"/>
      <c r="I5" s="46"/>
      <c r="J5" s="221" t="s">
        <v>26</v>
      </c>
      <c r="K5" s="222"/>
      <c r="L5" s="221" t="s">
        <v>26</v>
      </c>
      <c r="M5" s="222"/>
    </row>
    <row r="6" spans="2:13">
      <c r="B6" s="223" t="s">
        <v>591</v>
      </c>
      <c r="C6" s="223" t="s">
        <v>27</v>
      </c>
      <c r="D6" s="223" t="s">
        <v>164</v>
      </c>
      <c r="E6" s="223" t="s">
        <v>28</v>
      </c>
      <c r="F6" s="223" t="s">
        <v>740</v>
      </c>
      <c r="G6" s="223" t="s">
        <v>165</v>
      </c>
      <c r="H6" s="775" t="s">
        <v>29</v>
      </c>
      <c r="I6" s="776"/>
      <c r="J6" s="777">
        <f>M1-1</f>
        <v>2013</v>
      </c>
      <c r="K6" s="778"/>
      <c r="L6" s="777">
        <f>M1</f>
        <v>2014</v>
      </c>
      <c r="M6" s="778"/>
    </row>
    <row r="7" spans="2:13">
      <c r="B7" s="199" t="s">
        <v>590</v>
      </c>
      <c r="C7" s="199" t="s">
        <v>30</v>
      </c>
      <c r="D7" s="199" t="s">
        <v>166</v>
      </c>
      <c r="E7" s="199" t="s">
        <v>6</v>
      </c>
      <c r="F7" s="199" t="s">
        <v>31</v>
      </c>
      <c r="G7" s="224" t="str">
        <f>CONCATENATE("Jan 1,",M1-1,"")</f>
        <v>Jan 1,2013</v>
      </c>
      <c r="H7" s="155" t="s">
        <v>39</v>
      </c>
      <c r="I7" s="155" t="s">
        <v>41</v>
      </c>
      <c r="J7" s="155" t="s">
        <v>39</v>
      </c>
      <c r="K7" s="155" t="s">
        <v>41</v>
      </c>
      <c r="L7" s="155" t="s">
        <v>39</v>
      </c>
      <c r="M7" s="155" t="s">
        <v>41</v>
      </c>
    </row>
    <row r="8" spans="2:13">
      <c r="B8" s="225" t="s">
        <v>32</v>
      </c>
      <c r="C8" s="64"/>
      <c r="D8" s="64"/>
      <c r="E8" s="226"/>
      <c r="F8" s="227"/>
      <c r="G8" s="227"/>
      <c r="H8" s="64"/>
      <c r="I8" s="64"/>
      <c r="J8" s="227"/>
      <c r="K8" s="227"/>
      <c r="L8" s="227"/>
      <c r="M8" s="227"/>
    </row>
    <row r="9" spans="2:13">
      <c r="B9" s="68"/>
      <c r="C9" s="375"/>
      <c r="D9" s="375"/>
      <c r="E9" s="228"/>
      <c r="F9" s="229"/>
      <c r="G9" s="230"/>
      <c r="H9" s="231"/>
      <c r="I9" s="231"/>
      <c r="J9" s="230"/>
      <c r="K9" s="230"/>
      <c r="L9" s="230"/>
      <c r="M9" s="230"/>
    </row>
    <row r="10" spans="2:13">
      <c r="B10" s="68"/>
      <c r="C10" s="375"/>
      <c r="D10" s="375"/>
      <c r="E10" s="228"/>
      <c r="F10" s="229"/>
      <c r="G10" s="230"/>
      <c r="H10" s="231"/>
      <c r="I10" s="231"/>
      <c r="J10" s="230"/>
      <c r="K10" s="230"/>
      <c r="L10" s="230"/>
      <c r="M10" s="230"/>
    </row>
    <row r="11" spans="2:13">
      <c r="B11" s="68"/>
      <c r="C11" s="375"/>
      <c r="D11" s="375"/>
      <c r="E11" s="228"/>
      <c r="F11" s="229"/>
      <c r="G11" s="230"/>
      <c r="H11" s="231"/>
      <c r="I11" s="231"/>
      <c r="J11" s="230"/>
      <c r="K11" s="230"/>
      <c r="L11" s="230"/>
      <c r="M11" s="230"/>
    </row>
    <row r="12" spans="2:13">
      <c r="B12" s="68"/>
      <c r="C12" s="375"/>
      <c r="D12" s="375"/>
      <c r="E12" s="228"/>
      <c r="F12" s="229"/>
      <c r="G12" s="230"/>
      <c r="H12" s="231"/>
      <c r="I12" s="231"/>
      <c r="J12" s="230"/>
      <c r="K12" s="230"/>
      <c r="L12" s="230"/>
      <c r="M12" s="230"/>
    </row>
    <row r="13" spans="2:13">
      <c r="B13" s="68"/>
      <c r="C13" s="375"/>
      <c r="D13" s="375"/>
      <c r="E13" s="228"/>
      <c r="F13" s="229"/>
      <c r="G13" s="230"/>
      <c r="H13" s="231"/>
      <c r="I13" s="231"/>
      <c r="J13" s="230"/>
      <c r="K13" s="230"/>
      <c r="L13" s="230"/>
      <c r="M13" s="230"/>
    </row>
    <row r="14" spans="2:13">
      <c r="B14" s="68"/>
      <c r="C14" s="375"/>
      <c r="D14" s="375"/>
      <c r="E14" s="228"/>
      <c r="F14" s="229"/>
      <c r="G14" s="230"/>
      <c r="H14" s="231"/>
      <c r="I14" s="231"/>
      <c r="J14" s="230"/>
      <c r="K14" s="230"/>
      <c r="L14" s="230"/>
      <c r="M14" s="230"/>
    </row>
    <row r="15" spans="2:13">
      <c r="B15" s="68"/>
      <c r="C15" s="375"/>
      <c r="D15" s="375"/>
      <c r="E15" s="228"/>
      <c r="F15" s="229"/>
      <c r="G15" s="230"/>
      <c r="H15" s="231"/>
      <c r="I15" s="231"/>
      <c r="J15" s="230"/>
      <c r="K15" s="230"/>
      <c r="L15" s="230"/>
      <c r="M15" s="230"/>
    </row>
    <row r="16" spans="2:13">
      <c r="B16" s="68"/>
      <c r="C16" s="375"/>
      <c r="D16" s="375"/>
      <c r="E16" s="228"/>
      <c r="F16" s="229"/>
      <c r="G16" s="230"/>
      <c r="H16" s="231"/>
      <c r="I16" s="231"/>
      <c r="J16" s="230"/>
      <c r="K16" s="230"/>
      <c r="L16" s="230"/>
      <c r="M16" s="230"/>
    </row>
    <row r="17" spans="2:13">
      <c r="B17" s="68"/>
      <c r="C17" s="375"/>
      <c r="D17" s="375"/>
      <c r="E17" s="228"/>
      <c r="F17" s="229"/>
      <c r="G17" s="230"/>
      <c r="H17" s="231"/>
      <c r="I17" s="231"/>
      <c r="J17" s="230"/>
      <c r="K17" s="230"/>
      <c r="L17" s="230"/>
      <c r="M17" s="230"/>
    </row>
    <row r="18" spans="2:13">
      <c r="B18" s="68"/>
      <c r="C18" s="375"/>
      <c r="D18" s="375"/>
      <c r="E18" s="228"/>
      <c r="F18" s="229"/>
      <c r="G18" s="230"/>
      <c r="H18" s="231"/>
      <c r="I18" s="231"/>
      <c r="J18" s="230"/>
      <c r="K18" s="230"/>
      <c r="L18" s="230"/>
      <c r="M18" s="230"/>
    </row>
    <row r="19" spans="2:13">
      <c r="B19" s="68"/>
      <c r="C19" s="375"/>
      <c r="D19" s="375"/>
      <c r="E19" s="228"/>
      <c r="F19" s="229"/>
      <c r="G19" s="230"/>
      <c r="H19" s="231"/>
      <c r="I19" s="231"/>
      <c r="J19" s="230"/>
      <c r="K19" s="230"/>
      <c r="L19" s="230"/>
      <c r="M19" s="230"/>
    </row>
    <row r="20" spans="2:13">
      <c r="B20" s="232" t="s">
        <v>33</v>
      </c>
      <c r="C20" s="233"/>
      <c r="D20" s="233"/>
      <c r="E20" s="234"/>
      <c r="F20" s="235"/>
      <c r="G20" s="236">
        <f>SUM(G9:G19)</f>
        <v>0</v>
      </c>
      <c r="H20" s="237"/>
      <c r="I20" s="237"/>
      <c r="J20" s="236">
        <f>SUM(J9:J19)</f>
        <v>0</v>
      </c>
      <c r="K20" s="236">
        <f>SUM(K9:K19)</f>
        <v>0</v>
      </c>
      <c r="L20" s="236">
        <f>SUM(L9:L19)</f>
        <v>0</v>
      </c>
      <c r="M20" s="236">
        <f>SUM(M9:M19)</f>
        <v>0</v>
      </c>
    </row>
    <row r="21" spans="2:13">
      <c r="B21" s="225" t="s">
        <v>34</v>
      </c>
      <c r="C21" s="238"/>
      <c r="D21" s="238"/>
      <c r="E21" s="239"/>
      <c r="F21" s="240"/>
      <c r="G21" s="240"/>
      <c r="H21" s="241"/>
      <c r="I21" s="241"/>
      <c r="J21" s="240"/>
      <c r="K21" s="240"/>
      <c r="L21" s="240"/>
      <c r="M21" s="240"/>
    </row>
    <row r="22" spans="2:13">
      <c r="B22" s="68" t="s">
        <v>868</v>
      </c>
      <c r="C22" s="375">
        <v>39595</v>
      </c>
      <c r="D22" s="375">
        <v>47150</v>
      </c>
      <c r="E22" s="228">
        <v>3.34</v>
      </c>
      <c r="F22" s="229">
        <v>84663</v>
      </c>
      <c r="G22" s="230">
        <v>67030</v>
      </c>
      <c r="H22" s="231">
        <v>41306</v>
      </c>
      <c r="I22" s="231">
        <v>41487</v>
      </c>
      <c r="J22" s="230">
        <v>2322</v>
      </c>
      <c r="K22" s="230">
        <v>3294</v>
      </c>
      <c r="L22" s="230">
        <v>2211</v>
      </c>
      <c r="M22" s="230">
        <v>3417</v>
      </c>
    </row>
    <row r="23" spans="2:13">
      <c r="B23" s="68" t="s">
        <v>898</v>
      </c>
      <c r="C23" s="375">
        <v>40896</v>
      </c>
      <c r="D23" s="375">
        <v>48639</v>
      </c>
      <c r="E23" s="228">
        <v>2.4300000000000002</v>
      </c>
      <c r="F23" s="229">
        <v>892184</v>
      </c>
      <c r="G23" s="230">
        <v>0</v>
      </c>
      <c r="H23" s="231">
        <v>41334</v>
      </c>
      <c r="I23" s="231">
        <v>41518</v>
      </c>
      <c r="J23" s="230">
        <v>9849</v>
      </c>
      <c r="K23" s="230">
        <v>17678</v>
      </c>
      <c r="L23" s="230">
        <v>19117</v>
      </c>
      <c r="M23" s="230">
        <v>36002</v>
      </c>
    </row>
    <row r="24" spans="2:13">
      <c r="B24" s="68"/>
      <c r="C24" s="375"/>
      <c r="D24" s="375"/>
      <c r="E24" s="228"/>
      <c r="F24" s="229"/>
      <c r="G24" s="230"/>
      <c r="H24" s="231"/>
      <c r="I24" s="231"/>
      <c r="J24" s="230"/>
      <c r="K24" s="230"/>
      <c r="L24" s="230"/>
      <c r="M24" s="230"/>
    </row>
    <row r="25" spans="2:13">
      <c r="B25" s="68"/>
      <c r="C25" s="375"/>
      <c r="D25" s="375"/>
      <c r="E25" s="228"/>
      <c r="F25" s="229"/>
      <c r="G25" s="230"/>
      <c r="H25" s="231"/>
      <c r="I25" s="231"/>
      <c r="J25" s="230"/>
      <c r="K25" s="230"/>
      <c r="L25" s="230"/>
      <c r="M25" s="230"/>
    </row>
    <row r="26" spans="2:13">
      <c r="B26" s="68"/>
      <c r="C26" s="375"/>
      <c r="D26" s="375"/>
      <c r="E26" s="228"/>
      <c r="F26" s="229"/>
      <c r="G26" s="230"/>
      <c r="H26" s="231"/>
      <c r="I26" s="231"/>
      <c r="J26" s="230"/>
      <c r="K26" s="230"/>
      <c r="L26" s="230"/>
      <c r="M26" s="230"/>
    </row>
    <row r="27" spans="2:13">
      <c r="B27" s="68"/>
      <c r="C27" s="375"/>
      <c r="D27" s="375"/>
      <c r="E27" s="228"/>
      <c r="F27" s="229"/>
      <c r="G27" s="230"/>
      <c r="H27" s="231"/>
      <c r="I27" s="231"/>
      <c r="J27" s="230"/>
      <c r="K27" s="230"/>
      <c r="L27" s="230"/>
      <c r="M27" s="230"/>
    </row>
    <row r="28" spans="2:13">
      <c r="B28" s="68"/>
      <c r="C28" s="375"/>
      <c r="D28" s="375"/>
      <c r="E28" s="228"/>
      <c r="F28" s="229"/>
      <c r="G28" s="230"/>
      <c r="H28" s="231"/>
      <c r="I28" s="231"/>
      <c r="J28" s="230"/>
      <c r="K28" s="230"/>
      <c r="L28" s="230"/>
      <c r="M28" s="230"/>
    </row>
    <row r="29" spans="2:13">
      <c r="B29" s="68"/>
      <c r="C29" s="375"/>
      <c r="D29" s="375"/>
      <c r="E29" s="228"/>
      <c r="F29" s="229"/>
      <c r="G29" s="230"/>
      <c r="H29" s="231"/>
      <c r="I29" s="231"/>
      <c r="J29" s="230"/>
      <c r="K29" s="230"/>
      <c r="L29" s="230"/>
      <c r="M29" s="230"/>
    </row>
    <row r="30" spans="2:13">
      <c r="B30" s="68"/>
      <c r="C30" s="375"/>
      <c r="D30" s="375"/>
      <c r="E30" s="228"/>
      <c r="F30" s="229"/>
      <c r="G30" s="230"/>
      <c r="H30" s="231"/>
      <c r="I30" s="231"/>
      <c r="J30" s="230"/>
      <c r="K30" s="230"/>
      <c r="L30" s="230"/>
      <c r="M30" s="230"/>
    </row>
    <row r="31" spans="2:13">
      <c r="B31" s="68"/>
      <c r="C31" s="375"/>
      <c r="D31" s="375"/>
      <c r="E31" s="228"/>
      <c r="F31" s="229"/>
      <c r="G31" s="230"/>
      <c r="H31" s="231"/>
      <c r="I31" s="231"/>
      <c r="J31" s="230"/>
      <c r="K31" s="230"/>
      <c r="L31" s="230"/>
      <c r="M31" s="230"/>
    </row>
    <row r="32" spans="2:13">
      <c r="B32" s="232" t="s">
        <v>35</v>
      </c>
      <c r="C32" s="233"/>
      <c r="D32" s="233"/>
      <c r="E32" s="242"/>
      <c r="F32" s="235"/>
      <c r="G32" s="243">
        <f>SUM(G22:G31)</f>
        <v>67030</v>
      </c>
      <c r="H32" s="237"/>
      <c r="I32" s="237"/>
      <c r="J32" s="243">
        <f>SUM(J22:J31)</f>
        <v>12171</v>
      </c>
      <c r="K32" s="243">
        <f>SUM(K22:K31)</f>
        <v>20972</v>
      </c>
      <c r="L32" s="236">
        <f>SUM(L22:L31)</f>
        <v>21328</v>
      </c>
      <c r="M32" s="243">
        <f>SUM(M22:M31)</f>
        <v>39419</v>
      </c>
    </row>
    <row r="33" spans="2:29">
      <c r="B33" s="225" t="s">
        <v>36</v>
      </c>
      <c r="C33" s="238"/>
      <c r="D33" s="238"/>
      <c r="E33" s="239"/>
      <c r="F33" s="240"/>
      <c r="G33" s="244"/>
      <c r="H33" s="241"/>
      <c r="I33" s="241"/>
      <c r="J33" s="240"/>
      <c r="K33" s="240"/>
      <c r="L33" s="240"/>
      <c r="M33" s="240"/>
    </row>
    <row r="35" spans="2:29">
      <c r="B35" s="68"/>
      <c r="C35" s="375"/>
      <c r="D35" s="375"/>
      <c r="E35" s="228"/>
      <c r="F35" s="229"/>
      <c r="G35" s="230"/>
      <c r="H35" s="231"/>
      <c r="I35" s="231"/>
      <c r="J35" s="230"/>
      <c r="K35" s="230"/>
      <c r="L35" s="230"/>
      <c r="M35" s="230"/>
    </row>
    <row r="36" spans="2:29">
      <c r="B36" s="68"/>
      <c r="C36" s="375"/>
      <c r="D36" s="375"/>
      <c r="E36" s="228"/>
      <c r="F36" s="229"/>
      <c r="G36" s="230"/>
      <c r="H36" s="231"/>
      <c r="I36" s="231"/>
      <c r="J36" s="230"/>
      <c r="K36" s="230"/>
      <c r="L36" s="230"/>
      <c r="M36" s="230"/>
    </row>
    <row r="37" spans="2:29">
      <c r="B37" s="68"/>
      <c r="C37" s="375"/>
      <c r="D37" s="375"/>
      <c r="E37" s="228"/>
      <c r="F37" s="229"/>
      <c r="G37" s="230"/>
      <c r="H37" s="231"/>
      <c r="I37" s="231"/>
      <c r="J37" s="230"/>
      <c r="K37" s="230"/>
      <c r="L37" s="230"/>
      <c r="M37" s="230"/>
    </row>
    <row r="38" spans="2:29">
      <c r="B38" s="68"/>
      <c r="C38" s="375"/>
      <c r="D38" s="375"/>
      <c r="E38" s="228"/>
      <c r="F38" s="229"/>
      <c r="G38" s="230"/>
      <c r="H38" s="231"/>
      <c r="I38" s="231"/>
      <c r="J38" s="230"/>
      <c r="K38" s="230"/>
      <c r="L38" s="230"/>
      <c r="M38" s="230"/>
    </row>
    <row r="39" spans="2:29">
      <c r="B39" s="68"/>
      <c r="C39" s="375"/>
      <c r="D39" s="375"/>
      <c r="E39" s="228"/>
      <c r="F39" s="229"/>
      <c r="G39" s="230"/>
      <c r="H39" s="231"/>
      <c r="I39" s="231"/>
      <c r="J39" s="230"/>
      <c r="K39" s="230"/>
      <c r="L39" s="230"/>
      <c r="M39" s="230"/>
    </row>
    <row r="40" spans="2:29">
      <c r="B40" s="68"/>
      <c r="C40" s="375"/>
      <c r="D40" s="375"/>
      <c r="E40" s="228"/>
      <c r="F40" s="229"/>
      <c r="G40" s="230"/>
      <c r="H40" s="231"/>
      <c r="I40" s="231"/>
      <c r="J40" s="230"/>
      <c r="K40" s="230"/>
      <c r="L40" s="230"/>
      <c r="M40" s="230"/>
    </row>
    <row r="41" spans="2:29">
      <c r="B41" s="68"/>
      <c r="C41" s="375"/>
      <c r="D41" s="375"/>
      <c r="E41" s="228"/>
      <c r="F41" s="229"/>
      <c r="G41" s="230"/>
      <c r="H41" s="231"/>
      <c r="I41" s="231"/>
      <c r="J41" s="230"/>
      <c r="K41" s="230"/>
      <c r="L41" s="230"/>
      <c r="M41" s="230"/>
      <c r="N41" s="32"/>
      <c r="O41" s="32"/>
      <c r="P41" s="32"/>
      <c r="Q41" s="32"/>
      <c r="R41" s="32"/>
      <c r="S41" s="32"/>
      <c r="T41" s="32"/>
      <c r="U41" s="32"/>
      <c r="V41" s="32"/>
      <c r="W41" s="32"/>
      <c r="X41" s="32"/>
      <c r="Y41" s="32"/>
      <c r="Z41" s="32"/>
      <c r="AA41" s="32"/>
      <c r="AB41" s="32"/>
      <c r="AC41" s="32"/>
    </row>
    <row r="42" spans="2:29">
      <c r="B42" s="232" t="s">
        <v>167</v>
      </c>
      <c r="C42" s="213"/>
      <c r="D42" s="213"/>
      <c r="E42" s="242"/>
      <c r="F42" s="235"/>
      <c r="G42" s="243">
        <f>SUM(G22:G41)</f>
        <v>134060</v>
      </c>
      <c r="H42" s="235"/>
      <c r="I42" s="235"/>
      <c r="J42" s="243">
        <f>SUM(J22:J41)</f>
        <v>24342</v>
      </c>
      <c r="K42" s="243">
        <f>SUM(K22:K41)</f>
        <v>41944</v>
      </c>
      <c r="L42" s="243">
        <f>SUM(L22:L41)</f>
        <v>42656</v>
      </c>
      <c r="M42" s="243">
        <f>SUM(M22:M41)</f>
        <v>78838</v>
      </c>
    </row>
    <row r="43" spans="2:29">
      <c r="B43" s="232" t="s">
        <v>37</v>
      </c>
      <c r="C43" s="213"/>
      <c r="D43" s="213"/>
      <c r="E43" s="213"/>
      <c r="F43" s="235"/>
      <c r="G43" s="243">
        <f>SUM(G20+G32+G42)</f>
        <v>201090</v>
      </c>
      <c r="H43" s="235"/>
      <c r="I43" s="235"/>
      <c r="J43" s="243">
        <f>SUM(J20+J32+J42)</f>
        <v>36513</v>
      </c>
      <c r="K43" s="243">
        <f>SUM(K20+K32+K42)</f>
        <v>62916</v>
      </c>
      <c r="L43" s="243">
        <f>SUM(L20+L32+L42)</f>
        <v>63984</v>
      </c>
      <c r="M43" s="243">
        <f>SUM(M20+M32+M42)</f>
        <v>118257</v>
      </c>
    </row>
    <row r="44" spans="2:29">
      <c r="B44" s="32"/>
      <c r="C44" s="32"/>
      <c r="D44" s="32"/>
      <c r="E44" s="32"/>
      <c r="F44" s="32"/>
      <c r="G44" s="32"/>
      <c r="H44" s="32"/>
      <c r="I44" s="32"/>
      <c r="J44" s="32"/>
      <c r="K44" s="32"/>
      <c r="L44" s="32"/>
      <c r="M44" s="32"/>
    </row>
    <row r="45" spans="2:29">
      <c r="F45" s="245"/>
      <c r="G45" s="245"/>
      <c r="J45" s="245"/>
      <c r="K45" s="245"/>
      <c r="L45" s="245"/>
      <c r="M45" s="245"/>
    </row>
    <row r="46" spans="2:29">
      <c r="F46" s="32"/>
      <c r="H46" s="246"/>
      <c r="N46" s="32"/>
    </row>
    <row r="47" spans="2:29">
      <c r="B47" s="32"/>
      <c r="C47" s="32"/>
      <c r="D47" s="32"/>
      <c r="E47" s="32"/>
      <c r="F47" s="32"/>
      <c r="G47" s="32"/>
      <c r="H47" s="32"/>
      <c r="I47" s="32"/>
      <c r="J47" s="32"/>
      <c r="K47" s="32"/>
      <c r="L47" s="32"/>
      <c r="M47" s="32"/>
    </row>
    <row r="48" spans="2:29">
      <c r="B48" s="32"/>
      <c r="C48" s="32"/>
      <c r="D48" s="32"/>
      <c r="E48" s="32"/>
      <c r="F48" s="32"/>
      <c r="G48" s="32"/>
      <c r="H48" s="32"/>
      <c r="I48" s="32"/>
      <c r="J48" s="32"/>
      <c r="K48" s="32"/>
      <c r="L48" s="32"/>
      <c r="M48" s="32"/>
    </row>
  </sheetData>
  <sheetProtection sheet="1"/>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workbookViewId="0">
      <selection activeCell="I4" sqref="I4"/>
    </sheetView>
  </sheetViews>
  <sheetFormatPr defaultRowHeight="15.75"/>
  <cols>
    <col min="1" max="1" width="4.88671875" style="2" customWidth="1"/>
    <col min="2" max="2" width="23.5546875" style="2" customWidth="1"/>
    <col min="3" max="5" width="9.77734375" style="2" customWidth="1"/>
    <col min="6" max="6" width="18.33203125" style="2" customWidth="1"/>
    <col min="7" max="9" width="15.77734375" style="2" customWidth="1"/>
    <col min="10" max="16384" width="8.88671875" style="2"/>
  </cols>
  <sheetData>
    <row r="1" spans="2:9">
      <c r="B1" s="10" t="str">
        <f ca="1">inputPrYr!$D$2</f>
        <v>City of Grainfield</v>
      </c>
      <c r="C1" s="5"/>
      <c r="D1" s="5"/>
      <c r="E1" s="5"/>
      <c r="F1" s="5"/>
      <c r="G1" s="5"/>
      <c r="H1" s="5"/>
      <c r="I1" s="20">
        <f ca="1">inputPrYr!C5</f>
        <v>2014</v>
      </c>
    </row>
    <row r="2" spans="2:9">
      <c r="B2" s="10"/>
      <c r="C2" s="5"/>
      <c r="D2" s="5"/>
      <c r="E2" s="5"/>
      <c r="F2" s="5"/>
      <c r="G2" s="5"/>
      <c r="H2" s="5"/>
      <c r="I2" s="7"/>
    </row>
    <row r="3" spans="2:9">
      <c r="B3" s="5"/>
      <c r="C3" s="5"/>
      <c r="D3" s="5"/>
      <c r="E3" s="5"/>
      <c r="F3" s="5"/>
      <c r="G3" s="5"/>
      <c r="H3" s="5"/>
      <c r="I3" s="6"/>
    </row>
    <row r="4" spans="2:9">
      <c r="B4" s="11" t="s">
        <v>51</v>
      </c>
      <c r="C4" s="8"/>
      <c r="D4" s="8"/>
      <c r="E4" s="8"/>
      <c r="F4" s="8"/>
      <c r="G4" s="8"/>
      <c r="H4" s="8"/>
      <c r="I4" s="8"/>
    </row>
    <row r="5" spans="2:9">
      <c r="B5" s="4"/>
      <c r="C5" s="16"/>
      <c r="D5" s="16"/>
      <c r="E5" s="16"/>
      <c r="F5" s="16"/>
      <c r="G5" s="16"/>
      <c r="H5" s="16"/>
      <c r="I5" s="16"/>
    </row>
    <row r="6" spans="2:9">
      <c r="B6" s="9"/>
      <c r="C6" s="9"/>
      <c r="D6" s="9"/>
      <c r="E6" s="9"/>
      <c r="F6" s="12" t="s">
        <v>719</v>
      </c>
      <c r="G6" s="9"/>
      <c r="H6" s="9"/>
      <c r="I6" s="9"/>
    </row>
    <row r="7" spans="2:9">
      <c r="B7" s="607"/>
      <c r="C7" s="13"/>
      <c r="D7" s="13" t="s">
        <v>38</v>
      </c>
      <c r="E7" s="13" t="s">
        <v>39</v>
      </c>
      <c r="F7" s="13" t="s">
        <v>740</v>
      </c>
      <c r="G7" s="13" t="s">
        <v>41</v>
      </c>
      <c r="H7" s="13" t="s">
        <v>42</v>
      </c>
      <c r="I7" s="13" t="s">
        <v>42</v>
      </c>
    </row>
    <row r="8" spans="2:9">
      <c r="B8" s="13" t="s">
        <v>593</v>
      </c>
      <c r="C8" s="13" t="s">
        <v>43</v>
      </c>
      <c r="D8" s="13" t="s">
        <v>44</v>
      </c>
      <c r="E8" s="13" t="s">
        <v>28</v>
      </c>
      <c r="F8" s="13" t="s">
        <v>45</v>
      </c>
      <c r="G8" s="13" t="s">
        <v>91</v>
      </c>
      <c r="H8" s="13" t="s">
        <v>46</v>
      </c>
      <c r="I8" s="13" t="s">
        <v>46</v>
      </c>
    </row>
    <row r="9" spans="2:9">
      <c r="B9" s="14" t="s">
        <v>592</v>
      </c>
      <c r="C9" s="14" t="s">
        <v>25</v>
      </c>
      <c r="D9" s="18" t="s">
        <v>47</v>
      </c>
      <c r="E9" s="14" t="s">
        <v>6</v>
      </c>
      <c r="F9" s="18" t="s">
        <v>116</v>
      </c>
      <c r="G9" s="15" t="str">
        <f>CONCATENATE("Jan 1,",I1-1,"")</f>
        <v>Jan 1,2013</v>
      </c>
      <c r="H9" s="14">
        <f>I1-1</f>
        <v>2013</v>
      </c>
      <c r="I9" s="14">
        <f>I1</f>
        <v>2014</v>
      </c>
    </row>
    <row r="10" spans="2:9">
      <c r="B10" s="3"/>
      <c r="C10" s="28"/>
      <c r="D10" s="23"/>
      <c r="E10" s="21"/>
      <c r="F10" s="22"/>
      <c r="G10" s="22"/>
      <c r="H10" s="22"/>
      <c r="I10" s="22"/>
    </row>
    <row r="11" spans="2:9">
      <c r="B11" s="3"/>
      <c r="C11" s="28"/>
      <c r="D11" s="23"/>
      <c r="E11" s="21"/>
      <c r="F11" s="22"/>
      <c r="G11" s="22"/>
      <c r="H11" s="22"/>
      <c r="I11" s="22"/>
    </row>
    <row r="12" spans="2:9">
      <c r="B12" s="3"/>
      <c r="C12" s="28"/>
      <c r="D12" s="23"/>
      <c r="E12" s="21"/>
      <c r="F12" s="22"/>
      <c r="G12" s="22"/>
      <c r="H12" s="22"/>
      <c r="I12" s="22"/>
    </row>
    <row r="13" spans="2:9">
      <c r="B13" s="3"/>
      <c r="C13" s="28"/>
      <c r="D13" s="23"/>
      <c r="E13" s="21"/>
      <c r="F13" s="22"/>
      <c r="G13" s="22"/>
      <c r="H13" s="22"/>
      <c r="I13" s="22"/>
    </row>
    <row r="14" spans="2:9">
      <c r="B14" s="3"/>
      <c r="C14" s="28"/>
      <c r="D14" s="23"/>
      <c r="E14" s="21"/>
      <c r="F14" s="22"/>
      <c r="G14" s="22"/>
      <c r="H14" s="22"/>
      <c r="I14" s="22"/>
    </row>
    <row r="15" spans="2:9">
      <c r="B15" s="3"/>
      <c r="C15" s="28"/>
      <c r="D15" s="23"/>
      <c r="E15" s="21"/>
      <c r="F15" s="22"/>
      <c r="G15" s="22"/>
      <c r="H15" s="22"/>
      <c r="I15" s="22"/>
    </row>
    <row r="16" spans="2:9">
      <c r="B16" s="3"/>
      <c r="C16" s="28"/>
      <c r="D16" s="23"/>
      <c r="E16" s="21"/>
      <c r="F16" s="22"/>
      <c r="G16" s="22"/>
      <c r="H16" s="22"/>
      <c r="I16" s="22"/>
    </row>
    <row r="17" spans="2:9">
      <c r="B17" s="3"/>
      <c r="C17" s="28"/>
      <c r="D17" s="23"/>
      <c r="E17" s="21"/>
      <c r="F17" s="22"/>
      <c r="G17" s="22"/>
      <c r="H17" s="22"/>
      <c r="I17" s="22"/>
    </row>
    <row r="18" spans="2:9">
      <c r="B18" s="3"/>
      <c r="C18" s="28"/>
      <c r="D18" s="23"/>
      <c r="E18" s="21"/>
      <c r="F18" s="22"/>
      <c r="G18" s="22"/>
      <c r="H18" s="22"/>
      <c r="I18" s="22"/>
    </row>
    <row r="19" spans="2:9">
      <c r="B19" s="3"/>
      <c r="C19" s="28"/>
      <c r="D19" s="23"/>
      <c r="E19" s="21"/>
      <c r="F19" s="22"/>
      <c r="G19" s="22"/>
      <c r="H19" s="22"/>
      <c r="I19" s="22"/>
    </row>
    <row r="20" spans="2:9">
      <c r="B20" s="3"/>
      <c r="C20" s="28"/>
      <c r="D20" s="23"/>
      <c r="E20" s="21"/>
      <c r="F20" s="22"/>
      <c r="G20" s="22"/>
      <c r="H20" s="22"/>
      <c r="I20" s="22"/>
    </row>
    <row r="21" spans="2:9">
      <c r="B21" s="3"/>
      <c r="C21" s="28"/>
      <c r="D21" s="23"/>
      <c r="E21" s="21"/>
      <c r="F21" s="22"/>
      <c r="G21" s="22"/>
      <c r="H21" s="22"/>
      <c r="I21" s="22"/>
    </row>
    <row r="22" spans="2:9">
      <c r="B22" s="3"/>
      <c r="C22" s="28"/>
      <c r="D22" s="23"/>
      <c r="E22" s="21"/>
      <c r="F22" s="22"/>
      <c r="G22" s="22"/>
      <c r="H22" s="22"/>
      <c r="I22" s="22"/>
    </row>
    <row r="23" spans="2:9">
      <c r="B23" s="3"/>
      <c r="C23" s="28"/>
      <c r="D23" s="23"/>
      <c r="E23" s="21"/>
      <c r="F23" s="22"/>
      <c r="G23" s="22"/>
      <c r="H23" s="22"/>
      <c r="I23" s="22"/>
    </row>
    <row r="24" spans="2:9">
      <c r="B24" s="3"/>
      <c r="C24" s="28"/>
      <c r="D24" s="23"/>
      <c r="E24" s="21"/>
      <c r="F24" s="22"/>
      <c r="G24" s="22"/>
      <c r="H24" s="22"/>
      <c r="I24" s="22"/>
    </row>
    <row r="25" spans="2:9">
      <c r="B25" s="3"/>
      <c r="C25" s="28"/>
      <c r="D25" s="23"/>
      <c r="E25" s="21"/>
      <c r="F25" s="22"/>
      <c r="G25" s="22"/>
      <c r="H25" s="22"/>
      <c r="I25" s="22"/>
    </row>
    <row r="26" spans="2:9">
      <c r="B26" s="3"/>
      <c r="C26" s="28"/>
      <c r="D26" s="23"/>
      <c r="E26" s="21"/>
      <c r="F26" s="22"/>
      <c r="G26" s="22"/>
      <c r="H26" s="22"/>
      <c r="I26" s="22"/>
    </row>
    <row r="27" spans="2:9">
      <c r="B27" s="3"/>
      <c r="C27" s="28"/>
      <c r="D27" s="23"/>
      <c r="E27" s="21"/>
      <c r="F27" s="22"/>
      <c r="G27" s="22"/>
      <c r="H27" s="22"/>
      <c r="I27" s="22"/>
    </row>
    <row r="28" spans="2:9" ht="16.5" thickBot="1">
      <c r="B28" s="17"/>
      <c r="C28" s="19"/>
      <c r="D28" s="19"/>
      <c r="E28" s="19"/>
      <c r="F28" s="708" t="s">
        <v>735</v>
      </c>
      <c r="G28" s="27">
        <f>SUM(G10:G27)</f>
        <v>0</v>
      </c>
      <c r="H28" s="27">
        <f>SUM(H10:H27)</f>
        <v>0</v>
      </c>
      <c r="I28" s="27">
        <f>SUM(I10:I27)</f>
        <v>0</v>
      </c>
    </row>
    <row r="29" spans="2:9" ht="16.5" thickTop="1">
      <c r="B29" s="5"/>
      <c r="C29" s="5"/>
      <c r="D29" s="5"/>
      <c r="E29" s="5"/>
      <c r="F29" s="5"/>
      <c r="G29" s="5"/>
      <c r="H29" s="10"/>
      <c r="I29" s="10"/>
    </row>
    <row r="30" spans="2:9">
      <c r="B30" s="29" t="s">
        <v>663</v>
      </c>
      <c r="C30" s="30"/>
      <c r="D30" s="30"/>
      <c r="E30" s="30"/>
      <c r="F30" s="30"/>
      <c r="G30" s="30"/>
      <c r="H30" s="10"/>
      <c r="I30" s="10"/>
    </row>
  </sheetData>
  <sheetProtection sheet="1"/>
  <phoneticPr fontId="0" type="noConversion"/>
  <pageMargins left="0.25" right="0.25" top="1" bottom="0.5" header="0.5" footer="0.5"/>
  <pageSetup scale="91"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94" zoomScaleNormal="100" workbookViewId="0">
      <selection activeCell="J14" sqref="J14"/>
    </sheetView>
  </sheetViews>
  <sheetFormatPr defaultRowHeight="15"/>
  <cols>
    <col min="1" max="1" width="2.5546875" style="678" customWidth="1"/>
    <col min="2" max="4" width="8.88671875" style="678"/>
    <col min="5" max="5" width="9.6640625" style="678" customWidth="1"/>
    <col min="6" max="6" width="8.88671875" style="678"/>
    <col min="7" max="7" width="9.6640625" style="678" customWidth="1"/>
    <col min="8" max="16384" width="8.88671875" style="678"/>
  </cols>
  <sheetData>
    <row r="1" spans="2:9" ht="15.75">
      <c r="B1" s="677"/>
      <c r="C1" s="677"/>
      <c r="D1" s="677"/>
      <c r="E1" s="677"/>
      <c r="F1" s="677"/>
      <c r="G1" s="677"/>
      <c r="H1" s="677"/>
      <c r="I1" s="677"/>
    </row>
    <row r="2" spans="2:9" ht="15.75">
      <c r="B2" s="781" t="s">
        <v>616</v>
      </c>
      <c r="C2" s="781"/>
      <c r="D2" s="781"/>
      <c r="E2" s="781"/>
      <c r="F2" s="781"/>
      <c r="G2" s="781"/>
      <c r="H2" s="781"/>
      <c r="I2" s="781"/>
    </row>
    <row r="3" spans="2:9" ht="15.75">
      <c r="B3" s="781" t="s">
        <v>617</v>
      </c>
      <c r="C3" s="781"/>
      <c r="D3" s="781"/>
      <c r="E3" s="781"/>
      <c r="F3" s="781"/>
      <c r="G3" s="781"/>
      <c r="H3" s="781"/>
      <c r="I3" s="781"/>
    </row>
    <row r="4" spans="2:9" ht="15.75">
      <c r="B4" s="679"/>
      <c r="C4" s="679"/>
      <c r="D4" s="679"/>
      <c r="E4" s="679"/>
      <c r="F4" s="679"/>
      <c r="G4" s="679"/>
      <c r="H4" s="679"/>
      <c r="I4" s="679"/>
    </row>
    <row r="5" spans="2:9" ht="15.75">
      <c r="B5" s="782" t="str">
        <f ca="1">CONCATENATE("Budgeted Year: ",inputPrYr!C5,"")</f>
        <v>Budgeted Year: 2014</v>
      </c>
      <c r="C5" s="782"/>
      <c r="D5" s="782"/>
      <c r="E5" s="782"/>
      <c r="F5" s="782"/>
      <c r="G5" s="782"/>
      <c r="H5" s="782"/>
      <c r="I5" s="782"/>
    </row>
    <row r="6" spans="2:9" ht="15.75">
      <c r="B6" s="680"/>
      <c r="C6" s="679"/>
      <c r="D6" s="679"/>
      <c r="E6" s="679"/>
      <c r="F6" s="679"/>
      <c r="G6" s="679"/>
      <c r="H6" s="679"/>
      <c r="I6" s="679"/>
    </row>
    <row r="7" spans="2:9" ht="15.75">
      <c r="B7" s="680" t="str">
        <f ca="1">CONCATENATE("Library found in: ",inputPrYr!D2,"")</f>
        <v>Library found in: City of Grainfield</v>
      </c>
      <c r="C7" s="679"/>
      <c r="D7" s="679"/>
      <c r="E7" s="679"/>
      <c r="F7" s="679"/>
      <c r="G7" s="679"/>
      <c r="H7" s="679"/>
      <c r="I7" s="679"/>
    </row>
    <row r="8" spans="2:9" ht="15.75">
      <c r="B8" s="680" t="str">
        <f ca="1">inputPrYr!D3</f>
        <v>County of Gove</v>
      </c>
      <c r="C8" s="679"/>
      <c r="D8" s="679"/>
      <c r="E8" s="679"/>
      <c r="F8" s="679"/>
      <c r="G8" s="679"/>
      <c r="H8" s="679"/>
      <c r="I8" s="679"/>
    </row>
    <row r="9" spans="2:9" ht="15.75">
      <c r="B9" s="679"/>
      <c r="C9" s="679"/>
      <c r="D9" s="679"/>
      <c r="E9" s="679"/>
      <c r="F9" s="679"/>
      <c r="G9" s="679"/>
      <c r="H9" s="679"/>
      <c r="I9" s="679"/>
    </row>
    <row r="10" spans="2:9" ht="39" customHeight="1">
      <c r="B10" s="783" t="s">
        <v>618</v>
      </c>
      <c r="C10" s="783"/>
      <c r="D10" s="783"/>
      <c r="E10" s="783"/>
      <c r="F10" s="783"/>
      <c r="G10" s="783"/>
      <c r="H10" s="783"/>
      <c r="I10" s="783"/>
    </row>
    <row r="11" spans="2:9" ht="15.75">
      <c r="B11" s="679"/>
      <c r="C11" s="679"/>
      <c r="D11" s="679"/>
      <c r="E11" s="679"/>
      <c r="F11" s="679"/>
      <c r="G11" s="679"/>
      <c r="H11" s="679"/>
      <c r="I11" s="679"/>
    </row>
    <row r="12" spans="2:9" ht="15.75">
      <c r="B12" s="681" t="s">
        <v>619</v>
      </c>
      <c r="C12" s="679"/>
      <c r="D12" s="679"/>
      <c r="E12" s="679"/>
      <c r="F12" s="679"/>
      <c r="G12" s="679"/>
      <c r="H12" s="679"/>
      <c r="I12" s="679"/>
    </row>
    <row r="13" spans="2:9" ht="15.75">
      <c r="B13" s="679"/>
      <c r="C13" s="679"/>
      <c r="D13" s="679"/>
      <c r="E13" s="682" t="s">
        <v>620</v>
      </c>
      <c r="F13" s="679"/>
      <c r="G13" s="682" t="s">
        <v>621</v>
      </c>
      <c r="H13" s="679"/>
      <c r="I13" s="679"/>
    </row>
    <row r="14" spans="2:9" ht="15.75">
      <c r="B14" s="679"/>
      <c r="C14" s="679"/>
      <c r="D14" s="679"/>
      <c r="E14" s="683">
        <f ca="1">inputPrYr!C5-1</f>
        <v>2013</v>
      </c>
      <c r="F14" s="679"/>
      <c r="G14" s="683">
        <f ca="1">inputPrYr!C5</f>
        <v>2014</v>
      </c>
      <c r="H14" s="679"/>
      <c r="I14" s="679"/>
    </row>
    <row r="15" spans="2:9" ht="15.75">
      <c r="B15" s="680" t="s">
        <v>840</v>
      </c>
      <c r="C15" s="679"/>
      <c r="D15" s="679"/>
      <c r="E15" s="684">
        <f ca="1">library!D47</f>
        <v>3713</v>
      </c>
      <c r="F15" s="679"/>
      <c r="G15" s="684">
        <f ca="1">library!E80</f>
        <v>3849</v>
      </c>
      <c r="H15" s="679"/>
      <c r="I15" s="679"/>
    </row>
    <row r="16" spans="2:9" ht="15.75">
      <c r="B16" s="680" t="s">
        <v>749</v>
      </c>
      <c r="C16" s="679"/>
      <c r="D16" s="679"/>
      <c r="E16" s="684">
        <f ca="1">library!D48</f>
        <v>0</v>
      </c>
      <c r="F16" s="679"/>
      <c r="G16" s="684">
        <f ca="1">library!E48</f>
        <v>0</v>
      </c>
      <c r="H16" s="679"/>
      <c r="I16" s="679"/>
    </row>
    <row r="17" spans="2:9" ht="15.75">
      <c r="B17" s="680" t="s">
        <v>750</v>
      </c>
      <c r="C17" s="679"/>
      <c r="D17" s="679"/>
      <c r="E17" s="684">
        <f ca="1">library!D49</f>
        <v>0</v>
      </c>
      <c r="F17" s="679"/>
      <c r="G17" s="684">
        <f ca="1">library!E49</f>
        <v>689</v>
      </c>
      <c r="H17" s="679"/>
      <c r="I17" s="679"/>
    </row>
    <row r="18" spans="2:9" ht="15.75">
      <c r="B18" s="680" t="s">
        <v>841</v>
      </c>
      <c r="C18" s="679"/>
      <c r="D18" s="679"/>
      <c r="E18" s="684">
        <f ca="1">library!D50</f>
        <v>0</v>
      </c>
      <c r="F18" s="679"/>
      <c r="G18" s="684">
        <f ca="1">library!E50</f>
        <v>35</v>
      </c>
      <c r="H18" s="679"/>
      <c r="I18" s="679"/>
    </row>
    <row r="19" spans="2:9" ht="15.75">
      <c r="B19" s="680" t="s">
        <v>842</v>
      </c>
      <c r="C19" s="679"/>
      <c r="D19" s="679"/>
      <c r="E19" s="684">
        <f ca="1">library!D51</f>
        <v>0</v>
      </c>
      <c r="F19" s="679"/>
      <c r="G19" s="684">
        <f ca="1">library!E51</f>
        <v>7</v>
      </c>
      <c r="H19" s="679"/>
      <c r="I19" s="679"/>
    </row>
    <row r="20" spans="2:9" ht="15.75">
      <c r="B20" s="679" t="s">
        <v>148</v>
      </c>
      <c r="C20" s="679"/>
      <c r="D20" s="679"/>
      <c r="E20" s="684">
        <v>0</v>
      </c>
      <c r="F20" s="679"/>
      <c r="G20" s="684">
        <v>0</v>
      </c>
      <c r="H20" s="679"/>
      <c r="I20" s="679"/>
    </row>
    <row r="21" spans="2:9" ht="15.75">
      <c r="B21" s="679"/>
      <c r="C21" s="679"/>
      <c r="D21" s="679"/>
      <c r="E21" s="684">
        <v>0</v>
      </c>
      <c r="F21" s="679"/>
      <c r="G21" s="684">
        <v>0</v>
      </c>
      <c r="H21" s="679"/>
      <c r="I21" s="679"/>
    </row>
    <row r="22" spans="2:9" ht="15.75">
      <c r="B22" s="679" t="s">
        <v>622</v>
      </c>
      <c r="C22" s="679"/>
      <c r="D22" s="679"/>
      <c r="E22" s="685">
        <f>SUM(E15:E21)</f>
        <v>3713</v>
      </c>
      <c r="F22" s="679"/>
      <c r="G22" s="685">
        <f>SUM(G15:G21)</f>
        <v>4580</v>
      </c>
      <c r="H22" s="679"/>
      <c r="I22" s="679"/>
    </row>
    <row r="23" spans="2:9" ht="15.75">
      <c r="B23" s="679" t="s">
        <v>623</v>
      </c>
      <c r="C23" s="679"/>
      <c r="D23" s="679"/>
      <c r="E23" s="709">
        <f>G22-E22</f>
        <v>867</v>
      </c>
      <c r="F23" s="679"/>
      <c r="G23" s="686"/>
      <c r="H23" s="679"/>
      <c r="I23" s="679"/>
    </row>
    <row r="24" spans="2:9" ht="15.75">
      <c r="B24" s="679" t="s">
        <v>624</v>
      </c>
      <c r="C24" s="679"/>
      <c r="D24" s="687" t="str">
        <f>IF((G22-E22)&gt;0,"Qualify","Not Qualify")</f>
        <v>Qualify</v>
      </c>
      <c r="E24" s="679"/>
      <c r="F24" s="679"/>
      <c r="G24" s="679"/>
      <c r="H24" s="679"/>
      <c r="I24" s="679"/>
    </row>
    <row r="25" spans="2:9" ht="15.75">
      <c r="B25" s="679"/>
      <c r="C25" s="679"/>
      <c r="D25" s="679"/>
      <c r="E25" s="679"/>
      <c r="F25" s="679"/>
      <c r="G25" s="679"/>
      <c r="H25" s="679"/>
      <c r="I25" s="679"/>
    </row>
    <row r="26" spans="2:9" ht="15.75">
      <c r="B26" s="681" t="s">
        <v>625</v>
      </c>
      <c r="C26" s="679"/>
      <c r="D26" s="679"/>
      <c r="E26" s="679"/>
      <c r="F26" s="679"/>
      <c r="G26" s="679"/>
      <c r="H26" s="679"/>
      <c r="I26" s="679"/>
    </row>
    <row r="27" spans="2:9" ht="15.75">
      <c r="B27" s="679" t="s">
        <v>626</v>
      </c>
      <c r="C27" s="679"/>
      <c r="D27" s="679"/>
      <c r="E27" s="684">
        <f ca="1">summ!D57</f>
        <v>1463795</v>
      </c>
      <c r="F27" s="679"/>
      <c r="G27" s="684">
        <f ca="1">summ!F57</f>
        <v>1507063</v>
      </c>
      <c r="H27" s="679"/>
      <c r="I27" s="679"/>
    </row>
    <row r="28" spans="2:9" ht="15.75">
      <c r="B28" s="679" t="s">
        <v>627</v>
      </c>
      <c r="C28" s="679"/>
      <c r="D28" s="679"/>
      <c r="E28" s="688" t="str">
        <f ca="1">IF(G27-E27&gt;=0,"No","Yes")</f>
        <v>No</v>
      </c>
      <c r="F28" s="679"/>
      <c r="G28" s="679"/>
      <c r="H28" s="679"/>
      <c r="I28" s="679"/>
    </row>
    <row r="29" spans="2:9" ht="15.75">
      <c r="B29" s="679" t="s">
        <v>628</v>
      </c>
      <c r="C29" s="679"/>
      <c r="D29" s="679"/>
      <c r="E29" s="682">
        <f ca="1">summ!E17</f>
        <v>2.536</v>
      </c>
      <c r="F29" s="679"/>
      <c r="G29" s="689">
        <f ca="1">summ!H17</f>
        <v>2.5539999999999998</v>
      </c>
      <c r="H29" s="679"/>
      <c r="I29" s="679"/>
    </row>
    <row r="30" spans="2:9" ht="15.75">
      <c r="B30" s="679" t="s">
        <v>629</v>
      </c>
      <c r="C30" s="679"/>
      <c r="D30" s="679"/>
      <c r="E30" s="690">
        <f>G29-E29</f>
        <v>1.7999999999999794E-2</v>
      </c>
      <c r="F30" s="679"/>
      <c r="G30" s="679"/>
      <c r="H30" s="679"/>
      <c r="I30" s="679"/>
    </row>
    <row r="31" spans="2:9" ht="15.75">
      <c r="B31" s="679" t="s">
        <v>624</v>
      </c>
      <c r="C31" s="679"/>
      <c r="D31" s="691" t="str">
        <f>IF(E30&gt;=0,"Qualify","Not Qualify")</f>
        <v>Qualify</v>
      </c>
      <c r="E31" s="679"/>
      <c r="F31" s="679"/>
      <c r="G31" s="679"/>
      <c r="H31" s="679"/>
      <c r="I31" s="679"/>
    </row>
    <row r="32" spans="2:9" ht="15.75">
      <c r="B32" s="679"/>
      <c r="C32" s="679"/>
      <c r="D32" s="679"/>
      <c r="E32" s="679"/>
      <c r="F32" s="679"/>
      <c r="G32" s="679"/>
      <c r="H32" s="679"/>
      <c r="I32" s="679"/>
    </row>
    <row r="33" spans="2:9" ht="15.75">
      <c r="B33" s="679" t="s">
        <v>630</v>
      </c>
      <c r="C33" s="679"/>
      <c r="D33" s="679"/>
      <c r="E33" s="679"/>
      <c r="F33" s="692" t="str">
        <f>IF(D24="Not Qualify",IF(D31="Not Qualify",IF(D31="Not Qualify","Not Qualify","Qualify"),"Qualify"),"Qualify")</f>
        <v>Qualify</v>
      </c>
      <c r="G33" s="679"/>
      <c r="H33" s="679"/>
      <c r="I33" s="679"/>
    </row>
    <row r="34" spans="2:9" ht="15.75">
      <c r="B34" s="679"/>
      <c r="C34" s="679"/>
      <c r="D34" s="679"/>
      <c r="E34" s="679"/>
      <c r="F34" s="679"/>
      <c r="G34" s="679"/>
      <c r="H34" s="679"/>
      <c r="I34" s="679"/>
    </row>
    <row r="35" spans="2:9" ht="15.75">
      <c r="B35" s="679"/>
      <c r="C35" s="679"/>
      <c r="D35" s="679"/>
      <c r="E35" s="679"/>
      <c r="F35" s="679"/>
      <c r="G35" s="679"/>
      <c r="H35" s="679"/>
      <c r="I35" s="679"/>
    </row>
    <row r="36" spans="2:9" ht="37.5" customHeight="1">
      <c r="B36" s="783" t="s">
        <v>631</v>
      </c>
      <c r="C36" s="783"/>
      <c r="D36" s="783"/>
      <c r="E36" s="783"/>
      <c r="F36" s="783"/>
      <c r="G36" s="783"/>
      <c r="H36" s="783"/>
      <c r="I36" s="783"/>
    </row>
    <row r="37" spans="2:9" ht="15.75">
      <c r="B37" s="679"/>
      <c r="C37" s="679"/>
      <c r="D37" s="679"/>
      <c r="E37" s="679"/>
      <c r="F37" s="679"/>
      <c r="G37" s="679"/>
      <c r="H37" s="679"/>
      <c r="I37" s="679"/>
    </row>
    <row r="38" spans="2:9" ht="15.75">
      <c r="B38" s="679"/>
      <c r="C38" s="679"/>
      <c r="D38" s="679"/>
      <c r="E38" s="679"/>
      <c r="F38" s="679"/>
      <c r="G38" s="679"/>
      <c r="H38" s="679"/>
      <c r="I38" s="679"/>
    </row>
    <row r="39" spans="2:9" ht="15.75">
      <c r="B39" s="679"/>
      <c r="C39" s="679"/>
      <c r="D39" s="679"/>
      <c r="E39" s="679"/>
      <c r="F39" s="679"/>
      <c r="G39" s="679"/>
      <c r="H39" s="679"/>
      <c r="I39" s="679"/>
    </row>
    <row r="40" spans="2:9" ht="15.75">
      <c r="B40" s="679"/>
      <c r="C40" s="679"/>
      <c r="D40" s="679"/>
      <c r="E40" s="693" t="s">
        <v>756</v>
      </c>
      <c r="F40" s="694">
        <v>7</v>
      </c>
      <c r="G40" s="679"/>
      <c r="H40" s="679"/>
      <c r="I40" s="679"/>
    </row>
    <row r="41" spans="2:9" ht="15.75">
      <c r="B41" s="679"/>
      <c r="C41" s="679"/>
      <c r="D41" s="679"/>
      <c r="E41" s="679"/>
      <c r="F41" s="679"/>
      <c r="G41" s="679"/>
      <c r="H41" s="679"/>
      <c r="I41" s="679"/>
    </row>
    <row r="42" spans="2:9" ht="15.75">
      <c r="B42" s="679"/>
      <c r="C42" s="679"/>
      <c r="D42" s="679"/>
      <c r="E42" s="679"/>
      <c r="F42" s="679"/>
      <c r="G42" s="679"/>
      <c r="H42" s="679"/>
      <c r="I42" s="679"/>
    </row>
    <row r="43" spans="2:9" ht="15.75">
      <c r="B43" s="779" t="s">
        <v>632</v>
      </c>
      <c r="C43" s="780"/>
      <c r="D43" s="780"/>
      <c r="E43" s="780"/>
      <c r="F43" s="780"/>
      <c r="G43" s="780"/>
      <c r="H43" s="780"/>
      <c r="I43" s="780"/>
    </row>
    <row r="44" spans="2:9" ht="15.75">
      <c r="B44" s="679"/>
      <c r="C44" s="679"/>
      <c r="D44" s="679"/>
      <c r="E44" s="679"/>
      <c r="F44" s="679"/>
      <c r="G44" s="679"/>
      <c r="H44" s="679"/>
      <c r="I44" s="679"/>
    </row>
    <row r="45" spans="2:9" ht="15.75">
      <c r="B45" s="695" t="s">
        <v>633</v>
      </c>
      <c r="C45" s="679"/>
      <c r="D45" s="679"/>
      <c r="E45" s="679"/>
      <c r="F45" s="679"/>
      <c r="G45" s="679"/>
      <c r="H45" s="679"/>
      <c r="I45" s="679"/>
    </row>
    <row r="46" spans="2:9" ht="15.75">
      <c r="B46" s="695" t="str">
        <f>CONCATENATE("sources in your ",G14," library fund is not equal to or greater than the amount from the same")</f>
        <v>sources in your 2014 library fund is not equal to or greater than the amount from the same</v>
      </c>
      <c r="C46" s="679"/>
      <c r="D46" s="679"/>
      <c r="E46" s="679"/>
      <c r="F46" s="679"/>
      <c r="G46" s="679"/>
      <c r="H46" s="679"/>
      <c r="I46" s="679"/>
    </row>
    <row r="47" spans="2:9" ht="15.75">
      <c r="B47" s="695" t="str">
        <f>CONCATENATE("sources in ",E14,".")</f>
        <v>sources in 2013.</v>
      </c>
      <c r="C47" s="677"/>
      <c r="D47" s="677"/>
      <c r="E47" s="677"/>
      <c r="F47" s="677"/>
      <c r="G47" s="677"/>
      <c r="H47" s="677"/>
      <c r="I47" s="677"/>
    </row>
    <row r="48" spans="2:9" ht="15.75">
      <c r="B48" s="677"/>
      <c r="C48" s="677"/>
      <c r="D48" s="677"/>
      <c r="E48" s="677"/>
      <c r="F48" s="677"/>
      <c r="G48" s="677"/>
      <c r="H48" s="677"/>
      <c r="I48" s="677"/>
    </row>
    <row r="49" spans="2:9" ht="15.75">
      <c r="B49" s="695" t="s">
        <v>634</v>
      </c>
      <c r="C49" s="695"/>
      <c r="D49" s="696"/>
      <c r="E49" s="696"/>
      <c r="F49" s="696"/>
      <c r="G49" s="696"/>
      <c r="H49" s="696"/>
      <c r="I49" s="696"/>
    </row>
    <row r="50" spans="2:9" ht="15.75">
      <c r="B50" s="695" t="s">
        <v>635</v>
      </c>
      <c r="C50" s="695"/>
      <c r="D50" s="696"/>
      <c r="E50" s="696"/>
      <c r="F50" s="696"/>
      <c r="G50" s="696"/>
      <c r="H50" s="696"/>
      <c r="I50" s="696"/>
    </row>
    <row r="51" spans="2:9" ht="15.75">
      <c r="B51" s="695" t="s">
        <v>636</v>
      </c>
      <c r="C51" s="695"/>
      <c r="D51" s="696"/>
      <c r="E51" s="696"/>
      <c r="F51" s="696"/>
      <c r="G51" s="696"/>
      <c r="H51" s="696"/>
      <c r="I51" s="696"/>
    </row>
    <row r="52" spans="2:9">
      <c r="B52" s="696"/>
      <c r="C52" s="696"/>
      <c r="D52" s="696"/>
      <c r="E52" s="696"/>
      <c r="F52" s="696"/>
      <c r="G52" s="696"/>
      <c r="H52" s="696"/>
      <c r="I52" s="696"/>
    </row>
    <row r="53" spans="2:9" ht="15.75">
      <c r="B53" s="697" t="s">
        <v>637</v>
      </c>
      <c r="C53" s="696"/>
      <c r="D53" s="696"/>
      <c r="E53" s="696"/>
      <c r="F53" s="696"/>
      <c r="G53" s="696"/>
      <c r="H53" s="696"/>
      <c r="I53" s="696"/>
    </row>
    <row r="54" spans="2:9">
      <c r="B54" s="696"/>
      <c r="C54" s="696"/>
      <c r="D54" s="696"/>
      <c r="E54" s="696"/>
      <c r="F54" s="696"/>
      <c r="G54" s="696"/>
      <c r="H54" s="696"/>
      <c r="I54" s="696"/>
    </row>
    <row r="55" spans="2:9" ht="15.75">
      <c r="B55" s="695" t="s">
        <v>638</v>
      </c>
      <c r="C55" s="696"/>
      <c r="D55" s="696"/>
      <c r="E55" s="696"/>
      <c r="F55" s="696"/>
      <c r="G55" s="696"/>
      <c r="H55" s="696"/>
      <c r="I55" s="696"/>
    </row>
    <row r="56" spans="2:9" ht="15.75">
      <c r="B56" s="695" t="s">
        <v>639</v>
      </c>
      <c r="C56" s="696"/>
      <c r="D56" s="696"/>
      <c r="E56" s="696"/>
      <c r="F56" s="696"/>
      <c r="G56" s="696"/>
      <c r="H56" s="696"/>
      <c r="I56" s="696"/>
    </row>
    <row r="57" spans="2:9">
      <c r="B57" s="696"/>
      <c r="C57" s="696"/>
      <c r="D57" s="696"/>
      <c r="E57" s="696"/>
      <c r="F57" s="696"/>
      <c r="G57" s="696"/>
      <c r="H57" s="696"/>
      <c r="I57" s="696"/>
    </row>
    <row r="58" spans="2:9" ht="15.75">
      <c r="B58" s="697" t="s">
        <v>640</v>
      </c>
      <c r="C58" s="695"/>
      <c r="D58" s="695"/>
      <c r="E58" s="695"/>
      <c r="F58" s="695"/>
      <c r="G58" s="696"/>
      <c r="H58" s="696"/>
      <c r="I58" s="696"/>
    </row>
    <row r="59" spans="2:9" ht="15.75">
      <c r="B59" s="695"/>
      <c r="C59" s="695"/>
      <c r="D59" s="695"/>
      <c r="E59" s="695"/>
      <c r="F59" s="695"/>
      <c r="G59" s="696"/>
      <c r="H59" s="696"/>
      <c r="I59" s="696"/>
    </row>
    <row r="60" spans="2:9" ht="15.75">
      <c r="B60" s="695" t="s">
        <v>757</v>
      </c>
      <c r="C60" s="695"/>
      <c r="D60" s="695"/>
      <c r="E60" s="695"/>
      <c r="F60" s="695"/>
      <c r="G60" s="696"/>
      <c r="H60" s="696"/>
      <c r="I60" s="696"/>
    </row>
    <row r="61" spans="2:9" ht="15.75">
      <c r="B61" s="695" t="s">
        <v>758</v>
      </c>
      <c r="C61" s="695"/>
      <c r="D61" s="695"/>
      <c r="E61" s="695"/>
      <c r="F61" s="695"/>
      <c r="G61" s="696"/>
      <c r="H61" s="696"/>
      <c r="I61" s="696"/>
    </row>
    <row r="62" spans="2:9" ht="15.75">
      <c r="B62" s="695" t="s">
        <v>759</v>
      </c>
      <c r="C62" s="695"/>
      <c r="D62" s="695"/>
      <c r="E62" s="695"/>
      <c r="F62" s="695"/>
      <c r="G62" s="696"/>
      <c r="H62" s="696"/>
      <c r="I62" s="696"/>
    </row>
    <row r="63" spans="2:9" ht="15.75">
      <c r="B63" s="695" t="s">
        <v>760</v>
      </c>
      <c r="C63" s="695"/>
      <c r="D63" s="695"/>
      <c r="E63" s="695"/>
      <c r="F63" s="695"/>
      <c r="G63" s="696"/>
      <c r="H63" s="696"/>
      <c r="I63" s="696"/>
    </row>
    <row r="64" spans="2:9">
      <c r="B64" s="698"/>
      <c r="C64" s="698"/>
      <c r="D64" s="698"/>
      <c r="E64" s="698"/>
      <c r="F64" s="698"/>
      <c r="G64" s="696"/>
      <c r="H64" s="696"/>
      <c r="I64" s="696"/>
    </row>
    <row r="65" spans="2:9" ht="15.75">
      <c r="B65" s="695" t="s">
        <v>761</v>
      </c>
      <c r="C65" s="698"/>
      <c r="D65" s="698"/>
      <c r="E65" s="698"/>
      <c r="F65" s="698"/>
      <c r="G65" s="696"/>
      <c r="H65" s="696"/>
      <c r="I65" s="696"/>
    </row>
    <row r="66" spans="2:9" ht="15.75">
      <c r="B66" s="695" t="s">
        <v>762</v>
      </c>
      <c r="C66" s="698"/>
      <c r="D66" s="698"/>
      <c r="E66" s="698"/>
      <c r="F66" s="698"/>
      <c r="G66" s="696"/>
      <c r="H66" s="696"/>
      <c r="I66" s="696"/>
    </row>
    <row r="67" spans="2:9">
      <c r="B67" s="698"/>
      <c r="C67" s="698"/>
      <c r="D67" s="698"/>
      <c r="E67" s="698"/>
      <c r="F67" s="698"/>
      <c r="G67" s="696"/>
      <c r="H67" s="696"/>
      <c r="I67" s="696"/>
    </row>
    <row r="68" spans="2:9" ht="15.75">
      <c r="B68" s="695" t="s">
        <v>763</v>
      </c>
      <c r="C68" s="698"/>
      <c r="D68" s="698"/>
      <c r="E68" s="698"/>
      <c r="F68" s="698"/>
      <c r="G68" s="696"/>
      <c r="H68" s="696"/>
      <c r="I68" s="696"/>
    </row>
    <row r="69" spans="2:9" ht="15.75">
      <c r="B69" s="695" t="s">
        <v>764</v>
      </c>
      <c r="C69" s="698"/>
      <c r="D69" s="698"/>
      <c r="E69" s="698"/>
      <c r="F69" s="698"/>
      <c r="G69" s="696"/>
      <c r="H69" s="696"/>
      <c r="I69" s="696"/>
    </row>
    <row r="70" spans="2:9">
      <c r="B70" s="698"/>
      <c r="C70" s="698"/>
      <c r="D70" s="698"/>
      <c r="E70" s="698"/>
      <c r="F70" s="698"/>
      <c r="G70" s="696"/>
      <c r="H70" s="696"/>
      <c r="I70" s="696"/>
    </row>
    <row r="71" spans="2:9" ht="15.75">
      <c r="B71" s="697" t="s">
        <v>765</v>
      </c>
      <c r="C71" s="698"/>
      <c r="D71" s="698"/>
      <c r="E71" s="698"/>
      <c r="F71" s="698"/>
      <c r="G71" s="696"/>
      <c r="H71" s="696"/>
      <c r="I71" s="696"/>
    </row>
    <row r="72" spans="2:9">
      <c r="B72" s="698"/>
      <c r="C72" s="698"/>
      <c r="D72" s="698"/>
      <c r="E72" s="698"/>
      <c r="F72" s="698"/>
      <c r="G72" s="696"/>
      <c r="H72" s="696"/>
      <c r="I72" s="696"/>
    </row>
    <row r="73" spans="2:9" ht="15.75">
      <c r="B73" s="695" t="s">
        <v>766</v>
      </c>
      <c r="C73" s="698"/>
      <c r="D73" s="698"/>
      <c r="E73" s="698"/>
      <c r="F73" s="698"/>
      <c r="G73" s="696"/>
      <c r="H73" s="696"/>
      <c r="I73" s="696"/>
    </row>
    <row r="74" spans="2:9" ht="15.75">
      <c r="B74" s="695" t="s">
        <v>767</v>
      </c>
      <c r="C74" s="698"/>
      <c r="D74" s="698"/>
      <c r="E74" s="698"/>
      <c r="F74" s="698"/>
      <c r="G74" s="696"/>
      <c r="H74" s="696"/>
      <c r="I74" s="696"/>
    </row>
    <row r="75" spans="2:9">
      <c r="B75" s="698"/>
      <c r="C75" s="698"/>
      <c r="D75" s="698"/>
      <c r="E75" s="698"/>
      <c r="F75" s="698"/>
      <c r="G75" s="696"/>
      <c r="H75" s="696"/>
      <c r="I75" s="696"/>
    </row>
    <row r="76" spans="2:9" ht="15.75">
      <c r="B76" s="697" t="s">
        <v>768</v>
      </c>
      <c r="C76" s="698"/>
      <c r="D76" s="698"/>
      <c r="E76" s="698"/>
      <c r="F76" s="698"/>
      <c r="G76" s="696"/>
      <c r="H76" s="696"/>
      <c r="I76" s="696"/>
    </row>
    <row r="77" spans="2:9">
      <c r="B77" s="698"/>
      <c r="C77" s="698"/>
      <c r="D77" s="698"/>
      <c r="E77" s="698"/>
      <c r="F77" s="698"/>
      <c r="G77" s="696"/>
      <c r="H77" s="696"/>
      <c r="I77" s="696"/>
    </row>
    <row r="78" spans="2:9" ht="15.75">
      <c r="B78" s="695" t="str">
        <f>CONCATENATE("If the ",G14," municipal budget has not been published and has not been submitted to the County")</f>
        <v>If the 2014 municipal budget has not been published and has not been submitted to the County</v>
      </c>
      <c r="C78" s="698"/>
      <c r="D78" s="698"/>
      <c r="E78" s="698"/>
      <c r="F78" s="698"/>
      <c r="G78" s="696"/>
      <c r="H78" s="696"/>
      <c r="I78" s="696"/>
    </row>
    <row r="79" spans="2:9" ht="15.75">
      <c r="B79" s="695" t="s">
        <v>769</v>
      </c>
      <c r="C79" s="698"/>
      <c r="D79" s="698"/>
      <c r="E79" s="698"/>
      <c r="F79" s="698"/>
      <c r="G79" s="696"/>
      <c r="H79" s="696"/>
      <c r="I79" s="696"/>
    </row>
    <row r="80" spans="2:9">
      <c r="B80" s="698"/>
      <c r="C80" s="698"/>
      <c r="D80" s="698"/>
      <c r="E80" s="698"/>
      <c r="F80" s="698"/>
      <c r="G80" s="696"/>
      <c r="H80" s="696"/>
      <c r="I80" s="696"/>
    </row>
    <row r="81" spans="2:9" ht="15.75">
      <c r="B81" s="697" t="s">
        <v>325</v>
      </c>
      <c r="C81" s="698"/>
      <c r="D81" s="698"/>
      <c r="E81" s="698"/>
      <c r="F81" s="698"/>
      <c r="G81" s="696"/>
      <c r="H81" s="696"/>
      <c r="I81" s="696"/>
    </row>
    <row r="82" spans="2:9">
      <c r="B82" s="698"/>
      <c r="C82" s="698"/>
      <c r="D82" s="698"/>
      <c r="E82" s="698"/>
      <c r="F82" s="698"/>
      <c r="G82" s="696"/>
      <c r="H82" s="696"/>
      <c r="I82" s="696"/>
    </row>
    <row r="83" spans="2:9" ht="15.75">
      <c r="B83" s="695" t="s">
        <v>770</v>
      </c>
      <c r="C83" s="698"/>
      <c r="D83" s="698"/>
      <c r="E83" s="698"/>
      <c r="F83" s="698"/>
      <c r="G83" s="696"/>
      <c r="H83" s="696"/>
      <c r="I83" s="696"/>
    </row>
    <row r="84" spans="2:9" ht="15.75">
      <c r="B84" s="695" t="str">
        <f>CONCATENATE("Budget Year ",G14," is equal to or greater than that for Current Year Estimate ",E14,".")</f>
        <v>Budget Year 2014 is equal to or greater than that for Current Year Estimate 2013.</v>
      </c>
      <c r="C84" s="698"/>
      <c r="D84" s="698"/>
      <c r="E84" s="698"/>
      <c r="F84" s="698"/>
      <c r="G84" s="696"/>
      <c r="H84" s="696"/>
      <c r="I84" s="696"/>
    </row>
    <row r="85" spans="2:9">
      <c r="B85" s="698"/>
      <c r="C85" s="698"/>
      <c r="D85" s="698"/>
      <c r="E85" s="698"/>
      <c r="F85" s="698"/>
      <c r="G85" s="696"/>
      <c r="H85" s="696"/>
      <c r="I85" s="696"/>
    </row>
    <row r="86" spans="2:9" ht="15.75">
      <c r="B86" s="695" t="s">
        <v>771</v>
      </c>
      <c r="C86" s="698"/>
      <c r="D86" s="698"/>
      <c r="E86" s="698"/>
      <c r="F86" s="698"/>
      <c r="G86" s="696"/>
      <c r="H86" s="696"/>
      <c r="I86" s="696"/>
    </row>
    <row r="87" spans="2:9" ht="15.75">
      <c r="B87" s="695" t="s">
        <v>772</v>
      </c>
      <c r="C87" s="698"/>
      <c r="D87" s="698"/>
      <c r="E87" s="698"/>
      <c r="F87" s="698"/>
      <c r="G87" s="696"/>
      <c r="H87" s="696"/>
      <c r="I87" s="696"/>
    </row>
    <row r="88" spans="2:9" ht="15.75">
      <c r="B88" s="695" t="s">
        <v>773</v>
      </c>
      <c r="C88" s="698"/>
      <c r="D88" s="698"/>
      <c r="E88" s="698"/>
      <c r="F88" s="698"/>
      <c r="G88" s="696"/>
      <c r="H88" s="696"/>
      <c r="I88" s="696"/>
    </row>
    <row r="89" spans="2:9" ht="15.75">
      <c r="B89" s="695" t="str">
        <f>CONCATENATE("purpose for the previous (",E14,") year.")</f>
        <v>purpose for the previous (2013) year.</v>
      </c>
      <c r="C89" s="698"/>
      <c r="D89" s="698"/>
      <c r="E89" s="698"/>
      <c r="F89" s="698"/>
      <c r="G89" s="696"/>
      <c r="H89" s="696"/>
      <c r="I89" s="696"/>
    </row>
    <row r="90" spans="2:9">
      <c r="B90" s="698"/>
      <c r="C90" s="698"/>
      <c r="D90" s="698"/>
      <c r="E90" s="698"/>
      <c r="F90" s="698"/>
      <c r="G90" s="696"/>
      <c r="H90" s="696"/>
      <c r="I90" s="696"/>
    </row>
    <row r="91" spans="2:9" ht="15.75">
      <c r="B91" s="695" t="str">
        <f>CONCATENATE("Next, look to see if delinquent tax for ",G14," is budgeted. Often this line is budgeted at $0 or left")</f>
        <v>Next, look to see if delinquent tax for 2014 is budgeted. Often this line is budgeted at $0 or left</v>
      </c>
      <c r="C91" s="698"/>
      <c r="D91" s="698"/>
      <c r="E91" s="698"/>
      <c r="F91" s="698"/>
      <c r="G91" s="696"/>
      <c r="H91" s="696"/>
      <c r="I91" s="696"/>
    </row>
    <row r="92" spans="2:9" ht="15.75">
      <c r="B92" s="695" t="s">
        <v>774</v>
      </c>
      <c r="C92" s="698"/>
      <c r="D92" s="698"/>
      <c r="E92" s="698"/>
      <c r="F92" s="698"/>
      <c r="G92" s="696"/>
      <c r="H92" s="696"/>
      <c r="I92" s="696"/>
    </row>
    <row r="93" spans="2:9" ht="15.75">
      <c r="B93" s="695" t="s">
        <v>775</v>
      </c>
      <c r="C93" s="698"/>
      <c r="D93" s="698"/>
      <c r="E93" s="698"/>
      <c r="F93" s="698"/>
      <c r="G93" s="696"/>
      <c r="H93" s="696"/>
      <c r="I93" s="696"/>
    </row>
    <row r="94" spans="2:9" ht="15.75">
      <c r="B94" s="695" t="s">
        <v>776</v>
      </c>
      <c r="C94" s="698"/>
      <c r="D94" s="698"/>
      <c r="E94" s="698"/>
      <c r="F94" s="698"/>
      <c r="G94" s="696"/>
      <c r="H94" s="696"/>
      <c r="I94" s="696"/>
    </row>
    <row r="95" spans="2:9">
      <c r="B95" s="698"/>
      <c r="C95" s="698"/>
      <c r="D95" s="698"/>
      <c r="E95" s="698"/>
      <c r="F95" s="698"/>
      <c r="G95" s="696"/>
      <c r="H95" s="696"/>
      <c r="I95" s="696"/>
    </row>
    <row r="96" spans="2:9" ht="15.75">
      <c r="B96" s="697" t="s">
        <v>777</v>
      </c>
      <c r="C96" s="698"/>
      <c r="D96" s="698"/>
      <c r="E96" s="698"/>
      <c r="F96" s="698"/>
      <c r="G96" s="696"/>
      <c r="H96" s="696"/>
      <c r="I96" s="696"/>
    </row>
    <row r="97" spans="2:9">
      <c r="B97" s="698"/>
      <c r="C97" s="698"/>
      <c r="D97" s="698"/>
      <c r="E97" s="698"/>
      <c r="F97" s="698"/>
      <c r="G97" s="696"/>
      <c r="H97" s="696"/>
      <c r="I97" s="696"/>
    </row>
    <row r="98" spans="2:9" ht="15.75">
      <c r="B98" s="695" t="s">
        <v>778</v>
      </c>
      <c r="C98" s="698"/>
      <c r="D98" s="698"/>
      <c r="E98" s="698"/>
      <c r="F98" s="698"/>
      <c r="G98" s="696"/>
      <c r="H98" s="696"/>
      <c r="I98" s="696"/>
    </row>
    <row r="99" spans="2:9" ht="15.75">
      <c r="B99" s="695" t="s">
        <v>779</v>
      </c>
      <c r="C99" s="698"/>
      <c r="D99" s="698"/>
      <c r="E99" s="698"/>
      <c r="F99" s="698"/>
      <c r="G99" s="696"/>
      <c r="H99" s="696"/>
      <c r="I99" s="696"/>
    </row>
    <row r="100" spans="2:9">
      <c r="B100" s="698"/>
      <c r="C100" s="698"/>
      <c r="D100" s="698"/>
      <c r="E100" s="698"/>
      <c r="F100" s="698"/>
      <c r="G100" s="696"/>
      <c r="H100" s="696"/>
      <c r="I100" s="696"/>
    </row>
    <row r="101" spans="2:9" ht="15.75">
      <c r="B101" s="695" t="s">
        <v>780</v>
      </c>
      <c r="C101" s="698"/>
      <c r="D101" s="698"/>
      <c r="E101" s="698"/>
      <c r="F101" s="698"/>
      <c r="G101" s="696"/>
      <c r="H101" s="696"/>
      <c r="I101" s="696"/>
    </row>
    <row r="102" spans="2:9" ht="15.75">
      <c r="B102" s="695" t="s">
        <v>781</v>
      </c>
      <c r="C102" s="698"/>
      <c r="D102" s="698"/>
      <c r="E102" s="698"/>
      <c r="F102" s="698"/>
      <c r="G102" s="696"/>
      <c r="H102" s="696"/>
      <c r="I102" s="696"/>
    </row>
    <row r="103" spans="2:9" ht="15.75">
      <c r="B103" s="695" t="s">
        <v>782</v>
      </c>
      <c r="C103" s="698"/>
      <c r="D103" s="698"/>
      <c r="E103" s="698"/>
      <c r="F103" s="698"/>
      <c r="G103" s="696"/>
      <c r="H103" s="696"/>
      <c r="I103" s="696"/>
    </row>
    <row r="104" spans="2:9" ht="15.75">
      <c r="B104" s="695" t="s">
        <v>783</v>
      </c>
      <c r="C104" s="698"/>
      <c r="D104" s="698"/>
      <c r="E104" s="698"/>
      <c r="F104" s="698"/>
      <c r="G104" s="696"/>
      <c r="H104" s="696"/>
      <c r="I104" s="696"/>
    </row>
    <row r="105" spans="2:9" ht="15.75">
      <c r="B105" s="735" t="s">
        <v>835</v>
      </c>
      <c r="C105" s="736"/>
      <c r="D105" s="736"/>
      <c r="E105" s="736"/>
      <c r="F105" s="736"/>
      <c r="G105" s="696"/>
      <c r="H105" s="696"/>
      <c r="I105" s="696"/>
    </row>
    <row r="108" spans="2:9">
      <c r="G108" s="699"/>
    </row>
  </sheetData>
  <sheetProtection sheet="1"/>
  <mergeCells count="6">
    <mergeCell ref="B43:I43"/>
    <mergeCell ref="B2:I2"/>
    <mergeCell ref="B3:I3"/>
    <mergeCell ref="B5:I5"/>
    <mergeCell ref="B10:I10"/>
    <mergeCell ref="B36:I36"/>
  </mergeCells>
  <phoneticPr fontId="0" type="noConversion"/>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topLeftCell="A97" zoomScale="75" zoomScaleNormal="75" zoomScaleSheetLayoutView="100" workbookViewId="0">
      <selection activeCell="C124" sqref="C124"/>
    </sheetView>
  </sheetViews>
  <sheetFormatPr defaultRowHeight="15.75"/>
  <cols>
    <col min="1" max="1" width="2.44140625" style="44" customWidth="1"/>
    <col min="2" max="2" width="31.109375" style="44" customWidth="1"/>
    <col min="3" max="4" width="15.77734375" style="44" customWidth="1"/>
    <col min="5" max="5" width="16.33203125" style="44" customWidth="1"/>
    <col min="6" max="6" width="6.88671875" style="44" customWidth="1"/>
    <col min="7" max="7" width="10.21875" style="44" customWidth="1"/>
    <col min="8" max="8" width="8.88671875" style="44"/>
    <col min="9" max="9" width="5" style="44" customWidth="1"/>
    <col min="10" max="10" width="10" style="44" customWidth="1"/>
    <col min="11" max="16384" width="8.88671875" style="44"/>
  </cols>
  <sheetData>
    <row r="1" spans="2:5">
      <c r="B1" s="196" t="str">
        <f ca="1">inputPrYr!D2</f>
        <v>City of Grainfield</v>
      </c>
      <c r="C1" s="46"/>
      <c r="D1" s="46"/>
      <c r="E1" s="247">
        <f ca="1">inputPrYr!C5</f>
        <v>2014</v>
      </c>
    </row>
    <row r="2" spans="2:5">
      <c r="B2" s="46"/>
      <c r="C2" s="46"/>
      <c r="D2" s="46"/>
      <c r="E2" s="168"/>
    </row>
    <row r="3" spans="2:5">
      <c r="B3" s="248"/>
      <c r="C3" s="46"/>
      <c r="D3" s="46"/>
      <c r="E3" s="135"/>
    </row>
    <row r="4" spans="2:5">
      <c r="B4" s="389" t="s">
        <v>55</v>
      </c>
      <c r="C4" s="249"/>
      <c r="D4" s="249"/>
      <c r="E4" s="249"/>
    </row>
    <row r="5" spans="2:5">
      <c r="B5" s="170" t="s">
        <v>747</v>
      </c>
      <c r="C5" s="710" t="s">
        <v>789</v>
      </c>
      <c r="D5" s="711" t="s">
        <v>790</v>
      </c>
      <c r="E5" s="143" t="s">
        <v>791</v>
      </c>
    </row>
    <row r="6" spans="2:5">
      <c r="B6" s="532" t="str">
        <f ca="1">inputPrYr!B17</f>
        <v>General</v>
      </c>
      <c r="C6" s="224" t="str">
        <f>CONCATENATE("Actual for ",E1-2,"")</f>
        <v>Actual for 2012</v>
      </c>
      <c r="D6" s="224" t="str">
        <f>CONCATENATE("Estimate for ",E1-1,"")</f>
        <v>Estimate for 2013</v>
      </c>
      <c r="E6" s="207" t="str">
        <f>CONCATENATE("Year for ",E1,"")</f>
        <v>Year for 2014</v>
      </c>
    </row>
    <row r="7" spans="2:5">
      <c r="B7" s="251" t="s">
        <v>110</v>
      </c>
      <c r="C7" s="252">
        <v>56690</v>
      </c>
      <c r="D7" s="254">
        <f>C112</f>
        <v>50199.92</v>
      </c>
      <c r="E7" s="227">
        <f>D112</f>
        <v>19935.160000000003</v>
      </c>
    </row>
    <row r="8" spans="2:5">
      <c r="B8" s="255" t="s">
        <v>112</v>
      </c>
      <c r="C8" s="158"/>
      <c r="D8" s="158"/>
      <c r="E8" s="86"/>
    </row>
    <row r="9" spans="2:5">
      <c r="B9" s="251" t="s">
        <v>748</v>
      </c>
      <c r="C9" s="256">
        <v>42210.98</v>
      </c>
      <c r="D9" s="254">
        <f ca="1">IF(inputPrYr!H16&gt;0,inputPrYr!G17,inputPrYr!E17)</f>
        <v>43835</v>
      </c>
      <c r="E9" s="258" t="s">
        <v>736</v>
      </c>
    </row>
    <row r="10" spans="2:5">
      <c r="B10" s="251" t="s">
        <v>749</v>
      </c>
      <c r="C10" s="256">
        <v>0</v>
      </c>
      <c r="D10" s="256"/>
      <c r="E10" s="259"/>
    </row>
    <row r="11" spans="2:5">
      <c r="B11" s="251" t="s">
        <v>750</v>
      </c>
      <c r="C11" s="256">
        <v>9123.1</v>
      </c>
      <c r="D11" s="256">
        <v>7865.76</v>
      </c>
      <c r="E11" s="227">
        <f ca="1">mvalloc!D7</f>
        <v>8130.7999999999993</v>
      </c>
    </row>
    <row r="12" spans="2:5">
      <c r="B12" s="251" t="s">
        <v>751</v>
      </c>
      <c r="C12" s="256">
        <v>122.36</v>
      </c>
      <c r="D12" s="256">
        <v>217.2</v>
      </c>
      <c r="E12" s="227">
        <f ca="1">mvalloc!E7</f>
        <v>415.55</v>
      </c>
    </row>
    <row r="13" spans="2:5">
      <c r="B13" s="251" t="s">
        <v>87</v>
      </c>
      <c r="C13" s="256">
        <v>113.64</v>
      </c>
      <c r="D13" s="256">
        <v>128.77000000000001</v>
      </c>
      <c r="E13" s="227">
        <f ca="1">mvalloc!F7</f>
        <v>79.760000000000005</v>
      </c>
    </row>
    <row r="14" spans="2:5">
      <c r="B14" s="251" t="s">
        <v>88</v>
      </c>
      <c r="C14" s="256">
        <v>5850.7</v>
      </c>
      <c r="D14" s="256">
        <v>5969.3</v>
      </c>
      <c r="E14" s="227">
        <f ca="1">inputOth!E16</f>
        <v>5073</v>
      </c>
    </row>
    <row r="15" spans="2:5">
      <c r="B15" s="251" t="s">
        <v>148</v>
      </c>
      <c r="C15" s="256"/>
      <c r="D15" s="256"/>
      <c r="E15" s="227">
        <f ca="1">inputOth!E42</f>
        <v>0</v>
      </c>
    </row>
    <row r="16" spans="2:5">
      <c r="B16" s="251" t="s">
        <v>149</v>
      </c>
      <c r="C16" s="256"/>
      <c r="D16" s="256"/>
      <c r="E16" s="227">
        <f ca="1">inputOth!E43</f>
        <v>0</v>
      </c>
    </row>
    <row r="17" spans="2:5">
      <c r="B17" s="252"/>
      <c r="C17" s="256"/>
      <c r="D17" s="256"/>
      <c r="E17" s="259"/>
    </row>
    <row r="18" spans="2:5">
      <c r="B18" s="252"/>
      <c r="C18" s="256"/>
      <c r="D18" s="256"/>
      <c r="E18" s="259"/>
    </row>
    <row r="19" spans="2:5">
      <c r="B19" s="252"/>
      <c r="C19" s="256"/>
      <c r="D19" s="256"/>
      <c r="E19" s="259"/>
    </row>
    <row r="20" spans="2:5">
      <c r="B20" s="534"/>
      <c r="C20" s="256"/>
      <c r="D20" s="256"/>
      <c r="E20" s="259"/>
    </row>
    <row r="21" spans="2:5">
      <c r="B21" s="533" t="s">
        <v>492</v>
      </c>
      <c r="C21" s="256">
        <v>34667</v>
      </c>
      <c r="D21" s="256">
        <v>36547.14</v>
      </c>
      <c r="E21" s="259">
        <v>32000</v>
      </c>
    </row>
    <row r="22" spans="2:5">
      <c r="B22" s="533" t="s">
        <v>493</v>
      </c>
      <c r="C22" s="256">
        <v>17428.310000000001</v>
      </c>
      <c r="D22" s="256">
        <v>14831.78</v>
      </c>
      <c r="E22" s="259">
        <v>13000</v>
      </c>
    </row>
    <row r="23" spans="2:5">
      <c r="B23" s="533" t="s">
        <v>494</v>
      </c>
      <c r="C23" s="256">
        <v>302.75</v>
      </c>
      <c r="D23" s="256">
        <v>313.61</v>
      </c>
      <c r="E23" s="259">
        <v>300</v>
      </c>
    </row>
    <row r="24" spans="2:5">
      <c r="B24" s="252"/>
      <c r="C24" s="256"/>
      <c r="D24" s="256"/>
      <c r="E24" s="259"/>
    </row>
    <row r="25" spans="2:5">
      <c r="B25" s="252"/>
      <c r="C25" s="256"/>
      <c r="D25" s="256"/>
      <c r="E25" s="259"/>
    </row>
    <row r="26" spans="2:5">
      <c r="B26" s="252"/>
      <c r="C26" s="256"/>
      <c r="D26" s="256"/>
      <c r="E26" s="259"/>
    </row>
    <row r="27" spans="2:5">
      <c r="B27" s="252"/>
      <c r="C27" s="256"/>
      <c r="D27" s="256"/>
      <c r="E27" s="259"/>
    </row>
    <row r="28" spans="2:5">
      <c r="B28" s="252"/>
      <c r="C28" s="256"/>
      <c r="D28" s="256"/>
      <c r="E28" s="259"/>
    </row>
    <row r="29" spans="2:5">
      <c r="B29" s="252"/>
      <c r="C29" s="256"/>
      <c r="D29" s="256"/>
      <c r="E29" s="259"/>
    </row>
    <row r="30" spans="2:5">
      <c r="B30" s="252"/>
      <c r="C30" s="256"/>
      <c r="D30" s="256"/>
      <c r="E30" s="259"/>
    </row>
    <row r="31" spans="2:5">
      <c r="B31" s="252"/>
      <c r="C31" s="256"/>
      <c r="D31" s="256"/>
      <c r="E31" s="259"/>
    </row>
    <row r="32" spans="2:5">
      <c r="B32" s="252"/>
      <c r="C32" s="256"/>
      <c r="D32" s="256"/>
      <c r="E32" s="259"/>
    </row>
    <row r="33" spans="2:5">
      <c r="B33" s="252"/>
      <c r="C33" s="256"/>
      <c r="D33" s="256"/>
      <c r="E33" s="259"/>
    </row>
    <row r="34" spans="2:5">
      <c r="B34" s="252"/>
      <c r="C34" s="256"/>
      <c r="D34" s="256"/>
      <c r="E34" s="259"/>
    </row>
    <row r="35" spans="2:5">
      <c r="B35" s="252"/>
      <c r="C35" s="256"/>
      <c r="D35" s="256"/>
      <c r="E35" s="259"/>
    </row>
    <row r="36" spans="2:5">
      <c r="B36" s="252"/>
      <c r="C36" s="256"/>
      <c r="D36" s="256"/>
      <c r="E36" s="259"/>
    </row>
    <row r="37" spans="2:5">
      <c r="B37" s="252"/>
      <c r="C37" s="256"/>
      <c r="D37" s="256"/>
      <c r="E37" s="259"/>
    </row>
    <row r="38" spans="2:5">
      <c r="B38" s="252"/>
      <c r="C38" s="256"/>
      <c r="D38" s="256"/>
      <c r="E38" s="259"/>
    </row>
    <row r="39" spans="2:5">
      <c r="B39" s="252"/>
      <c r="C39" s="256"/>
      <c r="D39" s="256"/>
      <c r="E39" s="259"/>
    </row>
    <row r="40" spans="2:5">
      <c r="B40" s="252"/>
      <c r="C40" s="256"/>
      <c r="D40" s="256"/>
      <c r="E40" s="259"/>
    </row>
    <row r="41" spans="2:5">
      <c r="B41" s="252"/>
      <c r="C41" s="256"/>
      <c r="D41" s="256"/>
      <c r="E41" s="259"/>
    </row>
    <row r="42" spans="2:5">
      <c r="B42" s="252"/>
      <c r="C42" s="256"/>
      <c r="D42" s="256"/>
      <c r="E42" s="259"/>
    </row>
    <row r="43" spans="2:5">
      <c r="B43" s="252"/>
      <c r="C43" s="256"/>
      <c r="D43" s="256"/>
      <c r="E43" s="259"/>
    </row>
    <row r="44" spans="2:5">
      <c r="B44" s="252"/>
      <c r="C44" s="256"/>
      <c r="D44" s="256"/>
      <c r="E44" s="259"/>
    </row>
    <row r="45" spans="2:5">
      <c r="B45" s="252"/>
      <c r="C45" s="256"/>
      <c r="D45" s="256"/>
      <c r="E45" s="259"/>
    </row>
    <row r="46" spans="2:5">
      <c r="B46" s="252"/>
      <c r="C46" s="256"/>
      <c r="D46" s="256"/>
      <c r="E46" s="259"/>
    </row>
    <row r="47" spans="2:5">
      <c r="B47" s="252"/>
      <c r="C47" s="256"/>
      <c r="D47" s="256"/>
      <c r="E47" s="259"/>
    </row>
    <row r="48" spans="2:5">
      <c r="B48" s="252"/>
      <c r="C48" s="256"/>
      <c r="D48" s="256"/>
      <c r="E48" s="259"/>
    </row>
    <row r="49" spans="2:5">
      <c r="B49" s="252"/>
      <c r="C49" s="256"/>
      <c r="D49" s="256"/>
      <c r="E49" s="259"/>
    </row>
    <row r="50" spans="2:5">
      <c r="B50" s="252"/>
      <c r="C50" s="256"/>
      <c r="D50" s="256"/>
      <c r="E50" s="259"/>
    </row>
    <row r="51" spans="2:5">
      <c r="B51" s="252"/>
      <c r="C51" s="256"/>
      <c r="D51" s="256"/>
      <c r="E51" s="259"/>
    </row>
    <row r="52" spans="2:5">
      <c r="B52" s="252" t="s">
        <v>752</v>
      </c>
      <c r="C52" s="256"/>
      <c r="D52" s="256"/>
      <c r="E52" s="259"/>
    </row>
    <row r="53" spans="2:5">
      <c r="B53" s="260" t="s">
        <v>753</v>
      </c>
      <c r="C53" s="256">
        <v>1224.4000000000001</v>
      </c>
      <c r="D53" s="256">
        <v>317.48</v>
      </c>
      <c r="E53" s="259">
        <v>250</v>
      </c>
    </row>
    <row r="54" spans="2:5">
      <c r="B54" s="158" t="s">
        <v>655</v>
      </c>
      <c r="C54" s="256">
        <v>715.28</v>
      </c>
      <c r="D54" s="256"/>
      <c r="E54" s="259"/>
    </row>
    <row r="55" spans="2:5">
      <c r="B55" s="251" t="s">
        <v>507</v>
      </c>
      <c r="C55" s="261" t="str">
        <f>IF(C56*0.1&lt;C54,"Exceed 10% Rule","")</f>
        <v/>
      </c>
      <c r="D55" s="261" t="str">
        <f>IF(D56*0.1&lt;D54,"Exceed 10% Rule","")</f>
        <v/>
      </c>
      <c r="E55" s="298" t="str">
        <f>IF(E56*0.1+E118&lt;E54,"Exceed 10% Rule","")</f>
        <v/>
      </c>
    </row>
    <row r="56" spans="2:5">
      <c r="B56" s="263" t="s">
        <v>754</v>
      </c>
      <c r="C56" s="265">
        <f>SUM(C9:C54)</f>
        <v>111758.51999999999</v>
      </c>
      <c r="D56" s="265">
        <f>SUM(D9:D54)</f>
        <v>110026.04</v>
      </c>
      <c r="E56" s="266">
        <f>SUM(E10:E54)</f>
        <v>59249.11</v>
      </c>
    </row>
    <row r="57" spans="2:5">
      <c r="B57" s="263" t="s">
        <v>755</v>
      </c>
      <c r="C57" s="265">
        <f>C7+C56</f>
        <v>168448.52</v>
      </c>
      <c r="D57" s="265">
        <f>D7+D56</f>
        <v>160225.96</v>
      </c>
      <c r="E57" s="266">
        <f>E7+E56</f>
        <v>79184.27</v>
      </c>
    </row>
    <row r="58" spans="2:5">
      <c r="B58" s="46"/>
      <c r="C58" s="46"/>
      <c r="D58" s="46"/>
      <c r="E58" s="46"/>
    </row>
    <row r="59" spans="2:5">
      <c r="B59" s="135" t="s">
        <v>7</v>
      </c>
      <c r="C59" s="170">
        <f ca="1">IF(inputPrYr!D19&gt;0,8,7)</f>
        <v>8</v>
      </c>
      <c r="D59" s="171"/>
      <c r="E59" s="171"/>
    </row>
    <row r="60" spans="2:5">
      <c r="B60" s="171"/>
      <c r="C60" s="171"/>
      <c r="D60" s="171"/>
      <c r="E60" s="171"/>
    </row>
    <row r="61" spans="2:5">
      <c r="B61" s="196" t="str">
        <f ca="1">inputPrYr!D2</f>
        <v>City of Grainfield</v>
      </c>
      <c r="C61" s="46"/>
      <c r="D61" s="46"/>
      <c r="E61" s="168"/>
    </row>
    <row r="62" spans="2:5">
      <c r="B62" s="46"/>
      <c r="C62" s="46"/>
      <c r="D62" s="46"/>
      <c r="E62" s="135"/>
    </row>
    <row r="63" spans="2:5">
      <c r="B63" s="267" t="s">
        <v>54</v>
      </c>
      <c r="C63" s="220"/>
      <c r="D63" s="220"/>
      <c r="E63" s="220"/>
    </row>
    <row r="64" spans="2:5">
      <c r="B64" s="46" t="s">
        <v>747</v>
      </c>
      <c r="C64" s="710" t="s">
        <v>789</v>
      </c>
      <c r="D64" s="711" t="s">
        <v>790</v>
      </c>
      <c r="E64" s="143" t="s">
        <v>791</v>
      </c>
    </row>
    <row r="65" spans="2:6">
      <c r="B65" s="76" t="str">
        <f ca="1">inputPrYr!B17</f>
        <v>General</v>
      </c>
      <c r="C65" s="224" t="str">
        <f>CONCATENATE("Actual for ",E1-2,"")</f>
        <v>Actual for 2012</v>
      </c>
      <c r="D65" s="224" t="str">
        <f>CONCATENATE("Estimate for ",E1-1,"")</f>
        <v>Estimate for 2013</v>
      </c>
      <c r="E65" s="207" t="str">
        <f>CONCATENATE("Year for ",E1,"")</f>
        <v>Year for 2014</v>
      </c>
    </row>
    <row r="66" spans="2:6">
      <c r="B66" s="268" t="s">
        <v>755</v>
      </c>
      <c r="C66" s="254">
        <f>C57</f>
        <v>168448.52</v>
      </c>
      <c r="D66" s="254">
        <f>D57</f>
        <v>160225.96</v>
      </c>
      <c r="E66" s="227">
        <f>E57</f>
        <v>79184.27</v>
      </c>
    </row>
    <row r="67" spans="2:6">
      <c r="B67" s="255" t="s">
        <v>0</v>
      </c>
      <c r="C67" s="158"/>
      <c r="D67" s="158"/>
      <c r="E67" s="86"/>
    </row>
    <row r="68" spans="2:6">
      <c r="B68" s="251" t="str">
        <f ca="1">GenDetail!A7</f>
        <v>General</v>
      </c>
      <c r="C68" s="269">
        <f ca="1">GenDetail!B15</f>
        <v>71710.959999999992</v>
      </c>
      <c r="D68" s="269">
        <f ca="1">GenDetail!C15</f>
        <v>76400</v>
      </c>
      <c r="E68" s="81">
        <f ca="1">GenDetail!D15</f>
        <v>72000</v>
      </c>
      <c r="F68" s="270"/>
    </row>
    <row r="69" spans="2:6">
      <c r="B69" s="251" t="str">
        <f ca="1">GenDetail!A16</f>
        <v>Street</v>
      </c>
      <c r="C69" s="269">
        <f ca="1">GenDetail!B22</f>
        <v>8445</v>
      </c>
      <c r="D69" s="269">
        <f ca="1">GenDetail!C22</f>
        <v>20090</v>
      </c>
      <c r="E69" s="81">
        <f ca="1">GenDetail!D22</f>
        <v>10000</v>
      </c>
      <c r="F69" s="270"/>
    </row>
    <row r="70" spans="2:6">
      <c r="B70" s="251" t="str">
        <f ca="1">GenDetail!A23</f>
        <v>Park</v>
      </c>
      <c r="C70" s="269">
        <f ca="1">GenDetail!B29</f>
        <v>300</v>
      </c>
      <c r="D70" s="269">
        <f ca="1">GenDetail!C29</f>
        <v>400</v>
      </c>
      <c r="E70" s="81">
        <f ca="1">GenDetail!D29</f>
        <v>400</v>
      </c>
    </row>
    <row r="71" spans="2:6">
      <c r="B71" s="251" t="str">
        <f ca="1">GenDetail!A30</f>
        <v>Law Enforcement</v>
      </c>
      <c r="C71" s="269">
        <f ca="1">GenDetail!B35</f>
        <v>0</v>
      </c>
      <c r="D71" s="269">
        <f ca="1">GenDetail!C35</f>
        <v>500</v>
      </c>
      <c r="E71" s="81">
        <f ca="1">GenDetail!D35</f>
        <v>500</v>
      </c>
    </row>
    <row r="72" spans="2:6">
      <c r="B72" s="251" t="str">
        <f ca="1">GenDetail!A36</f>
        <v>Street Lights</v>
      </c>
      <c r="C72" s="269">
        <f ca="1">GenDetail!B42</f>
        <v>6986.64</v>
      </c>
      <c r="D72" s="269">
        <f ca="1">GenDetail!C42</f>
        <v>5692</v>
      </c>
      <c r="E72" s="81">
        <f ca="1">GenDetail!D42</f>
        <v>7200</v>
      </c>
    </row>
    <row r="73" spans="2:6">
      <c r="B73" s="251" t="str">
        <f ca="1">GenDetail!A43</f>
        <v>Shop</v>
      </c>
      <c r="C73" s="269">
        <f ca="1">GenDetail!B49</f>
        <v>2500</v>
      </c>
      <c r="D73" s="269">
        <f ca="1">GenDetail!C49</f>
        <v>2800.35</v>
      </c>
      <c r="E73" s="81">
        <f ca="1">GenDetail!D49</f>
        <v>2800</v>
      </c>
    </row>
    <row r="74" spans="2:6">
      <c r="B74" s="251" t="str">
        <f ca="1">GenDetail!A50</f>
        <v>Library</v>
      </c>
      <c r="C74" s="269">
        <f ca="1">GenDetail!B56</f>
        <v>2450</v>
      </c>
      <c r="D74" s="269">
        <f ca="1">GenDetail!C56</f>
        <v>2213</v>
      </c>
      <c r="E74" s="81">
        <f ca="1">GenDetail!D56</f>
        <v>2700</v>
      </c>
    </row>
    <row r="75" spans="2:6">
      <c r="B75" s="251" t="str">
        <f ca="1">GenDetail!A57</f>
        <v>Ball Diamond</v>
      </c>
      <c r="C75" s="269">
        <f ca="1">GenDetail!B63</f>
        <v>1000</v>
      </c>
      <c r="D75" s="269">
        <f ca="1">GenDetail!C63</f>
        <v>939.45</v>
      </c>
      <c r="E75" s="81">
        <f ca="1">GenDetail!D63</f>
        <v>1200</v>
      </c>
    </row>
    <row r="76" spans="2:6">
      <c r="B76" s="251" t="str">
        <f ca="1">GenDetail!A75</f>
        <v>Employee Benefits</v>
      </c>
      <c r="C76" s="269">
        <f ca="1">GenDetail!B81</f>
        <v>19156</v>
      </c>
      <c r="D76" s="269">
        <f ca="1">GenDetail!C81</f>
        <v>25256</v>
      </c>
      <c r="E76" s="81">
        <f ca="1">GenDetail!D81</f>
        <v>20600</v>
      </c>
    </row>
    <row r="77" spans="2:6">
      <c r="B77" s="251" t="str">
        <f ca="1">GenDetail!A82</f>
        <v>Beautification</v>
      </c>
      <c r="C77" s="269">
        <f ca="1">GenDetail!B88</f>
        <v>0</v>
      </c>
      <c r="D77" s="269">
        <f ca="1">GenDetail!C88</f>
        <v>300</v>
      </c>
      <c r="E77" s="81">
        <f ca="1">GenDetail!D88</f>
        <v>300</v>
      </c>
    </row>
    <row r="78" spans="2:6">
      <c r="B78" s="251">
        <f ca="1">GenDetail!A89</f>
        <v>0</v>
      </c>
      <c r="C78" s="269">
        <f ca="1">GenDetail!B95</f>
        <v>0</v>
      </c>
      <c r="D78" s="269">
        <f ca="1">GenDetail!C95</f>
        <v>0</v>
      </c>
      <c r="E78" s="81">
        <f ca="1">GenDetail!D95</f>
        <v>0</v>
      </c>
    </row>
    <row r="79" spans="2:6">
      <c r="B79" s="251">
        <f ca="1">GenDetail!A96</f>
        <v>0</v>
      </c>
      <c r="C79" s="269">
        <f ca="1">GenDetail!B101</f>
        <v>0</v>
      </c>
      <c r="D79" s="269">
        <f ca="1">GenDetail!C101</f>
        <v>0</v>
      </c>
      <c r="E79" s="81">
        <f ca="1">GenDetail!D101</f>
        <v>0</v>
      </c>
    </row>
    <row r="80" spans="2:6">
      <c r="B80" s="251">
        <f ca="1">GenDetail!A102</f>
        <v>0</v>
      </c>
      <c r="C80" s="269">
        <f ca="1">GenDetail!B108</f>
        <v>0</v>
      </c>
      <c r="D80" s="269">
        <f ca="1">GenDetail!C108</f>
        <v>0</v>
      </c>
      <c r="E80" s="81">
        <f ca="1">GenDetail!D108</f>
        <v>0</v>
      </c>
    </row>
    <row r="81" spans="2:5">
      <c r="B81" s="251">
        <f ca="1">GenDetail!A109</f>
        <v>0</v>
      </c>
      <c r="C81" s="269">
        <f ca="1">GenDetail!B115</f>
        <v>0</v>
      </c>
      <c r="D81" s="269">
        <f ca="1">GenDetail!C115</f>
        <v>0</v>
      </c>
      <c r="E81" s="81">
        <f ca="1">GenDetail!D115</f>
        <v>0</v>
      </c>
    </row>
    <row r="82" spans="2:5">
      <c r="B82" s="251">
        <f ca="1">GenDetail!A116</f>
        <v>0</v>
      </c>
      <c r="C82" s="269">
        <f ca="1">GenDetail!B122</f>
        <v>0</v>
      </c>
      <c r="D82" s="269">
        <f ca="1">GenDetail!C122</f>
        <v>0</v>
      </c>
      <c r="E82" s="81">
        <f ca="1">GenDetail!D122</f>
        <v>0</v>
      </c>
    </row>
    <row r="83" spans="2:5">
      <c r="B83" s="251">
        <f ca="1">GenDetail!A123</f>
        <v>0</v>
      </c>
      <c r="C83" s="269">
        <f ca="1">GenDetail!B129</f>
        <v>0</v>
      </c>
      <c r="D83" s="269">
        <f ca="1">GenDetail!C129</f>
        <v>0</v>
      </c>
      <c r="E83" s="81">
        <f ca="1">GenDetail!D129</f>
        <v>0</v>
      </c>
    </row>
    <row r="84" spans="2:5">
      <c r="B84" s="271" t="s">
        <v>397</v>
      </c>
      <c r="C84" s="377">
        <f>SUM(C68:C83)</f>
        <v>112548.59999999999</v>
      </c>
      <c r="D84" s="377">
        <f>SUM(D68:D83)</f>
        <v>134590.79999999999</v>
      </c>
      <c r="E84" s="286">
        <f>SUM(E68:E83)</f>
        <v>117700</v>
      </c>
    </row>
    <row r="85" spans="2:5">
      <c r="B85" s="260" t="s">
        <v>881</v>
      </c>
      <c r="C85" s="256">
        <v>5700</v>
      </c>
      <c r="D85" s="256">
        <v>5700</v>
      </c>
      <c r="E85" s="259">
        <v>5700</v>
      </c>
    </row>
    <row r="86" spans="2:5">
      <c r="B86" s="260"/>
      <c r="C86" s="256"/>
      <c r="D86" s="256"/>
      <c r="E86" s="259"/>
    </row>
    <row r="87" spans="2:5">
      <c r="B87" s="260"/>
      <c r="C87" s="256"/>
      <c r="D87" s="256"/>
      <c r="E87" s="259"/>
    </row>
    <row r="88" spans="2:5">
      <c r="B88" s="260"/>
      <c r="C88" s="256"/>
      <c r="D88" s="256"/>
      <c r="E88" s="259"/>
    </row>
    <row r="89" spans="2:5">
      <c r="B89" s="260"/>
      <c r="C89" s="256"/>
      <c r="D89" s="256"/>
      <c r="E89" s="259"/>
    </row>
    <row r="90" spans="2:5">
      <c r="B90" s="260"/>
      <c r="C90" s="256"/>
      <c r="D90" s="256"/>
      <c r="E90" s="259"/>
    </row>
    <row r="91" spans="2:5">
      <c r="B91" s="272"/>
      <c r="C91" s="256"/>
      <c r="D91" s="256"/>
      <c r="E91" s="259"/>
    </row>
    <row r="92" spans="2:5">
      <c r="B92" s="272"/>
      <c r="C92" s="256"/>
      <c r="D92" s="256"/>
      <c r="E92" s="259"/>
    </row>
    <row r="93" spans="2:5">
      <c r="B93" s="272"/>
      <c r="C93" s="256"/>
      <c r="D93" s="256"/>
      <c r="E93" s="259"/>
    </row>
    <row r="94" spans="2:5">
      <c r="B94" s="272"/>
      <c r="C94" s="256"/>
      <c r="D94" s="256"/>
      <c r="E94" s="259"/>
    </row>
    <row r="95" spans="2:5">
      <c r="B95" s="272"/>
      <c r="C95" s="256"/>
      <c r="D95" s="256"/>
      <c r="E95" s="259"/>
    </row>
    <row r="96" spans="2:5">
      <c r="B96" s="272"/>
      <c r="C96" s="256"/>
      <c r="D96" s="256"/>
      <c r="E96" s="259"/>
    </row>
    <row r="97" spans="2:10">
      <c r="B97" s="272"/>
      <c r="C97" s="256"/>
      <c r="D97" s="256"/>
      <c r="E97" s="259"/>
    </row>
    <row r="98" spans="2:10">
      <c r="B98" s="272"/>
      <c r="C98" s="256"/>
      <c r="D98" s="256"/>
      <c r="E98" s="259"/>
    </row>
    <row r="99" spans="2:10">
      <c r="B99" s="272"/>
      <c r="C99" s="256"/>
      <c r="D99" s="256"/>
      <c r="E99" s="259"/>
    </row>
    <row r="100" spans="2:10">
      <c r="B100" s="272"/>
      <c r="C100" s="256"/>
      <c r="D100" s="256"/>
      <c r="E100" s="259"/>
    </row>
    <row r="101" spans="2:10">
      <c r="B101" s="272"/>
      <c r="C101" s="256"/>
      <c r="D101" s="256"/>
      <c r="E101" s="259"/>
    </row>
    <row r="102" spans="2:10">
      <c r="B102" s="272"/>
      <c r="C102" s="256"/>
      <c r="D102" s="256"/>
      <c r="E102" s="259"/>
      <c r="G102" s="787" t="str">
        <f>CONCATENATE("Desired Carryover Into ",E1+1,"")</f>
        <v>Desired Carryover Into 2015</v>
      </c>
      <c r="H102" s="788"/>
      <c r="I102" s="788"/>
      <c r="J102" s="789"/>
    </row>
    <row r="103" spans="2:10">
      <c r="B103" s="272"/>
      <c r="C103" s="256"/>
      <c r="D103" s="256"/>
      <c r="E103" s="259"/>
      <c r="G103" s="539"/>
      <c r="H103" s="536"/>
      <c r="I103" s="536"/>
      <c r="J103" s="540"/>
    </row>
    <row r="104" spans="2:10">
      <c r="B104" s="272"/>
      <c r="C104" s="256"/>
      <c r="D104" s="256"/>
      <c r="E104" s="259"/>
      <c r="G104" s="550" t="s">
        <v>495</v>
      </c>
      <c r="H104" s="544"/>
      <c r="I104" s="544"/>
      <c r="J104" s="538"/>
    </row>
    <row r="105" spans="2:10">
      <c r="B105" s="272"/>
      <c r="C105" s="256"/>
      <c r="D105" s="256"/>
      <c r="E105" s="259"/>
      <c r="G105" s="554" t="s">
        <v>496</v>
      </c>
      <c r="H105" s="535"/>
      <c r="I105" s="537"/>
      <c r="J105" s="553" t="str">
        <f ca="1">IF(J104=0,"",ROUND((J104+E118-G117)/inputOth!E7*1000,3)-general!G122)</f>
        <v/>
      </c>
    </row>
    <row r="106" spans="2:10">
      <c r="B106" s="272"/>
      <c r="C106" s="256"/>
      <c r="D106" s="256"/>
      <c r="E106" s="259"/>
      <c r="G106" s="622" t="str">
        <f>CONCATENATE("",E1," Total Expenditures Must Be:")</f>
        <v>2014 Total Expenditures Must Be:</v>
      </c>
      <c r="H106" s="623"/>
      <c r="I106" s="624"/>
      <c r="J106" s="552">
        <f>IF(J104&gt;0,IF(E115&lt;E57,IF(J104=G117,E115,((J104-G117)*(1-D117))+E57),E115+(J104-G117)),0)</f>
        <v>0</v>
      </c>
    </row>
    <row r="107" spans="2:10">
      <c r="B107" s="272"/>
      <c r="C107" s="256"/>
      <c r="D107" s="256"/>
      <c r="E107" s="259"/>
      <c r="G107" s="626" t="s">
        <v>613</v>
      </c>
      <c r="H107" s="627"/>
      <c r="I107" s="628"/>
      <c r="J107" s="660">
        <f>IF(J104&gt;0,J106-E115,0)</f>
        <v>0</v>
      </c>
    </row>
    <row r="108" spans="2:10">
      <c r="B108" s="273" t="s">
        <v>654</v>
      </c>
      <c r="C108" s="256"/>
      <c r="D108" s="256"/>
      <c r="E108" s="274" t="str">
        <f ca="1">nhood!E6</f>
        <v/>
      </c>
    </row>
    <row r="109" spans="2:10">
      <c r="B109" s="273" t="s">
        <v>655</v>
      </c>
      <c r="C109" s="256"/>
      <c r="D109" s="256"/>
      <c r="E109" s="259"/>
      <c r="G109" s="787" t="str">
        <f>CONCATENATE("Projected Carryover Into ",E1+1,"")</f>
        <v>Projected Carryover Into 2015</v>
      </c>
      <c r="H109" s="796"/>
      <c r="I109" s="796"/>
      <c r="J109" s="797"/>
    </row>
    <row r="110" spans="2:10">
      <c r="B110" s="273" t="s">
        <v>508</v>
      </c>
      <c r="C110" s="261" t="str">
        <f>IF(C111*0.1&lt;C109,"Exceed 10% Rule","")</f>
        <v/>
      </c>
      <c r="D110" s="261" t="str">
        <f>IF(D111*0.1&lt;D109,"Exceed 10% Rule","")</f>
        <v/>
      </c>
      <c r="E110" s="298" t="str">
        <f>IF(E111*0.1&lt;E109,"Exceed 10% Rule","")</f>
        <v/>
      </c>
      <c r="G110" s="539"/>
      <c r="H110" s="536"/>
      <c r="I110" s="536"/>
      <c r="J110" s="540"/>
    </row>
    <row r="111" spans="2:10">
      <c r="B111" s="263" t="s">
        <v>4</v>
      </c>
      <c r="C111" s="265">
        <f>SUM(C84:C109)</f>
        <v>118248.59999999999</v>
      </c>
      <c r="D111" s="265">
        <f>SUM(D84:D109)</f>
        <v>140290.79999999999</v>
      </c>
      <c r="E111" s="266">
        <f>SUM(E84:E109)</f>
        <v>123400</v>
      </c>
      <c r="G111" s="541">
        <f>D112</f>
        <v>19935.160000000003</v>
      </c>
      <c r="H111" s="542" t="str">
        <f>CONCATENATE("",E1-1," Ending Cash Balance (est.)")</f>
        <v>2013 Ending Cash Balance (est.)</v>
      </c>
      <c r="I111" s="543"/>
      <c r="J111" s="540"/>
    </row>
    <row r="112" spans="2:10">
      <c r="B112" s="149" t="s">
        <v>111</v>
      </c>
      <c r="C112" s="269">
        <f>C57-C111</f>
        <v>50199.92</v>
      </c>
      <c r="D112" s="269">
        <f>D57-D111</f>
        <v>19935.160000000003</v>
      </c>
      <c r="E112" s="258" t="s">
        <v>736</v>
      </c>
      <c r="G112" s="541">
        <f>E56</f>
        <v>59249.11</v>
      </c>
      <c r="H112" s="544" t="str">
        <f>CONCATENATE("",E1," Non-AV Receipts (est.)")</f>
        <v>2014 Non-AV Receipts (est.)</v>
      </c>
      <c r="I112" s="543"/>
      <c r="J112" s="540"/>
    </row>
    <row r="113" spans="2:11">
      <c r="B113" s="135" t="str">
        <f>CONCATENATE("",E1-2,"/",E1-1," Budget Authority Amount:")</f>
        <v>2012/2013 Budget Authority Amount:</v>
      </c>
      <c r="C113" s="240">
        <f ca="1">inputOth!B60</f>
        <v>125885</v>
      </c>
      <c r="D113" s="240">
        <f ca="1">inputPrYr!D17</f>
        <v>175650</v>
      </c>
      <c r="E113" s="258" t="s">
        <v>736</v>
      </c>
      <c r="F113" s="275"/>
      <c r="G113" s="545">
        <f>IF(E117&gt;0,E116,E118)</f>
        <v>44215.729999999996</v>
      </c>
      <c r="H113" s="544" t="str">
        <f>CONCATENATE("",E1," Ad Valorem Tax (est.)")</f>
        <v>2014 Ad Valorem Tax (est.)</v>
      </c>
      <c r="I113" s="543"/>
      <c r="J113" s="540"/>
      <c r="K113" s="640" t="str">
        <f>IF(G113=E118,"","Note: Does not include Delinquent Taxes")</f>
        <v>Note: Does not include Delinquent Taxes</v>
      </c>
    </row>
    <row r="114" spans="2:11">
      <c r="B114" s="135"/>
      <c r="C114" s="790" t="s">
        <v>395</v>
      </c>
      <c r="D114" s="791"/>
      <c r="E114" s="259"/>
      <c r="F114" s="436" t="str">
        <f>IF(E111/0.95-E111&lt;E114,"Exceeds 5%","")</f>
        <v/>
      </c>
      <c r="G114" s="541">
        <f>SUM(G111:G113)</f>
        <v>123400</v>
      </c>
      <c r="H114" s="544" t="str">
        <f>CONCATENATE("Total ",E1," Resources Available")</f>
        <v>Total 2014 Resources Available</v>
      </c>
      <c r="I114" s="543"/>
      <c r="J114" s="540"/>
    </row>
    <row r="115" spans="2:11">
      <c r="B115" s="528" t="str">
        <f>CONCATENATE(C132,"     ",D132)</f>
        <v xml:space="preserve">     </v>
      </c>
      <c r="C115" s="792" t="s">
        <v>396</v>
      </c>
      <c r="D115" s="793"/>
      <c r="E115" s="227">
        <f>E111+E114</f>
        <v>123400</v>
      </c>
      <c r="G115" s="546"/>
      <c r="H115" s="544"/>
      <c r="I115" s="544"/>
      <c r="J115" s="540"/>
    </row>
    <row r="116" spans="2:11">
      <c r="B116" s="528" t="str">
        <f>CONCATENATE(C133,"     ",D133)</f>
        <v xml:space="preserve">     </v>
      </c>
      <c r="C116" s="276"/>
      <c r="D116" s="168" t="s">
        <v>5</v>
      </c>
      <c r="E116" s="81">
        <f>IF(E115-E57&gt;0,E115-E57,0)</f>
        <v>44215.729999999996</v>
      </c>
      <c r="G116" s="545">
        <f>C111*0.05+C111</f>
        <v>124161.03</v>
      </c>
      <c r="H116" s="544" t="str">
        <f>CONCATENATE("Less ",E1-2," Expenditures + 5%")</f>
        <v>Less 2012 Expenditures + 5%</v>
      </c>
      <c r="I116" s="543"/>
      <c r="J116" s="540"/>
    </row>
    <row r="117" spans="2:11">
      <c r="B117" s="168"/>
      <c r="C117" s="384" t="s">
        <v>394</v>
      </c>
      <c r="D117" s="724">
        <f ca="1">inputOth!$E$47</f>
        <v>0.01</v>
      </c>
      <c r="E117" s="227">
        <f>ROUND(IF(D117&gt;0,(E116*D117),0),0)</f>
        <v>442</v>
      </c>
      <c r="G117" s="551">
        <f>G114-G116</f>
        <v>-761.02999999999884</v>
      </c>
      <c r="H117" s="547" t="str">
        <f>CONCATENATE("Projected ",E1+1," Carryover (est.)")</f>
        <v>Projected 2015 Carryover (est.)</v>
      </c>
      <c r="I117" s="548"/>
      <c r="J117" s="549"/>
    </row>
    <row r="118" spans="2:11" ht="16.5" thickBot="1">
      <c r="B118" s="46"/>
      <c r="C118" s="794" t="str">
        <f>CONCATENATE("Amount of  ",$E$1-1," Ad Valorem Tax")</f>
        <v>Amount of  2013 Ad Valorem Tax</v>
      </c>
      <c r="D118" s="795"/>
      <c r="E118" s="646">
        <f>E116+E117</f>
        <v>44657.729999999996</v>
      </c>
    </row>
    <row r="119" spans="2:11" ht="17.25" thickTop="1">
      <c r="B119" s="46"/>
      <c r="C119" s="46"/>
      <c r="D119" s="46"/>
      <c r="E119" s="46"/>
      <c r="G119" s="784" t="s">
        <v>614</v>
      </c>
      <c r="H119" s="785"/>
      <c r="I119" s="785"/>
      <c r="J119" s="786"/>
    </row>
    <row r="120" spans="2:11">
      <c r="B120" s="135" t="s">
        <v>7</v>
      </c>
      <c r="C120" s="170" t="str">
        <f>CONCATENATE("",C59,"a")</f>
        <v>8a</v>
      </c>
      <c r="D120" s="171"/>
      <c r="E120" s="171"/>
      <c r="G120" s="630"/>
      <c r="H120" s="631"/>
      <c r="I120" s="632"/>
      <c r="J120" s="633"/>
    </row>
    <row r="121" spans="2:11">
      <c r="G121" s="634">
        <f ca="1">summ!H15</f>
        <v>29.632000000000001</v>
      </c>
      <c r="H121" s="631" t="str">
        <f>CONCATENATE("",E1," Fund Mill Rate")</f>
        <v>2014 Fund Mill Rate</v>
      </c>
      <c r="I121" s="632"/>
      <c r="J121" s="633"/>
    </row>
    <row r="122" spans="2:11">
      <c r="B122" s="105"/>
      <c r="G122" s="635">
        <f ca="1">summ!E15</f>
        <v>29.946000000000002</v>
      </c>
      <c r="H122" s="631" t="str">
        <f>CONCATENATE("",E1-1," Fund Mill Rate")</f>
        <v>2013 Fund Mill Rate</v>
      </c>
      <c r="I122" s="632"/>
      <c r="J122" s="633"/>
    </row>
    <row r="123" spans="2:11">
      <c r="G123" s="636">
        <f ca="1">summ!H52</f>
        <v>32.186</v>
      </c>
      <c r="H123" s="631" t="str">
        <f>CONCATENATE("Total ",E1," Mill Rate")</f>
        <v>Total 2014 Mill Rate</v>
      </c>
      <c r="I123" s="632"/>
      <c r="J123" s="633"/>
    </row>
    <row r="124" spans="2:11">
      <c r="G124" s="635">
        <f ca="1">summ!E52</f>
        <v>32.481999999999999</v>
      </c>
      <c r="H124" s="637" t="str">
        <f>CONCATENATE("Total ",E1-1," Mill Rate")</f>
        <v>Total 2013 Mill Rate</v>
      </c>
      <c r="I124" s="638"/>
      <c r="J124" s="639"/>
    </row>
    <row r="125" spans="2:11">
      <c r="B125" s="32"/>
      <c r="C125" s="32"/>
    </row>
    <row r="126" spans="2:11">
      <c r="G126" s="741" t="s">
        <v>845</v>
      </c>
      <c r="H126" s="740"/>
      <c r="I126" s="739" t="str">
        <f ca="1">cert!F58</f>
        <v>No</v>
      </c>
    </row>
    <row r="132" spans="3:4" hidden="1">
      <c r="C132" s="527" t="str">
        <f>IF(C111&gt;C113,"See Tab A","")</f>
        <v/>
      </c>
      <c r="D132" s="527" t="str">
        <f>IF(D111&gt;D113,"See Tab C","")</f>
        <v/>
      </c>
    </row>
    <row r="133" spans="3:4" hidden="1">
      <c r="C133" s="527" t="str">
        <f>IF(C112&lt;0,"See Tab B","")</f>
        <v/>
      </c>
      <c r="D133" s="527" t="str">
        <f>IF(D112&lt;0,"See Tab D","")</f>
        <v/>
      </c>
    </row>
  </sheetData>
  <sheetProtection sheet="1"/>
  <mergeCells count="6">
    <mergeCell ref="G119:J119"/>
    <mergeCell ref="G102:J102"/>
    <mergeCell ref="C114:D114"/>
    <mergeCell ref="C115:D115"/>
    <mergeCell ref="C118:D118"/>
    <mergeCell ref="G109:J109"/>
  </mergeCells>
  <phoneticPr fontId="0" type="noConversion"/>
  <conditionalFormatting sqref="E109">
    <cfRule type="cellIs" dxfId="317" priority="2" stopIfTrue="1" operator="greaterThan">
      <formula>$E$111*0.1</formula>
    </cfRule>
  </conditionalFormatting>
  <conditionalFormatting sqref="E114">
    <cfRule type="cellIs" dxfId="316" priority="3" stopIfTrue="1" operator="greaterThan">
      <formula>$E$111/0.95-$E$111</formula>
    </cfRule>
  </conditionalFormatting>
  <conditionalFormatting sqref="D111">
    <cfRule type="cellIs" dxfId="315" priority="4" stopIfTrue="1" operator="greaterThan">
      <formula>$D$113</formula>
    </cfRule>
  </conditionalFormatting>
  <conditionalFormatting sqref="C111">
    <cfRule type="cellIs" dxfId="314" priority="5" stopIfTrue="1" operator="greaterThan">
      <formula>$C$113</formula>
    </cfRule>
  </conditionalFormatting>
  <conditionalFormatting sqref="C112">
    <cfRule type="cellIs" dxfId="313" priority="6" stopIfTrue="1" operator="lessThan">
      <formula>0</formula>
    </cfRule>
  </conditionalFormatting>
  <conditionalFormatting sqref="C109">
    <cfRule type="cellIs" dxfId="312" priority="7" stopIfTrue="1" operator="greaterThan">
      <formula>$C$111*0.1</formula>
    </cfRule>
  </conditionalFormatting>
  <conditionalFormatting sqref="D109">
    <cfRule type="cellIs" dxfId="311" priority="8" stopIfTrue="1" operator="greaterThan">
      <formula>$D$111*0.1</formula>
    </cfRule>
  </conditionalFormatting>
  <conditionalFormatting sqref="D54">
    <cfRule type="cellIs" dxfId="310" priority="9" stopIfTrue="1" operator="greaterThan">
      <formula>$D$56*0.1</formula>
    </cfRule>
  </conditionalFormatting>
  <conditionalFormatting sqref="C54">
    <cfRule type="cellIs" dxfId="309" priority="10" stopIfTrue="1" operator="greaterThan">
      <formula>$C$56*0.1</formula>
    </cfRule>
  </conditionalFormatting>
  <conditionalFormatting sqref="E54">
    <cfRule type="cellIs" dxfId="308" priority="11" stopIfTrue="1" operator="greaterThan">
      <formula>$E$56*0.1+E118</formula>
    </cfRule>
  </conditionalFormatting>
  <conditionalFormatting sqref="D112">
    <cfRule type="cellIs" dxfId="307" priority="1" stopIfTrue="1" operator="lessThan">
      <formula>0</formula>
    </cfRule>
  </conditionalFormatting>
  <pageMargins left="0.5" right="0.5" top="1" bottom="0.5" header="0.5" footer="0.5"/>
  <pageSetup scale="73" fitToHeight="2" orientation="portrait" blackAndWhite="1" horizontalDpi="120" verticalDpi="144" r:id="rId1"/>
  <headerFooter alignWithMargins="0">
    <oddHeader>&amp;RState of Kansas
City</oddHeader>
  </headerFooter>
  <rowBreaks count="2" manualBreakCount="2">
    <brk id="59" min="1" max="4" man="1"/>
    <brk id="6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F135"/>
  <sheetViews>
    <sheetView topLeftCell="A36" zoomScale="75" zoomScaleNormal="75" workbookViewId="0">
      <selection activeCell="F12" sqref="F12"/>
    </sheetView>
  </sheetViews>
  <sheetFormatPr defaultRowHeight="15.75"/>
  <cols>
    <col min="1" max="1" width="28.33203125" style="32" customWidth="1"/>
    <col min="2" max="3" width="15.77734375" style="32" customWidth="1"/>
    <col min="4" max="4" width="16.109375" style="32" customWidth="1"/>
    <col min="5" max="16384" width="8.88671875" style="32"/>
  </cols>
  <sheetData>
    <row r="1" spans="1:4">
      <c r="A1" s="196" t="str">
        <f ca="1">inputPrYr!D2</f>
        <v>City of Grainfield</v>
      </c>
      <c r="B1" s="46"/>
      <c r="C1" s="170"/>
      <c r="D1" s="46">
        <f ca="1">inputPrYr!C5</f>
        <v>2014</v>
      </c>
    </row>
    <row r="2" spans="1:4">
      <c r="A2" s="46"/>
      <c r="B2" s="46"/>
      <c r="C2" s="46"/>
      <c r="D2" s="170"/>
    </row>
    <row r="3" spans="1:4">
      <c r="A3" s="568"/>
      <c r="B3" s="277"/>
      <c r="C3" s="277"/>
      <c r="D3" s="277"/>
    </row>
    <row r="4" spans="1:4">
      <c r="A4" s="712" t="s">
        <v>747</v>
      </c>
      <c r="B4" s="278" t="s">
        <v>789</v>
      </c>
      <c r="C4" s="143" t="s">
        <v>790</v>
      </c>
      <c r="D4" s="143" t="s">
        <v>791</v>
      </c>
    </row>
    <row r="5" spans="1:4">
      <c r="A5" s="568" t="s">
        <v>289</v>
      </c>
      <c r="B5" s="250" t="str">
        <f>CONCATENATE("Actual for ",D1-2,"")</f>
        <v>Actual for 2012</v>
      </c>
      <c r="C5" s="250" t="str">
        <f>CONCATENATE("Estimate for ",D1-1,"")</f>
        <v>Estimate for 2013</v>
      </c>
      <c r="D5" s="250" t="str">
        <f>CONCATENATE("Year for ",D1,"")</f>
        <v>Year for 2014</v>
      </c>
    </row>
    <row r="6" spans="1:4">
      <c r="A6" s="225" t="s">
        <v>0</v>
      </c>
      <c r="B6" s="86"/>
      <c r="C6" s="86"/>
      <c r="D6" s="86"/>
    </row>
    <row r="7" spans="1:4">
      <c r="A7" s="279" t="s">
        <v>717</v>
      </c>
      <c r="B7" s="86"/>
      <c r="C7" s="86"/>
      <c r="D7" s="86"/>
    </row>
    <row r="8" spans="1:4">
      <c r="A8" s="280" t="s">
        <v>8</v>
      </c>
      <c r="B8" s="259">
        <v>19912.02</v>
      </c>
      <c r="C8" s="259">
        <v>21400</v>
      </c>
      <c r="D8" s="259">
        <v>23000</v>
      </c>
    </row>
    <row r="9" spans="1:4">
      <c r="A9" s="280" t="s">
        <v>1</v>
      </c>
      <c r="B9" s="259">
        <v>46998.85</v>
      </c>
      <c r="C9" s="259">
        <v>15000</v>
      </c>
      <c r="D9" s="259">
        <v>44000</v>
      </c>
    </row>
    <row r="10" spans="1:4">
      <c r="A10" s="280" t="s">
        <v>2</v>
      </c>
      <c r="B10" s="259">
        <v>4800.09</v>
      </c>
      <c r="C10" s="259">
        <v>10000</v>
      </c>
      <c r="D10" s="259">
        <v>5000</v>
      </c>
    </row>
    <row r="11" spans="1:4">
      <c r="A11" s="280" t="s">
        <v>3</v>
      </c>
      <c r="B11" s="259"/>
      <c r="C11" s="259">
        <v>30000</v>
      </c>
      <c r="D11" s="259"/>
    </row>
    <row r="12" spans="1:4">
      <c r="A12" s="280"/>
      <c r="B12" s="259"/>
      <c r="C12" s="259"/>
      <c r="D12" s="259"/>
    </row>
    <row r="13" spans="1:4">
      <c r="A13" s="68"/>
      <c r="B13" s="259"/>
      <c r="C13" s="259"/>
      <c r="D13" s="259"/>
    </row>
    <row r="14" spans="1:4">
      <c r="A14" s="68"/>
      <c r="B14" s="259"/>
      <c r="C14" s="259"/>
      <c r="D14" s="259"/>
    </row>
    <row r="15" spans="1:4">
      <c r="A15" s="225" t="s">
        <v>719</v>
      </c>
      <c r="B15" s="264">
        <f>SUM(B8:B14)</f>
        <v>71710.959999999992</v>
      </c>
      <c r="C15" s="264">
        <f>SUM(C8:C14)</f>
        <v>76400</v>
      </c>
      <c r="D15" s="264">
        <f>SUM(D8:D14)</f>
        <v>72000</v>
      </c>
    </row>
    <row r="16" spans="1:4">
      <c r="A16" s="281" t="s">
        <v>869</v>
      </c>
      <c r="B16" s="196"/>
      <c r="C16" s="196"/>
      <c r="D16" s="196"/>
    </row>
    <row r="17" spans="1:4">
      <c r="A17" s="280" t="s">
        <v>8</v>
      </c>
      <c r="B17" s="259"/>
      <c r="C17" s="259"/>
      <c r="D17" s="259"/>
    </row>
    <row r="18" spans="1:4">
      <c r="A18" s="280" t="s">
        <v>1</v>
      </c>
      <c r="B18" s="259">
        <v>1706.04</v>
      </c>
      <c r="C18" s="259">
        <v>14500</v>
      </c>
      <c r="D18" s="259">
        <v>3000</v>
      </c>
    </row>
    <row r="19" spans="1:4">
      <c r="A19" s="280" t="s">
        <v>2</v>
      </c>
      <c r="B19" s="259">
        <v>6738.96</v>
      </c>
      <c r="C19" s="259">
        <v>5590</v>
      </c>
      <c r="D19" s="259">
        <v>7000</v>
      </c>
    </row>
    <row r="20" spans="1:4">
      <c r="A20" s="280"/>
      <c r="B20" s="259"/>
      <c r="C20" s="259"/>
      <c r="D20" s="259"/>
    </row>
    <row r="21" spans="1:4">
      <c r="A21" s="280"/>
      <c r="B21" s="259"/>
      <c r="C21" s="259"/>
      <c r="D21" s="259"/>
    </row>
    <row r="22" spans="1:4">
      <c r="A22" s="225" t="s">
        <v>719</v>
      </c>
      <c r="B22" s="264">
        <f>SUM(B17:B21)</f>
        <v>8445</v>
      </c>
      <c r="C22" s="264">
        <f>SUM(C17:C21)</f>
        <v>20090</v>
      </c>
      <c r="D22" s="264">
        <f>SUM(D17:D21)</f>
        <v>10000</v>
      </c>
    </row>
    <row r="23" spans="1:4">
      <c r="A23" s="281" t="s">
        <v>870</v>
      </c>
      <c r="B23" s="196"/>
      <c r="C23" s="196"/>
      <c r="D23" s="196"/>
    </row>
    <row r="24" spans="1:4">
      <c r="A24" s="280" t="s">
        <v>8</v>
      </c>
      <c r="B24" s="259"/>
      <c r="C24" s="259"/>
      <c r="D24" s="259"/>
    </row>
    <row r="25" spans="1:4">
      <c r="A25" s="280" t="s">
        <v>1</v>
      </c>
      <c r="B25" s="259">
        <v>0</v>
      </c>
      <c r="C25" s="259">
        <v>150</v>
      </c>
      <c r="D25" s="259">
        <v>150</v>
      </c>
    </row>
    <row r="26" spans="1:4">
      <c r="A26" s="280" t="s">
        <v>2</v>
      </c>
      <c r="B26" s="259">
        <v>300</v>
      </c>
      <c r="C26" s="259">
        <v>250</v>
      </c>
      <c r="D26" s="259">
        <v>250</v>
      </c>
    </row>
    <row r="27" spans="1:4">
      <c r="A27" s="280"/>
      <c r="B27" s="259"/>
      <c r="C27" s="259"/>
      <c r="D27" s="259"/>
    </row>
    <row r="28" spans="1:4">
      <c r="A28" s="280"/>
      <c r="B28" s="259"/>
      <c r="C28" s="259"/>
      <c r="D28" s="259"/>
    </row>
    <row r="29" spans="1:4">
      <c r="A29" s="225" t="s">
        <v>719</v>
      </c>
      <c r="B29" s="264">
        <f>SUM(B24:B28)</f>
        <v>300</v>
      </c>
      <c r="C29" s="264">
        <f>SUM(C24:C28)</f>
        <v>400</v>
      </c>
      <c r="D29" s="264">
        <f>SUM(D24:D28)</f>
        <v>400</v>
      </c>
    </row>
    <row r="30" spans="1:4">
      <c r="A30" s="281" t="s">
        <v>871</v>
      </c>
      <c r="B30" s="196"/>
      <c r="C30" s="196"/>
      <c r="D30" s="196"/>
    </row>
    <row r="31" spans="1:4">
      <c r="A31" s="280" t="s">
        <v>8</v>
      </c>
      <c r="B31" s="259"/>
      <c r="C31" s="259"/>
      <c r="D31" s="259"/>
    </row>
    <row r="32" spans="1:4">
      <c r="A32" s="280" t="s">
        <v>1</v>
      </c>
      <c r="B32" s="259"/>
      <c r="C32" s="259">
        <v>500</v>
      </c>
      <c r="D32" s="259">
        <v>500</v>
      </c>
    </row>
    <row r="33" spans="1:4">
      <c r="A33" s="280" t="s">
        <v>2</v>
      </c>
      <c r="B33" s="259"/>
      <c r="C33" s="259"/>
      <c r="D33" s="259"/>
    </row>
    <row r="34" spans="1:4">
      <c r="A34" s="280"/>
      <c r="B34" s="259"/>
      <c r="C34" s="259"/>
      <c r="D34" s="259"/>
    </row>
    <row r="35" spans="1:4">
      <c r="A35" s="225" t="s">
        <v>719</v>
      </c>
      <c r="B35" s="264">
        <f>SUM(B31:B34)</f>
        <v>0</v>
      </c>
      <c r="C35" s="264">
        <f>SUM(C31:C34)</f>
        <v>500</v>
      </c>
      <c r="D35" s="264">
        <f>SUM(D31:D34)</f>
        <v>500</v>
      </c>
    </row>
    <row r="36" spans="1:4">
      <c r="A36" s="281" t="s">
        <v>872</v>
      </c>
      <c r="B36" s="196"/>
      <c r="C36" s="196"/>
      <c r="D36" s="196"/>
    </row>
    <row r="37" spans="1:4">
      <c r="A37" s="280" t="s">
        <v>8</v>
      </c>
      <c r="B37" s="259"/>
      <c r="C37" s="259"/>
      <c r="D37" s="259"/>
    </row>
    <row r="38" spans="1:4">
      <c r="A38" s="280" t="s">
        <v>1</v>
      </c>
      <c r="B38" s="259">
        <v>6986.64</v>
      </c>
      <c r="C38" s="259">
        <v>5692</v>
      </c>
      <c r="D38" s="259">
        <v>7200</v>
      </c>
    </row>
    <row r="39" spans="1:4">
      <c r="A39" s="280" t="s">
        <v>2</v>
      </c>
      <c r="B39" s="259"/>
      <c r="C39" s="259"/>
      <c r="D39" s="259"/>
    </row>
    <row r="40" spans="1:4">
      <c r="A40" s="280" t="s">
        <v>3</v>
      </c>
      <c r="B40" s="259"/>
      <c r="C40" s="259"/>
      <c r="D40" s="259"/>
    </row>
    <row r="41" spans="1:4">
      <c r="A41" s="280"/>
      <c r="B41" s="259"/>
      <c r="C41" s="259"/>
      <c r="D41" s="259"/>
    </row>
    <row r="42" spans="1:4">
      <c r="A42" s="225" t="s">
        <v>719</v>
      </c>
      <c r="B42" s="264">
        <f>SUM(B37:B41)</f>
        <v>6986.64</v>
      </c>
      <c r="C42" s="264">
        <f>SUM(C37:C41)</f>
        <v>5692</v>
      </c>
      <c r="D42" s="264">
        <f>SUM(D37:D41)</f>
        <v>7200</v>
      </c>
    </row>
    <row r="43" spans="1:4">
      <c r="A43" s="281" t="s">
        <v>873</v>
      </c>
      <c r="B43" s="196"/>
      <c r="C43" s="196"/>
      <c r="D43" s="196"/>
    </row>
    <row r="44" spans="1:4">
      <c r="A44" s="280" t="s">
        <v>8</v>
      </c>
      <c r="B44" s="259"/>
      <c r="C44" s="259"/>
      <c r="D44" s="259"/>
    </row>
    <row r="45" spans="1:4">
      <c r="A45" s="280" t="s">
        <v>1</v>
      </c>
      <c r="B45" s="259">
        <v>555.41</v>
      </c>
      <c r="C45" s="259">
        <v>800.35</v>
      </c>
      <c r="D45" s="259">
        <v>800</v>
      </c>
    </row>
    <row r="46" spans="1:4">
      <c r="A46" s="280" t="s">
        <v>2</v>
      </c>
      <c r="B46" s="259">
        <v>1944.59</v>
      </c>
      <c r="C46" s="259">
        <v>2000</v>
      </c>
      <c r="D46" s="259">
        <v>2000</v>
      </c>
    </row>
    <row r="47" spans="1:4">
      <c r="A47" s="280" t="s">
        <v>3</v>
      </c>
      <c r="B47" s="259"/>
      <c r="C47" s="259"/>
      <c r="D47" s="259"/>
    </row>
    <row r="48" spans="1:4">
      <c r="A48" s="280"/>
      <c r="B48" s="259"/>
      <c r="C48" s="259"/>
      <c r="D48" s="259"/>
    </row>
    <row r="49" spans="1:4">
      <c r="A49" s="225" t="s">
        <v>719</v>
      </c>
      <c r="B49" s="264">
        <f>SUM(B44:B48)</f>
        <v>2500</v>
      </c>
      <c r="C49" s="264">
        <f>SUM(C44:C48)</f>
        <v>2800.35</v>
      </c>
      <c r="D49" s="264">
        <f>SUM(D44:D48)</f>
        <v>2800</v>
      </c>
    </row>
    <row r="50" spans="1:4">
      <c r="A50" s="281" t="s">
        <v>596</v>
      </c>
      <c r="B50" s="196"/>
      <c r="C50" s="196"/>
      <c r="D50" s="196"/>
    </row>
    <row r="51" spans="1:4">
      <c r="A51" s="280" t="s">
        <v>8</v>
      </c>
      <c r="B51" s="259"/>
      <c r="C51" s="259"/>
      <c r="D51" s="259"/>
    </row>
    <row r="52" spans="1:4">
      <c r="A52" s="280" t="s">
        <v>1</v>
      </c>
      <c r="B52" s="259">
        <v>1889</v>
      </c>
      <c r="C52" s="259">
        <v>2000</v>
      </c>
      <c r="D52" s="259">
        <v>2100</v>
      </c>
    </row>
    <row r="53" spans="1:4">
      <c r="A53" s="280" t="s">
        <v>2</v>
      </c>
      <c r="B53" s="259">
        <v>561</v>
      </c>
      <c r="C53" s="259">
        <v>213</v>
      </c>
      <c r="D53" s="259">
        <v>600</v>
      </c>
    </row>
    <row r="54" spans="1:4">
      <c r="A54" s="280" t="s">
        <v>3</v>
      </c>
      <c r="B54" s="259"/>
      <c r="C54" s="259"/>
      <c r="D54" s="259"/>
    </row>
    <row r="55" spans="1:4">
      <c r="A55" s="280"/>
      <c r="B55" s="259"/>
      <c r="C55" s="259"/>
      <c r="D55" s="259"/>
    </row>
    <row r="56" spans="1:4">
      <c r="A56" s="225" t="s">
        <v>719</v>
      </c>
      <c r="B56" s="264">
        <f>SUM(B51:B55)</f>
        <v>2450</v>
      </c>
      <c r="C56" s="264">
        <f>SUM(C51:C55)</f>
        <v>2213</v>
      </c>
      <c r="D56" s="264">
        <f>SUM(D51:D55)</f>
        <v>2700</v>
      </c>
    </row>
    <row r="57" spans="1:4">
      <c r="A57" s="281" t="s">
        <v>874</v>
      </c>
      <c r="B57" s="196"/>
      <c r="C57" s="196"/>
      <c r="D57" s="196"/>
    </row>
    <row r="58" spans="1:4">
      <c r="A58" s="280" t="s">
        <v>8</v>
      </c>
      <c r="B58" s="259"/>
      <c r="C58" s="259"/>
      <c r="D58" s="259"/>
    </row>
    <row r="59" spans="1:4">
      <c r="A59" s="280" t="s">
        <v>1</v>
      </c>
      <c r="B59" s="259">
        <v>1000</v>
      </c>
      <c r="C59" s="259">
        <v>900</v>
      </c>
      <c r="D59" s="259">
        <v>1200</v>
      </c>
    </row>
    <row r="60" spans="1:4">
      <c r="A60" s="280" t="s">
        <v>2</v>
      </c>
      <c r="B60" s="259"/>
      <c r="C60" s="259">
        <v>39.450000000000003</v>
      </c>
      <c r="D60" s="259"/>
    </row>
    <row r="61" spans="1:4">
      <c r="A61" s="280" t="s">
        <v>3</v>
      </c>
      <c r="B61" s="259"/>
      <c r="C61" s="259"/>
      <c r="D61" s="259"/>
    </row>
    <row r="62" spans="1:4">
      <c r="A62" s="280"/>
      <c r="B62" s="259"/>
      <c r="C62" s="259"/>
      <c r="D62" s="259"/>
    </row>
    <row r="63" spans="1:4">
      <c r="A63" s="225" t="s">
        <v>719</v>
      </c>
      <c r="B63" s="264">
        <f>SUM(B58:B62)</f>
        <v>1000</v>
      </c>
      <c r="C63" s="264">
        <f>SUM(C58:C62)</f>
        <v>939.45</v>
      </c>
      <c r="D63" s="264">
        <f>SUM(D58:D62)</f>
        <v>1200</v>
      </c>
    </row>
    <row r="64" spans="1:4">
      <c r="A64" s="46"/>
      <c r="B64" s="196"/>
      <c r="C64" s="196"/>
      <c r="D64" s="196"/>
    </row>
    <row r="65" spans="1:6" ht="16.5" thickBot="1">
      <c r="A65" s="225" t="s">
        <v>285</v>
      </c>
      <c r="B65" s="282">
        <f>B15+B22+B29+B35+B42+B49+B56+B63</f>
        <v>93392.599999999991</v>
      </c>
      <c r="C65" s="282">
        <f>C15+C22+C29+C35+C42+C49+C56+C63</f>
        <v>109034.8</v>
      </c>
      <c r="D65" s="282">
        <f>D15+D22+D29+D35+D42+D49+D56+D63</f>
        <v>96800</v>
      </c>
    </row>
    <row r="66" spans="1:6" ht="16.5" thickTop="1">
      <c r="A66" s="283"/>
      <c r="B66" s="196"/>
      <c r="C66" s="196"/>
      <c r="D66" s="196"/>
    </row>
    <row r="67" spans="1:6">
      <c r="A67" s="402" t="s">
        <v>7</v>
      </c>
      <c r="B67" s="196" t="str">
        <f ca="1">CONCATENATE("",general!C59,"b")</f>
        <v>8b</v>
      </c>
      <c r="C67" s="196"/>
      <c r="D67" s="196"/>
    </row>
    <row r="68" spans="1:6">
      <c r="A68" s="46"/>
      <c r="B68" s="196"/>
      <c r="C68" s="196"/>
      <c r="D68" s="196"/>
    </row>
    <row r="69" spans="1:6">
      <c r="A69" s="196" t="str">
        <f>A1</f>
        <v>City of Grainfield</v>
      </c>
      <c r="B69" s="46"/>
      <c r="C69" s="170"/>
      <c r="D69" s="46">
        <f>D1</f>
        <v>2014</v>
      </c>
    </row>
    <row r="70" spans="1:6">
      <c r="A70" s="46"/>
      <c r="B70" s="46"/>
      <c r="C70" s="46"/>
      <c r="D70" s="170"/>
    </row>
    <row r="71" spans="1:6">
      <c r="A71" s="248"/>
      <c r="B71" s="220"/>
      <c r="C71" s="220"/>
      <c r="D71" s="220"/>
      <c r="F71" s="715"/>
    </row>
    <row r="72" spans="1:6">
      <c r="A72" s="713" t="s">
        <v>747</v>
      </c>
      <c r="B72" s="567" t="str">
        <f t="shared" ref="B72:D73" si="0">B4</f>
        <v xml:space="preserve">Prior Year </v>
      </c>
      <c r="C72" s="714" t="str">
        <f t="shared" si="0"/>
        <v xml:space="preserve">Current Year </v>
      </c>
      <c r="D72" s="566" t="str">
        <f t="shared" si="0"/>
        <v xml:space="preserve">Proposed Budget </v>
      </c>
      <c r="F72" s="715"/>
    </row>
    <row r="73" spans="1:6">
      <c r="A73" s="568" t="s">
        <v>290</v>
      </c>
      <c r="B73" s="250" t="str">
        <f t="shared" si="0"/>
        <v>Actual for 2012</v>
      </c>
      <c r="C73" s="250" t="str">
        <f t="shared" si="0"/>
        <v>Estimate for 2013</v>
      </c>
      <c r="D73" s="250" t="str">
        <f t="shared" si="0"/>
        <v>Year for 2014</v>
      </c>
    </row>
    <row r="74" spans="1:6">
      <c r="A74" s="225" t="s">
        <v>0</v>
      </c>
      <c r="B74" s="86"/>
      <c r="C74" s="86"/>
      <c r="D74" s="86"/>
    </row>
    <row r="75" spans="1:6">
      <c r="A75" s="279" t="s">
        <v>664</v>
      </c>
      <c r="B75" s="86"/>
      <c r="C75" s="86"/>
      <c r="D75" s="86"/>
    </row>
    <row r="76" spans="1:6">
      <c r="A76" s="280" t="s">
        <v>877</v>
      </c>
      <c r="B76" s="259">
        <v>2247</v>
      </c>
      <c r="C76" s="259">
        <v>3500</v>
      </c>
      <c r="D76" s="259">
        <v>2500</v>
      </c>
    </row>
    <row r="77" spans="1:6">
      <c r="A77" s="280" t="s">
        <v>878</v>
      </c>
      <c r="B77" s="259">
        <v>15044</v>
      </c>
      <c r="C77" s="259">
        <v>19500</v>
      </c>
      <c r="D77" s="259">
        <v>16000</v>
      </c>
    </row>
    <row r="78" spans="1:6">
      <c r="A78" s="280" t="s">
        <v>879</v>
      </c>
      <c r="B78" s="259">
        <v>1837</v>
      </c>
      <c r="C78" s="259">
        <v>2156</v>
      </c>
      <c r="D78" s="259">
        <v>2000</v>
      </c>
    </row>
    <row r="79" spans="1:6">
      <c r="A79" s="280" t="s">
        <v>880</v>
      </c>
      <c r="B79" s="259">
        <v>28</v>
      </c>
      <c r="C79" s="259">
        <v>100</v>
      </c>
      <c r="D79" s="259">
        <v>100</v>
      </c>
    </row>
    <row r="80" spans="1:6">
      <c r="A80" s="68"/>
      <c r="B80" s="259"/>
      <c r="C80" s="259"/>
      <c r="D80" s="259"/>
    </row>
    <row r="81" spans="1:4">
      <c r="A81" s="225" t="s">
        <v>719</v>
      </c>
      <c r="B81" s="264">
        <f>SUM(B76:B80)</f>
        <v>19156</v>
      </c>
      <c r="C81" s="264">
        <f>SUM(C76:C80)</f>
        <v>25256</v>
      </c>
      <c r="D81" s="264">
        <f>SUM(D76:D80)</f>
        <v>20600</v>
      </c>
    </row>
    <row r="82" spans="1:4">
      <c r="A82" s="281" t="s">
        <v>882</v>
      </c>
      <c r="B82" s="196"/>
      <c r="C82" s="196"/>
      <c r="D82" s="196"/>
    </row>
    <row r="83" spans="1:4">
      <c r="A83" s="280" t="s">
        <v>8</v>
      </c>
      <c r="B83" s="259"/>
      <c r="C83" s="259">
        <v>300</v>
      </c>
      <c r="D83" s="259">
        <v>300</v>
      </c>
    </row>
    <row r="84" spans="1:4">
      <c r="A84" s="280" t="s">
        <v>1</v>
      </c>
      <c r="B84" s="259"/>
      <c r="C84" s="259"/>
      <c r="D84" s="259"/>
    </row>
    <row r="85" spans="1:4">
      <c r="A85" s="280" t="s">
        <v>2</v>
      </c>
      <c r="B85" s="259"/>
      <c r="C85" s="259"/>
      <c r="D85" s="259"/>
    </row>
    <row r="86" spans="1:4">
      <c r="A86" s="280" t="s">
        <v>3</v>
      </c>
      <c r="B86" s="259"/>
      <c r="C86" s="259"/>
      <c r="D86" s="259"/>
    </row>
    <row r="87" spans="1:4">
      <c r="A87" s="280"/>
      <c r="B87" s="259"/>
      <c r="C87" s="259"/>
      <c r="D87" s="259"/>
    </row>
    <row r="88" spans="1:4">
      <c r="A88" s="225" t="s">
        <v>719</v>
      </c>
      <c r="B88" s="264">
        <f>SUM(B83:B87)</f>
        <v>0</v>
      </c>
      <c r="C88" s="264">
        <f>SUM(C83:C87)</f>
        <v>300</v>
      </c>
      <c r="D88" s="264">
        <f>SUM(D83:D87)</f>
        <v>300</v>
      </c>
    </row>
    <row r="89" spans="1:4">
      <c r="A89" s="281"/>
      <c r="B89" s="196"/>
      <c r="C89" s="196"/>
      <c r="D89" s="196"/>
    </row>
    <row r="90" spans="1:4">
      <c r="A90" s="280" t="s">
        <v>8</v>
      </c>
      <c r="B90" s="259"/>
      <c r="C90" s="259"/>
      <c r="D90" s="259"/>
    </row>
    <row r="91" spans="1:4">
      <c r="A91" s="280" t="s">
        <v>1</v>
      </c>
      <c r="B91" s="259"/>
      <c r="C91" s="259"/>
      <c r="D91" s="259"/>
    </row>
    <row r="92" spans="1:4">
      <c r="A92" s="280" t="s">
        <v>2</v>
      </c>
      <c r="B92" s="259"/>
      <c r="C92" s="259"/>
      <c r="D92" s="259"/>
    </row>
    <row r="93" spans="1:4">
      <c r="A93" s="280" t="s">
        <v>3</v>
      </c>
      <c r="B93" s="259"/>
      <c r="C93" s="259"/>
      <c r="D93" s="259"/>
    </row>
    <row r="94" spans="1:4">
      <c r="A94" s="280"/>
      <c r="B94" s="259"/>
      <c r="C94" s="259"/>
      <c r="D94" s="259"/>
    </row>
    <row r="95" spans="1:4">
      <c r="A95" s="225" t="s">
        <v>719</v>
      </c>
      <c r="B95" s="264">
        <f>SUM(B90:B94)</f>
        <v>0</v>
      </c>
      <c r="C95" s="264">
        <f>SUM(C90:C94)</f>
        <v>0</v>
      </c>
      <c r="D95" s="264">
        <f>SUM(D90:D94)</f>
        <v>0</v>
      </c>
    </row>
    <row r="96" spans="1:4">
      <c r="A96" s="281"/>
      <c r="B96" s="196"/>
      <c r="C96" s="196"/>
      <c r="D96" s="196"/>
    </row>
    <row r="97" spans="1:4">
      <c r="A97" s="280" t="s">
        <v>8</v>
      </c>
      <c r="B97" s="259"/>
      <c r="C97" s="259"/>
      <c r="D97" s="259"/>
    </row>
    <row r="98" spans="1:4">
      <c r="A98" s="280" t="s">
        <v>1</v>
      </c>
      <c r="B98" s="259"/>
      <c r="C98" s="259"/>
      <c r="D98" s="259"/>
    </row>
    <row r="99" spans="1:4">
      <c r="A99" s="280" t="s">
        <v>2</v>
      </c>
      <c r="B99" s="259"/>
      <c r="C99" s="259"/>
      <c r="D99" s="259"/>
    </row>
    <row r="100" spans="1:4">
      <c r="A100" s="280" t="s">
        <v>3</v>
      </c>
      <c r="B100" s="259"/>
      <c r="C100" s="259"/>
      <c r="D100" s="259"/>
    </row>
    <row r="101" spans="1:4">
      <c r="A101" s="225" t="s">
        <v>719</v>
      </c>
      <c r="B101" s="264">
        <f>SUM(B97:B100)</f>
        <v>0</v>
      </c>
      <c r="C101" s="264">
        <f>SUM(C97:C100)</f>
        <v>0</v>
      </c>
      <c r="D101" s="264">
        <f>SUM(D97:D100)</f>
        <v>0</v>
      </c>
    </row>
    <row r="102" spans="1:4">
      <c r="A102" s="281"/>
      <c r="B102" s="196"/>
      <c r="C102" s="196"/>
      <c r="D102" s="196"/>
    </row>
    <row r="103" spans="1:4">
      <c r="A103" s="280" t="s">
        <v>8</v>
      </c>
      <c r="B103" s="259"/>
      <c r="C103" s="259"/>
      <c r="D103" s="259"/>
    </row>
    <row r="104" spans="1:4">
      <c r="A104" s="280" t="s">
        <v>1</v>
      </c>
      <c r="B104" s="259"/>
      <c r="C104" s="259"/>
      <c r="D104" s="259"/>
    </row>
    <row r="105" spans="1:4">
      <c r="A105" s="280" t="s">
        <v>2</v>
      </c>
      <c r="B105" s="259"/>
      <c r="C105" s="259"/>
      <c r="D105" s="259"/>
    </row>
    <row r="106" spans="1:4">
      <c r="A106" s="280" t="s">
        <v>3</v>
      </c>
      <c r="B106" s="259"/>
      <c r="C106" s="259"/>
      <c r="D106" s="259"/>
    </row>
    <row r="107" spans="1:4">
      <c r="A107" s="280"/>
      <c r="B107" s="259"/>
      <c r="C107" s="259"/>
      <c r="D107" s="259"/>
    </row>
    <row r="108" spans="1:4">
      <c r="A108" s="225" t="s">
        <v>719</v>
      </c>
      <c r="B108" s="264">
        <f>SUM(B103:B107)</f>
        <v>0</v>
      </c>
      <c r="C108" s="264">
        <f>SUM(C103:C107)</f>
        <v>0</v>
      </c>
      <c r="D108" s="264">
        <f>SUM(D103:D107)</f>
        <v>0</v>
      </c>
    </row>
    <row r="109" spans="1:4">
      <c r="A109" s="281"/>
      <c r="B109" s="196"/>
      <c r="C109" s="196"/>
      <c r="D109" s="196"/>
    </row>
    <row r="110" spans="1:4">
      <c r="A110" s="280" t="s">
        <v>8</v>
      </c>
      <c r="B110" s="259"/>
      <c r="C110" s="259"/>
      <c r="D110" s="259"/>
    </row>
    <row r="111" spans="1:4">
      <c r="A111" s="280" t="s">
        <v>1</v>
      </c>
      <c r="B111" s="259"/>
      <c r="C111" s="259"/>
      <c r="D111" s="259"/>
    </row>
    <row r="112" spans="1:4">
      <c r="A112" s="280" t="s">
        <v>2</v>
      </c>
      <c r="B112" s="259"/>
      <c r="C112" s="259"/>
      <c r="D112" s="259"/>
    </row>
    <row r="113" spans="1:4">
      <c r="A113" s="280" t="s">
        <v>3</v>
      </c>
      <c r="B113" s="259"/>
      <c r="C113" s="259"/>
      <c r="D113" s="259"/>
    </row>
    <row r="114" spans="1:4">
      <c r="A114" s="280"/>
      <c r="B114" s="259"/>
      <c r="C114" s="259"/>
      <c r="D114" s="259"/>
    </row>
    <row r="115" spans="1:4">
      <c r="A115" s="225" t="s">
        <v>719</v>
      </c>
      <c r="B115" s="264">
        <f>SUM(B110:B114)</f>
        <v>0</v>
      </c>
      <c r="C115" s="264">
        <f>SUM(C110:C114)</f>
        <v>0</v>
      </c>
      <c r="D115" s="264">
        <f>SUM(D110:D114)</f>
        <v>0</v>
      </c>
    </row>
    <row r="116" spans="1:4">
      <c r="A116" s="281"/>
      <c r="B116" s="196"/>
      <c r="C116" s="196"/>
      <c r="D116" s="196"/>
    </row>
    <row r="117" spans="1:4">
      <c r="A117" s="280" t="s">
        <v>8</v>
      </c>
      <c r="B117" s="259"/>
      <c r="C117" s="259"/>
      <c r="D117" s="259"/>
    </row>
    <row r="118" spans="1:4">
      <c r="A118" s="280" t="s">
        <v>1</v>
      </c>
      <c r="B118" s="259"/>
      <c r="C118" s="259"/>
      <c r="D118" s="259"/>
    </row>
    <row r="119" spans="1:4">
      <c r="A119" s="280" t="s">
        <v>2</v>
      </c>
      <c r="B119" s="259"/>
      <c r="C119" s="259"/>
      <c r="D119" s="259"/>
    </row>
    <row r="120" spans="1:4">
      <c r="A120" s="280" t="s">
        <v>3</v>
      </c>
      <c r="B120" s="259"/>
      <c r="C120" s="259"/>
      <c r="D120" s="259"/>
    </row>
    <row r="121" spans="1:4">
      <c r="A121" s="280"/>
      <c r="B121" s="259"/>
      <c r="C121" s="259"/>
      <c r="D121" s="259"/>
    </row>
    <row r="122" spans="1:4">
      <c r="A122" s="225" t="s">
        <v>719</v>
      </c>
      <c r="B122" s="264">
        <f>SUM(B117:B121)</f>
        <v>0</v>
      </c>
      <c r="C122" s="264">
        <f>SUM(C117:C121)</f>
        <v>0</v>
      </c>
      <c r="D122" s="264">
        <f>SUM(D117:D121)</f>
        <v>0</v>
      </c>
    </row>
    <row r="123" spans="1:4">
      <c r="A123" s="281"/>
      <c r="B123" s="196"/>
      <c r="C123" s="196"/>
      <c r="D123" s="196"/>
    </row>
    <row r="124" spans="1:4">
      <c r="A124" s="280" t="s">
        <v>8</v>
      </c>
      <c r="B124" s="259"/>
      <c r="C124" s="259"/>
      <c r="D124" s="259"/>
    </row>
    <row r="125" spans="1:4">
      <c r="A125" s="280" t="s">
        <v>1</v>
      </c>
      <c r="B125" s="259"/>
      <c r="C125" s="259"/>
      <c r="D125" s="259"/>
    </row>
    <row r="126" spans="1:4">
      <c r="A126" s="280" t="s">
        <v>2</v>
      </c>
      <c r="B126" s="259"/>
      <c r="C126" s="259"/>
      <c r="D126" s="259"/>
    </row>
    <row r="127" spans="1:4">
      <c r="A127" s="280" t="s">
        <v>3</v>
      </c>
      <c r="B127" s="259"/>
      <c r="C127" s="259"/>
      <c r="D127" s="259"/>
    </row>
    <row r="128" spans="1:4">
      <c r="A128" s="280"/>
      <c r="B128" s="259"/>
      <c r="C128" s="259"/>
      <c r="D128" s="259"/>
    </row>
    <row r="129" spans="1:4">
      <c r="A129" s="225" t="s">
        <v>719</v>
      </c>
      <c r="B129" s="264">
        <f>SUM(B124:B128)</f>
        <v>0</v>
      </c>
      <c r="C129" s="264">
        <f>SUM(C124:C128)</f>
        <v>0</v>
      </c>
      <c r="D129" s="264">
        <f>SUM(D124:D128)</f>
        <v>0</v>
      </c>
    </row>
    <row r="130" spans="1:4">
      <c r="A130" s="225"/>
      <c r="B130" s="196"/>
      <c r="C130" s="196"/>
      <c r="D130" s="196"/>
    </row>
    <row r="131" spans="1:4">
      <c r="A131" s="64" t="s">
        <v>287</v>
      </c>
      <c r="B131" s="274">
        <f>B81+B88+B95+B101+B108+B115+B122+B129</f>
        <v>19156</v>
      </c>
      <c r="C131" s="274">
        <f>C81+C88+C95+C101+C108+C115+C122+C129</f>
        <v>25556</v>
      </c>
      <c r="D131" s="274">
        <f>D81+D88+D95+D101+D108+D115+D122+D129</f>
        <v>20900</v>
      </c>
    </row>
    <row r="132" spans="1:4">
      <c r="A132" s="225" t="s">
        <v>286</v>
      </c>
      <c r="B132" s="264">
        <f>B65</f>
        <v>93392.599999999991</v>
      </c>
      <c r="C132" s="264">
        <f>C65</f>
        <v>109034.8</v>
      </c>
      <c r="D132" s="264">
        <f>D65</f>
        <v>96800</v>
      </c>
    </row>
    <row r="133" spans="1:4" ht="16.5" thickBot="1">
      <c r="A133" s="225" t="s">
        <v>288</v>
      </c>
      <c r="B133" s="282">
        <f>SUM(B131:B132)</f>
        <v>112548.59999999999</v>
      </c>
      <c r="C133" s="282">
        <f>SUM(C131:C132)</f>
        <v>134590.79999999999</v>
      </c>
      <c r="D133" s="282">
        <f>SUM(D131:D132)</f>
        <v>117700</v>
      </c>
    </row>
    <row r="134" spans="1:4" ht="16.5" thickTop="1">
      <c r="A134" s="283" t="s">
        <v>689</v>
      </c>
      <c r="B134" s="196"/>
      <c r="C134" s="196"/>
      <c r="D134" s="196"/>
    </row>
    <row r="135" spans="1:4">
      <c r="A135" s="402" t="s">
        <v>7</v>
      </c>
      <c r="B135" s="196" t="str">
        <f ca="1">CONCATENATE("",general!C59,"c")</f>
        <v>8c</v>
      </c>
      <c r="C135" s="196"/>
      <c r="D135" s="196"/>
    </row>
  </sheetData>
  <sheetProtection sheet="1"/>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topLeftCell="A29" zoomScale="75" zoomScaleNormal="75" workbookViewId="0">
      <selection activeCell="H58" sqref="H58"/>
    </sheetView>
  </sheetViews>
  <sheetFormatPr defaultRowHeight="15.75"/>
  <cols>
    <col min="1" max="1" width="2.44140625" style="44" customWidth="1"/>
    <col min="2" max="2" width="31.109375" style="44" customWidth="1"/>
    <col min="3" max="4" width="15.77734375" style="44" customWidth="1"/>
    <col min="5" max="5" width="16.21875" style="44" customWidth="1"/>
    <col min="6" max="6" width="7.109375" style="44" customWidth="1"/>
    <col min="7" max="7" width="10.21875" style="44" customWidth="1"/>
    <col min="8" max="8" width="8.88671875" style="44"/>
    <col min="9" max="9" width="5" style="44" customWidth="1"/>
    <col min="10" max="10" width="10" style="44" customWidth="1"/>
    <col min="11" max="16384" width="8.88671875" style="44"/>
  </cols>
  <sheetData>
    <row r="1" spans="2:5">
      <c r="B1" s="400" t="str">
        <f ca="1">inputPrYr!D2</f>
        <v>City of Grainfield</v>
      </c>
      <c r="C1" s="400"/>
      <c r="D1" s="386"/>
      <c r="E1" s="394">
        <f ca="1">inputPrYr!C5</f>
        <v>2014</v>
      </c>
    </row>
    <row r="2" spans="2:5">
      <c r="B2" s="386"/>
      <c r="C2" s="386"/>
      <c r="D2" s="386"/>
      <c r="E2" s="402"/>
    </row>
    <row r="3" spans="2:5">
      <c r="B3" s="389" t="s">
        <v>55</v>
      </c>
      <c r="C3" s="389"/>
      <c r="D3" s="404"/>
      <c r="E3" s="395"/>
    </row>
    <row r="4" spans="2:5">
      <c r="B4" s="388" t="s">
        <v>747</v>
      </c>
      <c r="C4" s="710" t="s">
        <v>789</v>
      </c>
      <c r="D4" s="711" t="s">
        <v>790</v>
      </c>
      <c r="E4" s="143" t="s">
        <v>791</v>
      </c>
    </row>
    <row r="5" spans="2:5">
      <c r="B5" s="431" t="s">
        <v>688</v>
      </c>
      <c r="C5" s="224" t="str">
        <f>CONCATENATE("Actual for ",E1-2,"")</f>
        <v>Actual for 2012</v>
      </c>
      <c r="D5" s="224" t="str">
        <f>CONCATENATE("Estimate for ",E1-1,"")</f>
        <v>Estimate for 2013</v>
      </c>
      <c r="E5" s="207" t="str">
        <f>CONCATENATE("Year for ",E1,"")</f>
        <v>Year for 2014</v>
      </c>
    </row>
    <row r="6" spans="2:5">
      <c r="B6" s="396" t="s">
        <v>110</v>
      </c>
      <c r="C6" s="427"/>
      <c r="D6" s="426">
        <f>C34</f>
        <v>0</v>
      </c>
      <c r="E6" s="397">
        <f>D34</f>
        <v>0</v>
      </c>
    </row>
    <row r="7" spans="2:5">
      <c r="B7" s="396" t="s">
        <v>112</v>
      </c>
      <c r="C7" s="398"/>
      <c r="D7" s="426"/>
      <c r="E7" s="397"/>
    </row>
    <row r="8" spans="2:5">
      <c r="B8" s="396" t="s">
        <v>748</v>
      </c>
      <c r="C8" s="424"/>
      <c r="D8" s="426">
        <f ca="1">IF(inputPrYr!H16,inputPrYr!G18,inputPrYr!E18)</f>
        <v>0</v>
      </c>
      <c r="E8" s="413" t="s">
        <v>736</v>
      </c>
    </row>
    <row r="9" spans="2:5">
      <c r="B9" s="396" t="s">
        <v>749</v>
      </c>
      <c r="C9" s="424"/>
      <c r="D9" s="428"/>
      <c r="E9" s="390"/>
    </row>
    <row r="10" spans="2:5">
      <c r="B10" s="396" t="s">
        <v>750</v>
      </c>
      <c r="C10" s="424"/>
      <c r="D10" s="428"/>
      <c r="E10" s="397" t="str">
        <f ca="1">mvalloc!D8</f>
        <v xml:space="preserve">  </v>
      </c>
    </row>
    <row r="11" spans="2:5">
      <c r="B11" s="396" t="s">
        <v>751</v>
      </c>
      <c r="C11" s="424"/>
      <c r="D11" s="428"/>
      <c r="E11" s="397" t="str">
        <f ca="1">mvalloc!E8</f>
        <v xml:space="preserve"> </v>
      </c>
    </row>
    <row r="12" spans="2:5">
      <c r="B12" s="399" t="s">
        <v>87</v>
      </c>
      <c r="C12" s="424"/>
      <c r="D12" s="428"/>
      <c r="E12" s="397" t="str">
        <f ca="1">mvalloc!F8</f>
        <v xml:space="preserve"> </v>
      </c>
    </row>
    <row r="13" spans="2:5">
      <c r="B13" s="415"/>
      <c r="C13" s="424"/>
      <c r="D13" s="428"/>
      <c r="E13" s="390"/>
    </row>
    <row r="14" spans="2:5">
      <c r="B14" s="415"/>
      <c r="C14" s="424"/>
      <c r="D14" s="428"/>
      <c r="E14" s="390"/>
    </row>
    <row r="15" spans="2:5">
      <c r="B15" s="415"/>
      <c r="C15" s="424"/>
      <c r="D15" s="428"/>
      <c r="E15" s="390"/>
    </row>
    <row r="16" spans="2:5">
      <c r="B16" s="415"/>
      <c r="C16" s="424"/>
      <c r="D16" s="428"/>
      <c r="E16" s="390"/>
    </row>
    <row r="17" spans="2:10">
      <c r="B17" s="410"/>
      <c r="C17" s="424"/>
      <c r="D17" s="428"/>
      <c r="E17" s="390"/>
      <c r="F17" s="385"/>
      <c r="G17" s="385"/>
      <c r="H17" s="385"/>
      <c r="I17" s="385"/>
    </row>
    <row r="18" spans="2:10">
      <c r="B18" s="396" t="s">
        <v>655</v>
      </c>
      <c r="C18" s="256"/>
      <c r="D18" s="256"/>
      <c r="E18" s="66"/>
      <c r="F18" s="385"/>
      <c r="G18" s="385"/>
      <c r="H18" s="385"/>
      <c r="I18" s="385"/>
    </row>
    <row r="19" spans="2:10">
      <c r="B19" s="396" t="s">
        <v>507</v>
      </c>
      <c r="C19" s="261" t="str">
        <f>IF(C20*0.1&lt;C18,"Exceed 10% Rule","")</f>
        <v/>
      </c>
      <c r="D19" s="261" t="str">
        <f>IF(D20*0.1&lt;D18,"Exceed 10% Rule","")</f>
        <v/>
      </c>
      <c r="E19" s="298" t="str">
        <f>IF(E20*0.1+E40&lt;E18,"Exceed 10% Rule","")</f>
        <v/>
      </c>
      <c r="F19" s="385"/>
      <c r="G19" s="385"/>
      <c r="H19" s="385"/>
      <c r="I19" s="385"/>
    </row>
    <row r="20" spans="2:10">
      <c r="B20" s="406" t="s">
        <v>754</v>
      </c>
      <c r="C20" s="429">
        <f>SUM(C8:C18)</f>
        <v>0</v>
      </c>
      <c r="D20" s="429">
        <f>SUM(D8:D18)</f>
        <v>0</v>
      </c>
      <c r="E20" s="416">
        <f>SUM(E9:E18)</f>
        <v>0</v>
      </c>
      <c r="F20" s="385"/>
      <c r="G20" s="385"/>
      <c r="H20" s="385"/>
      <c r="I20" s="385"/>
    </row>
    <row r="21" spans="2:10">
      <c r="B21" s="406" t="s">
        <v>755</v>
      </c>
      <c r="C21" s="429">
        <f>SUM(C6+C20)</f>
        <v>0</v>
      </c>
      <c r="D21" s="429">
        <f>SUM(D6+D20)</f>
        <v>0</v>
      </c>
      <c r="E21" s="416">
        <f>SUM(E6+E20)</f>
        <v>0</v>
      </c>
      <c r="F21" s="385"/>
      <c r="G21" s="385"/>
      <c r="H21" s="385"/>
      <c r="I21" s="385"/>
    </row>
    <row r="22" spans="2:10">
      <c r="B22" s="396" t="s">
        <v>0</v>
      </c>
      <c r="C22" s="396"/>
      <c r="D22" s="426"/>
      <c r="E22" s="397"/>
      <c r="F22" s="385"/>
      <c r="G22" s="385"/>
      <c r="H22" s="385"/>
      <c r="I22" s="385"/>
    </row>
    <row r="23" spans="2:10">
      <c r="B23" s="415"/>
      <c r="C23" s="491"/>
      <c r="D23" s="428"/>
      <c r="E23" s="390"/>
      <c r="F23" s="385"/>
      <c r="G23" s="385"/>
      <c r="H23" s="385"/>
      <c r="I23" s="385"/>
    </row>
    <row r="24" spans="2:10">
      <c r="B24" s="415"/>
      <c r="C24" s="491"/>
      <c r="D24" s="428"/>
      <c r="E24" s="390"/>
      <c r="F24" s="385"/>
      <c r="G24" s="801" t="str">
        <f>CONCATENATE("Desired Carryover Into ",E1+1,"")</f>
        <v>Desired Carryover Into 2015</v>
      </c>
      <c r="H24" s="796"/>
      <c r="I24" s="796"/>
      <c r="J24" s="797"/>
    </row>
    <row r="25" spans="2:10">
      <c r="B25" s="415"/>
      <c r="C25" s="491"/>
      <c r="D25" s="428"/>
      <c r="E25" s="390"/>
      <c r="F25" s="385"/>
      <c r="G25" s="648"/>
      <c r="H25" s="75"/>
      <c r="I25" s="649"/>
      <c r="J25" s="650"/>
    </row>
    <row r="26" spans="2:10">
      <c r="B26" s="415"/>
      <c r="C26" s="491"/>
      <c r="D26" s="428"/>
      <c r="E26" s="390"/>
      <c r="F26" s="385"/>
      <c r="G26" s="651" t="s">
        <v>495</v>
      </c>
      <c r="H26" s="649"/>
      <c r="I26" s="649"/>
      <c r="J26" s="652">
        <v>0</v>
      </c>
    </row>
    <row r="27" spans="2:10">
      <c r="B27" s="415"/>
      <c r="C27" s="491"/>
      <c r="D27" s="428"/>
      <c r="E27" s="390"/>
      <c r="F27" s="385"/>
      <c r="G27" s="648" t="s">
        <v>496</v>
      </c>
      <c r="H27" s="75"/>
      <c r="I27" s="75"/>
      <c r="J27" s="653" t="str">
        <f ca="1">IF(J26=0,"",ROUND((J26+E40-G39)/inputOth!E7*1000,3)-G44)</f>
        <v/>
      </c>
    </row>
    <row r="28" spans="2:10">
      <c r="B28" s="415"/>
      <c r="C28" s="491"/>
      <c r="D28" s="428"/>
      <c r="E28" s="390"/>
      <c r="F28" s="385"/>
      <c r="G28" s="654" t="str">
        <f>CONCATENATE("",E1," Tot Exp/Non-Appr Must Be:")</f>
        <v>2014 Tot Exp/Non-Appr Must Be:</v>
      </c>
      <c r="H28" s="655"/>
      <c r="I28" s="656"/>
      <c r="J28" s="657">
        <f>IF(J26&gt;0,IF(E37&lt;E21,IF(J26=G39,E37,((J26-G39)*(1-D39))+E21),E37+(J26-G39)),0)</f>
        <v>0</v>
      </c>
    </row>
    <row r="29" spans="2:10">
      <c r="B29" s="415"/>
      <c r="C29" s="491"/>
      <c r="D29" s="428"/>
      <c r="E29" s="390"/>
      <c r="F29" s="385"/>
      <c r="G29" s="658" t="s">
        <v>615</v>
      </c>
      <c r="H29" s="659"/>
      <c r="I29" s="659"/>
      <c r="J29" s="660">
        <f>IF(J26&gt;0,J28-E37,0)</f>
        <v>0</v>
      </c>
    </row>
    <row r="30" spans="2:10">
      <c r="B30" s="412" t="s">
        <v>654</v>
      </c>
      <c r="C30" s="491"/>
      <c r="D30" s="428"/>
      <c r="E30" s="397" t="str">
        <f ca="1">nhood!E7</f>
        <v/>
      </c>
      <c r="F30" s="385"/>
      <c r="G30" s="385"/>
      <c r="H30" s="385"/>
      <c r="I30" s="385"/>
    </row>
    <row r="31" spans="2:10">
      <c r="B31" s="412" t="s">
        <v>655</v>
      </c>
      <c r="C31" s="491"/>
      <c r="D31" s="428"/>
      <c r="E31" s="390"/>
      <c r="F31" s="385"/>
      <c r="G31" s="800" t="str">
        <f>CONCATENATE("Projected Carryover Into ",E1+1,"")</f>
        <v>Projected Carryover Into 2015</v>
      </c>
      <c r="H31" s="796"/>
      <c r="I31" s="796"/>
      <c r="J31" s="797"/>
    </row>
    <row r="32" spans="2:10">
      <c r="B32" s="412" t="s">
        <v>509</v>
      </c>
      <c r="C32" s="261" t="str">
        <f>IF(C33*0.1&lt;C31,"Exceed 10% Rule","")</f>
        <v/>
      </c>
      <c r="D32" s="261" t="str">
        <f>IF(D33*0.1&lt;D31,"Exceed 10% Rule","")</f>
        <v/>
      </c>
      <c r="E32" s="298" t="str">
        <f>IF(E33*0.1&lt;E31,"Exceed 10% Rule","")</f>
        <v/>
      </c>
      <c r="F32" s="385"/>
      <c r="G32" s="417"/>
      <c r="H32" s="535"/>
      <c r="I32" s="535"/>
      <c r="J32" s="644"/>
    </row>
    <row r="33" spans="2:10">
      <c r="B33" s="406" t="s">
        <v>4</v>
      </c>
      <c r="C33" s="425">
        <f>SUM(C23:C31)</f>
        <v>0</v>
      </c>
      <c r="D33" s="425">
        <f>SUM(D23:D31)</f>
        <v>0</v>
      </c>
      <c r="E33" s="411">
        <f>SUM(E23:E31)</f>
        <v>0</v>
      </c>
      <c r="F33" s="385"/>
      <c r="G33" s="421">
        <f>D34</f>
        <v>0</v>
      </c>
      <c r="H33" s="423" t="str">
        <f>CONCATENATE("",E1-1," Ending Cash Balance (est.)")</f>
        <v>2013 Ending Cash Balance (est.)</v>
      </c>
      <c r="I33" s="418"/>
      <c r="J33" s="644"/>
    </row>
    <row r="34" spans="2:10">
      <c r="B34" s="396" t="s">
        <v>111</v>
      </c>
      <c r="C34" s="430">
        <f>SUM(C21-C33)</f>
        <v>0</v>
      </c>
      <c r="D34" s="430">
        <f>SUM(D21-D33)</f>
        <v>0</v>
      </c>
      <c r="E34" s="413" t="s">
        <v>736</v>
      </c>
      <c r="F34" s="385"/>
      <c r="G34" s="421">
        <f>E20</f>
        <v>0</v>
      </c>
      <c r="H34" s="422" t="str">
        <f>CONCATENATE("",E1," Non-AV Receipts (est.)")</f>
        <v>2014 Non-AV Receipts (est.)</v>
      </c>
      <c r="I34" s="535"/>
      <c r="J34" s="644"/>
    </row>
    <row r="35" spans="2:10">
      <c r="B35" s="401" t="str">
        <f>CONCATENATE("",E1-2,"/",E1-1," Budget Authority Amount:")</f>
        <v>2012/2013 Budget Authority Amount:</v>
      </c>
      <c r="C35" s="403">
        <f ca="1">inputOth!B61</f>
        <v>0</v>
      </c>
      <c r="D35" s="407">
        <f ca="1">inputPrYr!D18</f>
        <v>0</v>
      </c>
      <c r="E35" s="413" t="s">
        <v>736</v>
      </c>
      <c r="F35" s="408"/>
      <c r="G35" s="420">
        <f>IF(E39&gt;0,E38,E40)</f>
        <v>0</v>
      </c>
      <c r="H35" s="422" t="str">
        <f>CONCATENATE("",E1," Ad Valorem Tax (est.)")</f>
        <v>2014 Ad Valorem Tax (est.)</v>
      </c>
      <c r="I35" s="535"/>
      <c r="J35" s="644"/>
    </row>
    <row r="36" spans="2:10">
      <c r="B36" s="401"/>
      <c r="C36" s="790" t="s">
        <v>395</v>
      </c>
      <c r="D36" s="791"/>
      <c r="E36" s="66"/>
      <c r="F36" s="436" t="str">
        <f>IF(E33/0.95-E33&lt;E36,"Exceeds 5%","")</f>
        <v/>
      </c>
      <c r="G36" s="421">
        <f>SUM(G33:G35)</f>
        <v>0</v>
      </c>
      <c r="H36" s="422" t="str">
        <f>CONCATENATE("Total ",E1," Resources Available")</f>
        <v>Total 2014 Resources Available</v>
      </c>
      <c r="I36" s="418"/>
      <c r="J36" s="644"/>
    </row>
    <row r="37" spans="2:10">
      <c r="B37" s="528" t="str">
        <f>CONCATENATE(C93,"     ",D93)</f>
        <v xml:space="preserve">     </v>
      </c>
      <c r="C37" s="792" t="s">
        <v>396</v>
      </c>
      <c r="D37" s="793"/>
      <c r="E37" s="397">
        <f>SUM(E33+E36)</f>
        <v>0</v>
      </c>
      <c r="F37" s="385"/>
      <c r="G37" s="419"/>
      <c r="H37" s="422"/>
      <c r="I37" s="535"/>
      <c r="J37" s="644"/>
    </row>
    <row r="38" spans="2:10">
      <c r="B38" s="528" t="str">
        <f>CONCATENATE(C94,"     ",D94)</f>
        <v xml:space="preserve">     </v>
      </c>
      <c r="C38" s="409"/>
      <c r="D38" s="402" t="s">
        <v>5</v>
      </c>
      <c r="E38" s="391">
        <f>IF(E37-E21&gt;0,E37-E21,0)</f>
        <v>0</v>
      </c>
      <c r="F38" s="385"/>
      <c r="G38" s="420">
        <f>C33</f>
        <v>0</v>
      </c>
      <c r="H38" s="422" t="str">
        <f>CONCATENATE("Less ",E1-2," Expenditures")</f>
        <v>Less 2012 Expenditures</v>
      </c>
      <c r="I38" s="535"/>
      <c r="J38" s="644"/>
    </row>
    <row r="39" spans="2:10">
      <c r="B39" s="402"/>
      <c r="C39" s="384" t="s">
        <v>394</v>
      </c>
      <c r="D39" s="724">
        <f ca="1">inputOth!$E$47</f>
        <v>0.01</v>
      </c>
      <c r="E39" s="397">
        <f>ROUND(IF(D39&gt;0,(E38*D39),0),0)</f>
        <v>0</v>
      </c>
      <c r="F39" s="385"/>
      <c r="G39" s="641">
        <f>SUM(G36-G38)</f>
        <v>0</v>
      </c>
      <c r="H39" s="642" t="str">
        <f>CONCATENATE("Projected ",E1+1," carryover (est.)")</f>
        <v>Projected 2015 carryover (est.)</v>
      </c>
      <c r="I39" s="643"/>
      <c r="J39" s="629"/>
    </row>
    <row r="40" spans="2:10" ht="16.5" thickBot="1">
      <c r="B40" s="386"/>
      <c r="C40" s="798" t="str">
        <f>CONCATENATE("Amount of  ",E1-1," Ad Valorem Tax")</f>
        <v>Amount of  2013 Ad Valorem Tax</v>
      </c>
      <c r="D40" s="799"/>
      <c r="E40" s="645">
        <f>SUM(E38:E39)</f>
        <v>0</v>
      </c>
      <c r="F40" s="385"/>
    </row>
    <row r="41" spans="2:10" ht="17.25" thickTop="1">
      <c r="B41" s="386"/>
      <c r="C41" s="605"/>
      <c r="D41" s="392"/>
      <c r="E41" s="392"/>
      <c r="F41" s="385"/>
      <c r="G41" s="784" t="s">
        <v>614</v>
      </c>
      <c r="H41" s="785"/>
      <c r="I41" s="785"/>
      <c r="J41" s="786"/>
    </row>
    <row r="42" spans="2:10">
      <c r="B42" s="388"/>
      <c r="C42" s="388"/>
      <c r="D42" s="404"/>
      <c r="E42" s="404"/>
      <c r="F42" s="385"/>
      <c r="G42" s="630"/>
      <c r="H42" s="631"/>
      <c r="I42" s="632"/>
      <c r="J42" s="633"/>
    </row>
    <row r="43" spans="2:10">
      <c r="B43" s="388" t="s">
        <v>747</v>
      </c>
      <c r="C43" s="710" t="s">
        <v>789</v>
      </c>
      <c r="D43" s="711" t="s">
        <v>790</v>
      </c>
      <c r="E43" s="143" t="s">
        <v>791</v>
      </c>
      <c r="F43" s="385"/>
      <c r="G43" s="634" t="str">
        <f ca="1">summ!H16</f>
        <v xml:space="preserve">  </v>
      </c>
      <c r="H43" s="631" t="str">
        <f>CONCATENATE("",E1," Fund Mill Rate")</f>
        <v>2014 Fund Mill Rate</v>
      </c>
      <c r="I43" s="632"/>
      <c r="J43" s="633"/>
    </row>
    <row r="44" spans="2:10">
      <c r="B44" s="432" t="str">
        <f ca="1">inputPrYr!B19</f>
        <v>Library</v>
      </c>
      <c r="C44" s="224" t="str">
        <f>CONCATENATE("Actual for ",E1-2,"")</f>
        <v>Actual for 2012</v>
      </c>
      <c r="D44" s="224" t="str">
        <f>CONCATENATE("Estimate for ",E1-1,"")</f>
        <v>Estimate for 2013</v>
      </c>
      <c r="E44" s="207" t="str">
        <f>CONCATENATE("Year for ",E1,"")</f>
        <v>Year for 2014</v>
      </c>
      <c r="F44" s="385"/>
      <c r="G44" s="635" t="str">
        <f ca="1">summ!E16</f>
        <v xml:space="preserve">  </v>
      </c>
      <c r="H44" s="631" t="str">
        <f>CONCATENATE("",E1-1," Fund Mill Rate")</f>
        <v>2013 Fund Mill Rate</v>
      </c>
      <c r="I44" s="632"/>
      <c r="J44" s="633"/>
    </row>
    <row r="45" spans="2:10">
      <c r="B45" s="396" t="s">
        <v>110</v>
      </c>
      <c r="C45" s="424">
        <v>1459</v>
      </c>
      <c r="D45" s="426">
        <f>C74</f>
        <v>2222</v>
      </c>
      <c r="E45" s="397">
        <f>D74</f>
        <v>958</v>
      </c>
      <c r="F45" s="385"/>
      <c r="G45" s="636">
        <f ca="1">summ!H52</f>
        <v>32.186</v>
      </c>
      <c r="H45" s="631" t="str">
        <f>CONCATENATE("Total ",E1," Mill Rate")</f>
        <v>Total 2014 Mill Rate</v>
      </c>
      <c r="I45" s="632"/>
      <c r="J45" s="633"/>
    </row>
    <row r="46" spans="2:10">
      <c r="B46" s="405" t="s">
        <v>112</v>
      </c>
      <c r="C46" s="396"/>
      <c r="D46" s="426"/>
      <c r="E46" s="397"/>
      <c r="F46" s="385"/>
      <c r="G46" s="635">
        <f ca="1">summ!E52</f>
        <v>32.481999999999999</v>
      </c>
      <c r="H46" s="637" t="str">
        <f>CONCATENATE("Total ",E1-1," Mill Rate")</f>
        <v>Total 2013 Mill Rate</v>
      </c>
      <c r="I46" s="638"/>
      <c r="J46" s="639"/>
    </row>
    <row r="47" spans="2:10">
      <c r="B47" s="396" t="s">
        <v>748</v>
      </c>
      <c r="C47" s="424">
        <v>3566</v>
      </c>
      <c r="D47" s="426">
        <f ca="1">IF(inputPrYr!H16&gt;0,inputPrYr!G19,inputPrYr!E19)</f>
        <v>3713</v>
      </c>
      <c r="E47" s="413" t="s">
        <v>736</v>
      </c>
      <c r="F47" s="385"/>
      <c r="G47" s="385"/>
      <c r="H47" s="385"/>
      <c r="I47" s="385"/>
    </row>
    <row r="48" spans="2:10">
      <c r="B48" s="396" t="s">
        <v>749</v>
      </c>
      <c r="C48" s="424">
        <v>0</v>
      </c>
      <c r="D48" s="428"/>
      <c r="E48" s="390"/>
      <c r="F48" s="385"/>
      <c r="G48" s="741" t="s">
        <v>845</v>
      </c>
      <c r="H48" s="740"/>
      <c r="I48" s="739" t="str">
        <f ca="1">cert!F58</f>
        <v>No</v>
      </c>
    </row>
    <row r="49" spans="2:10">
      <c r="B49" s="396" t="s">
        <v>750</v>
      </c>
      <c r="C49" s="424">
        <v>661</v>
      </c>
      <c r="D49" s="428"/>
      <c r="E49" s="397">
        <f ca="1">mvalloc!D9</f>
        <v>689</v>
      </c>
      <c r="F49" s="385"/>
      <c r="G49" s="385"/>
      <c r="H49" s="385"/>
      <c r="I49" s="385"/>
    </row>
    <row r="50" spans="2:10">
      <c r="B50" s="396" t="s">
        <v>751</v>
      </c>
      <c r="C50" s="424">
        <v>9</v>
      </c>
      <c r="D50" s="428"/>
      <c r="E50" s="397">
        <f ca="1">mvalloc!E9</f>
        <v>35</v>
      </c>
      <c r="F50" s="385"/>
      <c r="G50" s="385"/>
      <c r="H50" s="385"/>
      <c r="I50" s="385"/>
    </row>
    <row r="51" spans="2:10">
      <c r="B51" s="399" t="s">
        <v>87</v>
      </c>
      <c r="C51" s="424">
        <v>27</v>
      </c>
      <c r="D51" s="428"/>
      <c r="E51" s="397">
        <f ca="1">mvalloc!F9</f>
        <v>7</v>
      </c>
    </row>
    <row r="52" spans="2:10">
      <c r="B52" s="390"/>
      <c r="C52" s="424"/>
      <c r="D52" s="428"/>
      <c r="E52" s="390"/>
    </row>
    <row r="53" spans="2:10">
      <c r="B53" s="390"/>
      <c r="C53" s="424"/>
      <c r="D53" s="428"/>
      <c r="E53" s="390"/>
    </row>
    <row r="54" spans="2:10">
      <c r="B54" s="390"/>
      <c r="C54" s="424"/>
      <c r="D54" s="428"/>
      <c r="E54" s="390"/>
    </row>
    <row r="55" spans="2:10">
      <c r="B55" s="415"/>
      <c r="C55" s="424"/>
      <c r="D55" s="428"/>
      <c r="E55" s="390"/>
    </row>
    <row r="56" spans="2:10">
      <c r="B56" s="415"/>
      <c r="C56" s="424"/>
      <c r="D56" s="428"/>
      <c r="E56" s="390"/>
    </row>
    <row r="57" spans="2:10">
      <c r="B57" s="410" t="s">
        <v>753</v>
      </c>
      <c r="C57" s="424"/>
      <c r="D57" s="428"/>
      <c r="E57" s="390"/>
    </row>
    <row r="58" spans="2:10">
      <c r="B58" s="396" t="s">
        <v>655</v>
      </c>
      <c r="C58" s="424"/>
      <c r="D58" s="256"/>
      <c r="E58" s="66"/>
    </row>
    <row r="59" spans="2:10">
      <c r="B59" s="396" t="s">
        <v>507</v>
      </c>
      <c r="C59" s="261" t="str">
        <f>IF(C60*0.1&lt;C58,"Exceed 10% Rule","")</f>
        <v/>
      </c>
      <c r="D59" s="261" t="str">
        <f>IF(D60*0.1&lt;D58,"Exceed 10% Rule","")</f>
        <v/>
      </c>
      <c r="E59" s="298" t="str">
        <f>IF(E60*0.1+E80&lt;E58,"Exceed 10% Rule","")</f>
        <v/>
      </c>
    </row>
    <row r="60" spans="2:10">
      <c r="B60" s="406" t="s">
        <v>754</v>
      </c>
      <c r="C60" s="425">
        <f>SUM(C47:C58)</f>
        <v>4263</v>
      </c>
      <c r="D60" s="425">
        <f>SUM(D47:D58)</f>
        <v>3713</v>
      </c>
      <c r="E60" s="411">
        <f>SUM(E48:E58)</f>
        <v>731</v>
      </c>
    </row>
    <row r="61" spans="2:10">
      <c r="B61" s="406" t="s">
        <v>755</v>
      </c>
      <c r="C61" s="425">
        <f>SUM(C45+C60)</f>
        <v>5722</v>
      </c>
      <c r="D61" s="425">
        <f>SUM(D45+D60)</f>
        <v>5935</v>
      </c>
      <c r="E61" s="411">
        <f>SUM(E45+E60)</f>
        <v>1689</v>
      </c>
    </row>
    <row r="62" spans="2:10">
      <c r="B62" s="396" t="s">
        <v>0</v>
      </c>
      <c r="C62" s="396"/>
      <c r="D62" s="426"/>
      <c r="E62" s="397"/>
    </row>
    <row r="63" spans="2:10">
      <c r="B63" s="415" t="s">
        <v>876</v>
      </c>
      <c r="C63" s="424">
        <v>3500</v>
      </c>
      <c r="D63" s="428">
        <v>4977</v>
      </c>
      <c r="E63" s="390">
        <v>5500</v>
      </c>
    </row>
    <row r="64" spans="2:10">
      <c r="B64" s="415"/>
      <c r="C64" s="424"/>
      <c r="D64" s="428"/>
      <c r="E64" s="390"/>
      <c r="F64" s="2"/>
      <c r="G64" s="801" t="str">
        <f>CONCATENATE("Desired Carryover Into ",E1+1,"")</f>
        <v>Desired Carryover Into 2015</v>
      </c>
      <c r="H64" s="796"/>
      <c r="I64" s="796"/>
      <c r="J64" s="797"/>
    </row>
    <row r="65" spans="2:11">
      <c r="B65" s="415"/>
      <c r="C65" s="424"/>
      <c r="D65" s="428"/>
      <c r="E65" s="390"/>
      <c r="F65" s="2"/>
      <c r="G65" s="648"/>
      <c r="H65" s="75"/>
      <c r="I65" s="649"/>
      <c r="J65" s="650"/>
    </row>
    <row r="66" spans="2:11">
      <c r="B66" s="415"/>
      <c r="C66" s="424"/>
      <c r="D66" s="428"/>
      <c r="E66" s="390"/>
      <c r="F66" s="2"/>
      <c r="G66" s="651" t="s">
        <v>495</v>
      </c>
      <c r="H66" s="649"/>
      <c r="I66" s="649"/>
      <c r="J66" s="652">
        <v>0</v>
      </c>
    </row>
    <row r="67" spans="2:11">
      <c r="B67" s="415"/>
      <c r="C67" s="424"/>
      <c r="D67" s="428"/>
      <c r="E67" s="390"/>
      <c r="F67" s="2"/>
      <c r="G67" s="648" t="s">
        <v>496</v>
      </c>
      <c r="H67" s="75"/>
      <c r="I67" s="75"/>
      <c r="J67" s="653" t="str">
        <f ca="1">IF(J66=0,"",ROUND((J66+E80-G79)/inputOth!E7*1000,3)-G84)</f>
        <v/>
      </c>
    </row>
    <row r="68" spans="2:11">
      <c r="B68" s="415"/>
      <c r="C68" s="424"/>
      <c r="D68" s="428"/>
      <c r="E68" s="390"/>
      <c r="F68" s="2"/>
      <c r="G68" s="654" t="str">
        <f>CONCATENATE("",E1," Tot Exp/Non-Appr Must Be:")</f>
        <v>2014 Tot Exp/Non-Appr Must Be:</v>
      </c>
      <c r="H68" s="655"/>
      <c r="I68" s="656"/>
      <c r="J68" s="657">
        <f>IF(J66&gt;0,IF(E77&lt;E61,IF(J66=G79,E77,((J66-G79)*(1-D79))+E61),E77+(J66-G79)),0)</f>
        <v>0</v>
      </c>
    </row>
    <row r="69" spans="2:11">
      <c r="B69" s="415"/>
      <c r="C69" s="424"/>
      <c r="D69" s="428"/>
      <c r="E69" s="390"/>
      <c r="F69" s="2"/>
      <c r="G69" s="658" t="s">
        <v>615</v>
      </c>
      <c r="H69" s="659"/>
      <c r="I69" s="659"/>
      <c r="J69" s="660">
        <f>IF(J66&gt;0,J68-E77,0)</f>
        <v>0</v>
      </c>
    </row>
    <row r="70" spans="2:11">
      <c r="B70" s="399" t="s">
        <v>654</v>
      </c>
      <c r="C70" s="424"/>
      <c r="D70" s="428"/>
      <c r="E70" s="397" t="str">
        <f ca="1">nhood!E8</f>
        <v/>
      </c>
      <c r="F70"/>
      <c r="G70" s="2"/>
      <c r="H70" s="2"/>
      <c r="I70" s="2"/>
      <c r="J70" s="2"/>
    </row>
    <row r="71" spans="2:11">
      <c r="B71" s="399" t="s">
        <v>655</v>
      </c>
      <c r="C71" s="491"/>
      <c r="D71" s="428"/>
      <c r="E71" s="390"/>
      <c r="F71"/>
      <c r="G71" s="801" t="str">
        <f>CONCATENATE("Projected Carryover Into ",E1+1,"")</f>
        <v>Projected Carryover Into 2015</v>
      </c>
      <c r="H71" s="802"/>
      <c r="I71" s="802"/>
      <c r="J71" s="803"/>
    </row>
    <row r="72" spans="2:11">
      <c r="B72" s="399" t="s">
        <v>508</v>
      </c>
      <c r="C72" s="261" t="str">
        <f>IF(C73*0.1&lt;C71,"Exceed 10% Rule","")</f>
        <v/>
      </c>
      <c r="D72" s="261" t="str">
        <f>IF(D73*0.1&lt;D71,"Exceed 10% Rule","")</f>
        <v/>
      </c>
      <c r="E72" s="298" t="str">
        <f>IF(E73*0.1&lt;E71,"Exceed 10% Rule","")</f>
        <v/>
      </c>
      <c r="F72"/>
      <c r="G72" s="661"/>
      <c r="H72" s="75"/>
      <c r="I72" s="75"/>
      <c r="J72" s="662"/>
    </row>
    <row r="73" spans="2:11">
      <c r="B73" s="406" t="s">
        <v>4</v>
      </c>
      <c r="C73" s="425">
        <f>SUM(C63:C71)</f>
        <v>3500</v>
      </c>
      <c r="D73" s="425">
        <f>SUM(D63:D71)</f>
        <v>4977</v>
      </c>
      <c r="E73" s="411">
        <f>SUM(E63:E71)</f>
        <v>5500</v>
      </c>
      <c r="F73"/>
      <c r="G73" s="663">
        <f>D74</f>
        <v>958</v>
      </c>
      <c r="H73" s="631" t="str">
        <f>CONCATENATE("",E1-1," Ending Cash Balance (est.)")</f>
        <v>2013 Ending Cash Balance (est.)</v>
      </c>
      <c r="I73" s="664"/>
      <c r="J73" s="662"/>
    </row>
    <row r="74" spans="2:11">
      <c r="B74" s="396" t="s">
        <v>111</v>
      </c>
      <c r="C74" s="430">
        <f>SUM(C61-C73)</f>
        <v>2222</v>
      </c>
      <c r="D74" s="430">
        <f>SUM(D61-D73)</f>
        <v>958</v>
      </c>
      <c r="E74" s="413" t="s">
        <v>736</v>
      </c>
      <c r="F74"/>
      <c r="G74" s="663">
        <f>E60</f>
        <v>731</v>
      </c>
      <c r="H74" s="649" t="str">
        <f>CONCATENATE("",E1," Non-AV Receipts (est.)")</f>
        <v>2014 Non-AV Receipts (est.)</v>
      </c>
      <c r="I74" s="664"/>
      <c r="J74" s="662"/>
    </row>
    <row r="75" spans="2:11">
      <c r="B75" s="401" t="str">
        <f>CONCATENATE("",E1-2,"/",E1-1," Budget Authority Amount:")</f>
        <v>2012/2013 Budget Authority Amount:</v>
      </c>
      <c r="C75" s="403">
        <f ca="1">inputOth!B62</f>
        <v>3500</v>
      </c>
      <c r="D75" s="403">
        <f ca="1">inputPrYr!D19</f>
        <v>6500</v>
      </c>
      <c r="E75" s="413" t="s">
        <v>736</v>
      </c>
      <c r="F75" s="275"/>
      <c r="G75" s="665">
        <f>IF(E79&gt;0,E78,E80)</f>
        <v>3811</v>
      </c>
      <c r="H75" s="649" t="str">
        <f>CONCATENATE("",E1," Ad Valorem Tax (est.)")</f>
        <v>2014 Ad Valorem Tax (est.)</v>
      </c>
      <c r="I75" s="664"/>
      <c r="J75" s="662"/>
      <c r="K75" s="640" t="str">
        <f>IF(G75=E80,"","Note: Does not include Delinquent Taxes")</f>
        <v>Note: Does not include Delinquent Taxes</v>
      </c>
    </row>
    <row r="76" spans="2:11">
      <c r="B76" s="401"/>
      <c r="C76" s="790" t="s">
        <v>395</v>
      </c>
      <c r="D76" s="791"/>
      <c r="E76" s="66"/>
      <c r="F76" s="666" t="str">
        <f>IF(E73/0.95-E73&lt;E76,"Exceeds 5%","")</f>
        <v/>
      </c>
      <c r="G76" s="667">
        <f>SUM(G73:G75)</f>
        <v>5500</v>
      </c>
      <c r="H76" s="649" t="str">
        <f>CONCATENATE("Total ",E1," Resources Available")</f>
        <v>Total 2014 Resources Available</v>
      </c>
      <c r="I76" s="668"/>
      <c r="J76" s="662"/>
    </row>
    <row r="77" spans="2:11">
      <c r="B77" s="528" t="str">
        <f>CONCATENATE(C95,"     ",D95)</f>
        <v xml:space="preserve">     </v>
      </c>
      <c r="C77" s="792" t="s">
        <v>396</v>
      </c>
      <c r="D77" s="793"/>
      <c r="E77" s="397">
        <f>SUM(E73+E76)</f>
        <v>5500</v>
      </c>
      <c r="F77"/>
      <c r="G77" s="669"/>
      <c r="H77" s="670"/>
      <c r="I77" s="75"/>
      <c r="J77" s="662"/>
    </row>
    <row r="78" spans="2:11">
      <c r="B78" s="528" t="str">
        <f>CONCATENATE(C96,"     ",D96)</f>
        <v xml:space="preserve">     </v>
      </c>
      <c r="C78" s="409"/>
      <c r="D78" s="402" t="s">
        <v>5</v>
      </c>
      <c r="E78" s="391">
        <f>IF(E77-E61&gt;0,E77-E61,0)</f>
        <v>3811</v>
      </c>
      <c r="F78"/>
      <c r="G78" s="671">
        <f>ROUND(C73*0.05+C73,0)</f>
        <v>3675</v>
      </c>
      <c r="H78" s="670" t="str">
        <f>CONCATENATE("Less ",E1-2," Expenditures + 5%")</f>
        <v>Less 2012 Expenditures + 5%</v>
      </c>
      <c r="I78" s="668"/>
      <c r="J78" s="662"/>
    </row>
    <row r="79" spans="2:11">
      <c r="B79" s="402"/>
      <c r="C79" s="384" t="s">
        <v>394</v>
      </c>
      <c r="D79" s="724">
        <f ca="1">inputOth!$E$47</f>
        <v>0.01</v>
      </c>
      <c r="E79" s="397">
        <f>ROUND(IF(D79&gt;0,(E78*D79),0),0)</f>
        <v>38</v>
      </c>
      <c r="F79"/>
      <c r="G79" s="672">
        <f>G76-G78</f>
        <v>1825</v>
      </c>
      <c r="H79" s="673" t="str">
        <f>CONCATENATE("Projected ",E1+1," carryover (est.)")</f>
        <v>Projected 2015 carryover (est.)</v>
      </c>
      <c r="I79" s="674"/>
      <c r="J79" s="675"/>
    </row>
    <row r="80" spans="2:11" ht="16.5" thickBot="1">
      <c r="B80" s="386"/>
      <c r="C80" s="798" t="str">
        <f>CONCATENATE("Amount of  ",E1-1," Ad Valorem Tax")</f>
        <v>Amount of  2013 Ad Valorem Tax</v>
      </c>
      <c r="D80" s="799"/>
      <c r="E80" s="645">
        <f>SUM(E78:E79)</f>
        <v>3849</v>
      </c>
      <c r="F80" s="676" t="str">
        <f ca="1">IF('Library Grant'!F33="","",IF('Library Grant'!F33="Qualify","Qualifies for State Library Grant","See 'Library Grant' tab"))</f>
        <v>Qualifies for State Library Grant</v>
      </c>
      <c r="G80" s="2"/>
      <c r="H80" s="2"/>
      <c r="I80" s="2"/>
      <c r="J80" s="2"/>
    </row>
    <row r="81" spans="2:10" ht="17.25" thickTop="1">
      <c r="B81" s="402" t="s">
        <v>7</v>
      </c>
      <c r="C81" s="414">
        <v>9</v>
      </c>
      <c r="D81" s="392"/>
      <c r="E81" s="386"/>
      <c r="F81"/>
      <c r="G81" s="784" t="s">
        <v>614</v>
      </c>
      <c r="H81" s="785"/>
      <c r="I81" s="785"/>
      <c r="J81" s="786"/>
    </row>
    <row r="82" spans="2:10">
      <c r="F82" s="2"/>
      <c r="G82" s="630"/>
      <c r="H82" s="631"/>
      <c r="I82" s="632"/>
      <c r="J82" s="633"/>
    </row>
    <row r="83" spans="2:10">
      <c r="B83" s="393"/>
      <c r="C83" s="393"/>
      <c r="D83" s="385"/>
      <c r="E83" s="385"/>
      <c r="F83"/>
      <c r="G83" s="634">
        <f ca="1">summ!H17</f>
        <v>2.5539999999999998</v>
      </c>
      <c r="H83" s="631" t="str">
        <f>CONCATENATE("",E1," Fund Mill Rate")</f>
        <v>2014 Fund Mill Rate</v>
      </c>
      <c r="I83" s="632"/>
      <c r="J83" s="633"/>
    </row>
    <row r="84" spans="2:10">
      <c r="F84" s="2"/>
      <c r="G84" s="635">
        <f ca="1">summ!E17</f>
        <v>2.536</v>
      </c>
      <c r="H84" s="631" t="str">
        <f>CONCATENATE("",E1-1," Fund Mill Rate")</f>
        <v>2013 Fund Mill Rate</v>
      </c>
      <c r="I84" s="632"/>
      <c r="J84" s="633"/>
    </row>
    <row r="85" spans="2:10">
      <c r="F85" s="2"/>
      <c r="G85" s="636">
        <f ca="1">summ!H52</f>
        <v>32.186</v>
      </c>
      <c r="H85" s="631" t="str">
        <f>CONCATENATE("Total ",E1," Mill Rate")</f>
        <v>Total 2014 Mill Rate</v>
      </c>
      <c r="I85" s="632"/>
      <c r="J85" s="633"/>
    </row>
    <row r="86" spans="2:10">
      <c r="F86" s="2"/>
      <c r="G86" s="635">
        <f ca="1">summ!E52</f>
        <v>32.481999999999999</v>
      </c>
      <c r="H86" s="637" t="str">
        <f>CONCATENATE("Total ",E1-1," Mill Rate")</f>
        <v>Total 2013 Mill Rate</v>
      </c>
      <c r="I86" s="638"/>
      <c r="J86" s="639"/>
    </row>
    <row r="88" spans="2:10">
      <c r="C88" s="387" t="s">
        <v>398</v>
      </c>
      <c r="D88" s="387" t="s">
        <v>398</v>
      </c>
      <c r="G88" s="741" t="s">
        <v>845</v>
      </c>
      <c r="H88" s="740"/>
      <c r="I88" s="739" t="str">
        <f ca="1">cert!F58</f>
        <v>No</v>
      </c>
    </row>
    <row r="89" spans="2:10">
      <c r="C89" s="387" t="s">
        <v>398</v>
      </c>
      <c r="D89" s="387" t="s">
        <v>398</v>
      </c>
    </row>
    <row r="91" spans="2:10">
      <c r="C91" s="387" t="s">
        <v>398</v>
      </c>
      <c r="D91" s="387" t="s">
        <v>398</v>
      </c>
    </row>
    <row r="92" spans="2:10" ht="1.5" customHeight="1">
      <c r="C92" s="387" t="s">
        <v>398</v>
      </c>
      <c r="D92" s="387" t="s">
        <v>398</v>
      </c>
    </row>
    <row r="93" spans="2:10" ht="15" hidden="1" customHeight="1">
      <c r="C93" s="527" t="str">
        <f>IF(C33&gt;C35,"See Tab A","")</f>
        <v/>
      </c>
      <c r="D93" s="527" t="str">
        <f>IF(D33&gt;D35,"See Tab C","")</f>
        <v/>
      </c>
    </row>
    <row r="94" spans="2:10" ht="15.75" hidden="1" customHeight="1">
      <c r="C94" s="527" t="str">
        <f>IF(C34&lt;0,"See Tab B","")</f>
        <v/>
      </c>
      <c r="D94" s="527" t="str">
        <f>IF(D34&lt;0,"See Tab D","")</f>
        <v/>
      </c>
    </row>
    <row r="95" spans="2:10" ht="1.5" hidden="1" customHeight="1">
      <c r="C95" s="527" t="str">
        <f>IF(C73&gt;C75,"See Tab A","")</f>
        <v/>
      </c>
      <c r="D95" s="527" t="str">
        <f>IF(D73&gt;D75,"See Tab C","")</f>
        <v/>
      </c>
    </row>
    <row r="96" spans="2:10" ht="43.5" hidden="1" customHeight="1">
      <c r="C96" s="527" t="str">
        <f>IF(C74&lt;0,"See Tab B","")</f>
        <v/>
      </c>
      <c r="D96" s="527" t="str">
        <f>IF(D74&lt;0,"See Tab D","")</f>
        <v/>
      </c>
    </row>
    <row r="97" ht="24.75" customHeight="1"/>
  </sheetData>
  <sheetProtection sheet="1"/>
  <mergeCells count="12">
    <mergeCell ref="G64:J64"/>
    <mergeCell ref="G71:J71"/>
    <mergeCell ref="G81:J81"/>
    <mergeCell ref="C80:D80"/>
    <mergeCell ref="C76:D76"/>
    <mergeCell ref="C77:D77"/>
    <mergeCell ref="C36:D36"/>
    <mergeCell ref="C37:D37"/>
    <mergeCell ref="C40:D40"/>
    <mergeCell ref="G31:J31"/>
    <mergeCell ref="G24:J24"/>
    <mergeCell ref="G41:J41"/>
  </mergeCells>
  <phoneticPr fontId="9" type="noConversion"/>
  <conditionalFormatting sqref="C58">
    <cfRule type="cellIs" dxfId="306" priority="22" stopIfTrue="1" operator="greaterThan">
      <formula>$C$60*0.1</formula>
    </cfRule>
  </conditionalFormatting>
  <conditionalFormatting sqref="D58 D18">
    <cfRule type="cellIs" dxfId="305" priority="21" stopIfTrue="1" operator="greaterThan">
      <formula>$D$20*0.1</formula>
    </cfRule>
  </conditionalFormatting>
  <conditionalFormatting sqref="E58">
    <cfRule type="cellIs" dxfId="304" priority="20" stopIfTrue="1" operator="greaterThan">
      <formula>$E$20*0.1+E80</formula>
    </cfRule>
  </conditionalFormatting>
  <conditionalFormatting sqref="C71">
    <cfRule type="cellIs" dxfId="303" priority="19" stopIfTrue="1" operator="greaterThan">
      <formula>$C$73*0.1</formula>
    </cfRule>
  </conditionalFormatting>
  <conditionalFormatting sqref="D71">
    <cfRule type="cellIs" dxfId="302" priority="18" stopIfTrue="1" operator="greaterThan">
      <formula>$D$73*0.1</formula>
    </cfRule>
  </conditionalFormatting>
  <conditionalFormatting sqref="E71">
    <cfRule type="cellIs" dxfId="301" priority="17" stopIfTrue="1" operator="greaterThan">
      <formula>$E$73*0.1</formula>
    </cfRule>
  </conditionalFormatting>
  <conditionalFormatting sqref="C31">
    <cfRule type="cellIs" dxfId="300" priority="16" stopIfTrue="1" operator="greaterThan">
      <formula>$C$33*0.1</formula>
    </cfRule>
  </conditionalFormatting>
  <conditionalFormatting sqref="D31">
    <cfRule type="cellIs" dxfId="299" priority="15" stopIfTrue="1" operator="greaterThan">
      <formula>$D$33*0.1</formula>
    </cfRule>
  </conditionalFormatting>
  <conditionalFormatting sqref="E31">
    <cfRule type="cellIs" dxfId="298" priority="14" stopIfTrue="1" operator="greaterThan">
      <formula>$E$33*0.1</formula>
    </cfRule>
  </conditionalFormatting>
  <conditionalFormatting sqref="C18">
    <cfRule type="cellIs" dxfId="297" priority="12" stopIfTrue="1" operator="greaterThan">
      <formula>$C$20*0.1</formula>
    </cfRule>
  </conditionalFormatting>
  <conditionalFormatting sqref="E18">
    <cfRule type="cellIs" dxfId="296" priority="11" stopIfTrue="1" operator="greaterThan">
      <formula>$E$20*0.1+E40</formula>
    </cfRule>
  </conditionalFormatting>
  <conditionalFormatting sqref="E36">
    <cfRule type="cellIs" dxfId="295" priority="10" stopIfTrue="1" operator="greaterThan">
      <formula>$E$33/0.95-$E$33</formula>
    </cfRule>
  </conditionalFormatting>
  <conditionalFormatting sqref="E76">
    <cfRule type="cellIs" dxfId="294" priority="9" stopIfTrue="1" operator="greaterThan">
      <formula>$E$73/0.95-$E$73</formula>
    </cfRule>
  </conditionalFormatting>
  <conditionalFormatting sqref="C33">
    <cfRule type="cellIs" dxfId="293" priority="8" stopIfTrue="1" operator="greaterThan">
      <formula>$C$35</formula>
    </cfRule>
  </conditionalFormatting>
  <conditionalFormatting sqref="D74">
    <cfRule type="cellIs" dxfId="292" priority="7" stopIfTrue="1" operator="lessThan">
      <formula>0</formula>
    </cfRule>
  </conditionalFormatting>
  <conditionalFormatting sqref="D33">
    <cfRule type="cellIs" dxfId="291" priority="6" stopIfTrue="1" operator="greaterThan">
      <formula>$D$35</formula>
    </cfRule>
  </conditionalFormatting>
  <conditionalFormatting sqref="C73">
    <cfRule type="cellIs" dxfId="290" priority="4" stopIfTrue="1" operator="greaterThan">
      <formula>$C$75</formula>
    </cfRule>
  </conditionalFormatting>
  <conditionalFormatting sqref="D73">
    <cfRule type="cellIs" dxfId="289" priority="2" stopIfTrue="1" operator="greaterThan">
      <formula>$D$75</formula>
    </cfRule>
  </conditionalFormatting>
  <pageMargins left="0.75" right="0.75" top="1" bottom="1" header="0.5" footer="0.5"/>
  <pageSetup scale="51"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J58" sqref="J58"/>
    </sheetView>
  </sheetViews>
  <sheetFormatPr defaultRowHeight="15.75"/>
  <cols>
    <col min="1" max="1" width="2.44140625" style="44" customWidth="1"/>
    <col min="2" max="2" width="31.109375" style="44" customWidth="1"/>
    <col min="3" max="4" width="15.77734375" style="44" customWidth="1"/>
    <col min="5" max="5" width="16.21875" style="44" customWidth="1"/>
    <col min="6" max="6" width="8.88671875" style="44"/>
    <col min="7" max="7" width="10.21875" style="44" customWidth="1"/>
    <col min="8" max="8" width="8.88671875" style="44"/>
    <col min="9" max="9" width="5" style="44" customWidth="1"/>
    <col min="10" max="10" width="10" style="44" customWidth="1"/>
    <col min="11" max="16384" width="8.88671875" style="44"/>
  </cols>
  <sheetData>
    <row r="1" spans="2:5">
      <c r="B1" s="196" t="str">
        <f ca="1">(inputPrYr!D2)</f>
        <v>City of Grainfield</v>
      </c>
      <c r="C1" s="46"/>
      <c r="D1" s="46"/>
      <c r="E1" s="247">
        <f ca="1">inputPrYr!C5</f>
        <v>2014</v>
      </c>
    </row>
    <row r="2" spans="2:5">
      <c r="B2" s="46"/>
      <c r="C2" s="46"/>
      <c r="D2" s="46"/>
      <c r="E2" s="168"/>
    </row>
    <row r="3" spans="2:5">
      <c r="B3" s="248" t="s">
        <v>55</v>
      </c>
      <c r="C3" s="200"/>
      <c r="D3" s="200"/>
      <c r="E3" s="287"/>
    </row>
    <row r="4" spans="2:5">
      <c r="B4" s="51" t="s">
        <v>747</v>
      </c>
      <c r="C4" s="710" t="s">
        <v>789</v>
      </c>
      <c r="D4" s="711" t="s">
        <v>790</v>
      </c>
      <c r="E4" s="143" t="s">
        <v>791</v>
      </c>
    </row>
    <row r="5" spans="2:5">
      <c r="B5" s="532">
        <f ca="1">inputPrYr!B21</f>
        <v>0</v>
      </c>
      <c r="C5" s="224" t="str">
        <f>CONCATENATE("Actual for ",E1-2,"")</f>
        <v>Actual for 2012</v>
      </c>
      <c r="D5" s="224" t="str">
        <f>CONCATENATE("Estimate for ",E1-1,"")</f>
        <v>Estimate for 2013</v>
      </c>
      <c r="E5" s="207" t="str">
        <f>CONCATENATE("Year for ",E1,"")</f>
        <v>Year for 2014</v>
      </c>
    </row>
    <row r="6" spans="2:5">
      <c r="B6" s="251" t="s">
        <v>110</v>
      </c>
      <c r="C6" s="256"/>
      <c r="D6" s="254">
        <f>C34</f>
        <v>0</v>
      </c>
      <c r="E6" s="227">
        <f>D34</f>
        <v>0</v>
      </c>
    </row>
    <row r="7" spans="2:5">
      <c r="B7" s="255" t="s">
        <v>112</v>
      </c>
      <c r="C7" s="158"/>
      <c r="D7" s="158"/>
      <c r="E7" s="86"/>
    </row>
    <row r="8" spans="2:5">
      <c r="B8" s="149" t="s">
        <v>748</v>
      </c>
      <c r="C8" s="256"/>
      <c r="D8" s="254">
        <f ca="1">IF(inputPrYr!H16&gt;0,inputPrYr!G21,inputPrYr!E21)</f>
        <v>0</v>
      </c>
      <c r="E8" s="285" t="s">
        <v>736</v>
      </c>
    </row>
    <row r="9" spans="2:5">
      <c r="B9" s="149" t="s">
        <v>749</v>
      </c>
      <c r="C9" s="256"/>
      <c r="D9" s="256"/>
      <c r="E9" s="66"/>
    </row>
    <row r="10" spans="2:5">
      <c r="B10" s="149" t="s">
        <v>750</v>
      </c>
      <c r="C10" s="256"/>
      <c r="D10" s="256"/>
      <c r="E10" s="227" t="str">
        <f ca="1">mvalloc!D10</f>
        <v xml:space="preserve">  </v>
      </c>
    </row>
    <row r="11" spans="2:5">
      <c r="B11" s="149" t="s">
        <v>751</v>
      </c>
      <c r="C11" s="256"/>
      <c r="D11" s="256"/>
      <c r="E11" s="227" t="str">
        <f ca="1">mvalloc!E10</f>
        <v xml:space="preserve"> </v>
      </c>
    </row>
    <row r="12" spans="2:5">
      <c r="B12" s="158" t="s">
        <v>87</v>
      </c>
      <c r="C12" s="256"/>
      <c r="D12" s="256"/>
      <c r="E12" s="227" t="str">
        <f ca="1">mvalloc!F10</f>
        <v xml:space="preserve"> </v>
      </c>
    </row>
    <row r="13" spans="2:5">
      <c r="B13" s="66"/>
      <c r="C13" s="256"/>
      <c r="D13" s="256"/>
      <c r="E13" s="66"/>
    </row>
    <row r="14" spans="2:5">
      <c r="B14" s="66"/>
      <c r="C14" s="256"/>
      <c r="D14" s="256"/>
      <c r="E14" s="66"/>
    </row>
    <row r="15" spans="2:5">
      <c r="B15" s="272"/>
      <c r="C15" s="256"/>
      <c r="D15" s="256"/>
      <c r="E15" s="66"/>
    </row>
    <row r="16" spans="2:5">
      <c r="B16" s="272"/>
      <c r="C16" s="256"/>
      <c r="D16" s="256"/>
      <c r="E16" s="66"/>
    </row>
    <row r="17" spans="2:10">
      <c r="B17" s="260" t="s">
        <v>753</v>
      </c>
      <c r="C17" s="256"/>
      <c r="D17" s="256"/>
      <c r="E17" s="66"/>
    </row>
    <row r="18" spans="2:10">
      <c r="B18" s="158" t="s">
        <v>655</v>
      </c>
      <c r="C18" s="256"/>
      <c r="D18" s="256"/>
      <c r="E18" s="66"/>
    </row>
    <row r="19" spans="2:10">
      <c r="B19" s="251" t="s">
        <v>507</v>
      </c>
      <c r="C19" s="261" t="str">
        <f>IF(C20*0.1&lt;C18,"Exceed 10% Rule","")</f>
        <v/>
      </c>
      <c r="D19" s="261" t="str">
        <f>IF(D20*0.1&lt;D18,"Exceed 10% Rule","")</f>
        <v/>
      </c>
      <c r="E19" s="298" t="str">
        <f>IF(E20*0.1+E40&lt;E18,"Exceed 10% Rule","")</f>
        <v/>
      </c>
    </row>
    <row r="20" spans="2:10">
      <c r="B20" s="263" t="s">
        <v>754</v>
      </c>
      <c r="C20" s="265">
        <f>SUM(C8:C18)</f>
        <v>0</v>
      </c>
      <c r="D20" s="265">
        <f>SUM(D8:D18)</f>
        <v>0</v>
      </c>
      <c r="E20" s="266">
        <f>SUM(E8:E18)</f>
        <v>0</v>
      </c>
    </row>
    <row r="21" spans="2:10">
      <c r="B21" s="263" t="s">
        <v>755</v>
      </c>
      <c r="C21" s="269">
        <f>C6+C20</f>
        <v>0</v>
      </c>
      <c r="D21" s="269">
        <f>D6+D20</f>
        <v>0</v>
      </c>
      <c r="E21" s="81">
        <f>E6+E20</f>
        <v>0</v>
      </c>
    </row>
    <row r="22" spans="2:10">
      <c r="B22" s="149" t="s">
        <v>0</v>
      </c>
      <c r="C22" s="273"/>
      <c r="D22" s="273"/>
      <c r="E22" s="64"/>
    </row>
    <row r="23" spans="2:10">
      <c r="B23" s="272"/>
      <c r="C23" s="256"/>
      <c r="D23" s="256"/>
      <c r="E23" s="66"/>
    </row>
    <row r="24" spans="2:10">
      <c r="B24" s="272"/>
      <c r="C24" s="256"/>
      <c r="D24" s="256"/>
      <c r="E24" s="66"/>
      <c r="G24" s="801" t="str">
        <f>CONCATENATE("Desired Carryover Into ",E1+1,"")</f>
        <v>Desired Carryover Into 2015</v>
      </c>
      <c r="H24" s="796"/>
      <c r="I24" s="796"/>
      <c r="J24" s="797"/>
    </row>
    <row r="25" spans="2:10">
      <c r="B25" s="272"/>
      <c r="C25" s="256"/>
      <c r="D25" s="256"/>
      <c r="E25" s="66"/>
      <c r="G25" s="648"/>
      <c r="H25" s="75"/>
      <c r="I25" s="649"/>
      <c r="J25" s="650"/>
    </row>
    <row r="26" spans="2:10">
      <c r="B26" s="272"/>
      <c r="C26" s="256"/>
      <c r="D26" s="256"/>
      <c r="E26" s="66"/>
      <c r="G26" s="651" t="s">
        <v>495</v>
      </c>
      <c r="H26" s="649"/>
      <c r="I26" s="649"/>
      <c r="J26" s="652">
        <v>0</v>
      </c>
    </row>
    <row r="27" spans="2:10">
      <c r="B27" s="272"/>
      <c r="C27" s="256"/>
      <c r="D27" s="256"/>
      <c r="E27" s="66"/>
      <c r="G27" s="648" t="s">
        <v>496</v>
      </c>
      <c r="H27" s="75"/>
      <c r="I27" s="75"/>
      <c r="J27" s="653" t="str">
        <f ca="1">IF(J26=0,"",ROUND((J26+E40-G39)/inputOth!E7*1000,3)-G44)</f>
        <v/>
      </c>
    </row>
    <row r="28" spans="2:10">
      <c r="B28" s="272"/>
      <c r="C28" s="256"/>
      <c r="D28" s="256"/>
      <c r="E28" s="66"/>
      <c r="G28" s="654" t="str">
        <f>CONCATENATE("",E1," Tot Exp/Non-Appr Must Be:")</f>
        <v>2014 Tot Exp/Non-Appr Must Be:</v>
      </c>
      <c r="H28" s="655"/>
      <c r="I28" s="656"/>
      <c r="J28" s="657">
        <f>IF(J26&gt;0,IF(E37&lt;E21,IF(J26=G39,E37,((J26-G39)*(1-D39))+E21),E37+(J26-G39)),0)</f>
        <v>0</v>
      </c>
    </row>
    <row r="29" spans="2:10">
      <c r="B29" s="272"/>
      <c r="C29" s="256"/>
      <c r="D29" s="256"/>
      <c r="E29" s="66"/>
      <c r="G29" s="658" t="s">
        <v>615</v>
      </c>
      <c r="H29" s="659"/>
      <c r="I29" s="659"/>
      <c r="J29" s="660">
        <f>IF(J26&gt;0,J28-E37,0)</f>
        <v>0</v>
      </c>
    </row>
    <row r="30" spans="2:10">
      <c r="B30" s="273" t="s">
        <v>654</v>
      </c>
      <c r="C30" s="256"/>
      <c r="D30" s="256"/>
      <c r="E30" s="81" t="str">
        <f ca="1">nhood!E9</f>
        <v/>
      </c>
      <c r="J30" s="2"/>
    </row>
    <row r="31" spans="2:10">
      <c r="B31" s="273" t="s">
        <v>655</v>
      </c>
      <c r="C31" s="256"/>
      <c r="D31" s="256"/>
      <c r="E31" s="66"/>
      <c r="G31" s="801" t="str">
        <f>CONCATENATE("Projected Carryover Into ",E1+1,"")</f>
        <v>Projected Carryover Into 2015</v>
      </c>
      <c r="H31" s="804"/>
      <c r="I31" s="804"/>
      <c r="J31" s="803"/>
    </row>
    <row r="32" spans="2:10">
      <c r="B32" s="273" t="s">
        <v>508</v>
      </c>
      <c r="C32" s="261" t="str">
        <f>IF(C33*0.1&lt;C31,"Exceed 10% Rule","")</f>
        <v/>
      </c>
      <c r="D32" s="261" t="str">
        <f>IF(D33*0.1&lt;D31,"Exceed 10% Rule","")</f>
        <v/>
      </c>
      <c r="E32" s="298" t="str">
        <f>IF(E33*0.1&lt;E31,"Exceed 10% Rule","")</f>
        <v/>
      </c>
      <c r="G32" s="648"/>
      <c r="H32" s="649"/>
      <c r="I32" s="649"/>
      <c r="J32" s="662"/>
    </row>
    <row r="33" spans="2:11">
      <c r="B33" s="263" t="s">
        <v>4</v>
      </c>
      <c r="C33" s="265">
        <f>SUM(C23:C31)</f>
        <v>0</v>
      </c>
      <c r="D33" s="265">
        <f>SUM(D23:D31)</f>
        <v>0</v>
      </c>
      <c r="E33" s="266">
        <f>SUM(E23:E31)</f>
        <v>0</v>
      </c>
      <c r="G33" s="663">
        <f>D34</f>
        <v>0</v>
      </c>
      <c r="H33" s="631" t="str">
        <f>CONCATENATE("",E1-1," Ending Cash Balance (est.)")</f>
        <v>2013 Ending Cash Balance (est.)</v>
      </c>
      <c r="I33" s="664"/>
      <c r="J33" s="662"/>
    </row>
    <row r="34" spans="2:11">
      <c r="B34" s="149" t="s">
        <v>111</v>
      </c>
      <c r="C34" s="269">
        <f>C21-C33</f>
        <v>0</v>
      </c>
      <c r="D34" s="269">
        <f>D21-D33</f>
        <v>0</v>
      </c>
      <c r="E34" s="285" t="s">
        <v>736</v>
      </c>
      <c r="G34" s="663">
        <f>E20</f>
        <v>0</v>
      </c>
      <c r="H34" s="649" t="str">
        <f>CONCATENATE("",E1," Non-AV Receipts (est.)")</f>
        <v>2014 Non-AV Receipts (est.)</v>
      </c>
      <c r="I34" s="664"/>
      <c r="J34" s="662"/>
    </row>
    <row r="35" spans="2:11">
      <c r="B35" s="135" t="str">
        <f>CONCATENATE("",E1-2,"/",E1-1," Budget Authority Amount:")</f>
        <v>2012/2013 Budget Authority Amount:</v>
      </c>
      <c r="C35" s="240">
        <f ca="1">inputOth!B63</f>
        <v>0</v>
      </c>
      <c r="D35" s="240">
        <f ca="1">inputPrYr!D21</f>
        <v>0</v>
      </c>
      <c r="E35" s="285" t="s">
        <v>736</v>
      </c>
      <c r="F35" s="275"/>
      <c r="G35" s="665">
        <f>IF(E39&gt;0,E38,E40)</f>
        <v>0</v>
      </c>
      <c r="H35" s="649" t="str">
        <f>CONCATENATE("",E1," Ad Valorem Tax (est.)")</f>
        <v>2014 Ad Valorem Tax (est.)</v>
      </c>
      <c r="I35" s="664"/>
      <c r="J35" s="644"/>
      <c r="K35" s="640" t="str">
        <f>IF(G35=E40,"","Note: Does not include Delinquent Taxes")</f>
        <v/>
      </c>
    </row>
    <row r="36" spans="2:11">
      <c r="B36" s="135"/>
      <c r="C36" s="790" t="s">
        <v>395</v>
      </c>
      <c r="D36" s="791"/>
      <c r="E36" s="66"/>
      <c r="F36" s="734" t="str">
        <f>IF(E33/0.95-E33&lt;E36,"Exceeds 5%","")</f>
        <v/>
      </c>
      <c r="G36" s="663">
        <f>SUM(G33:G35)</f>
        <v>0</v>
      </c>
      <c r="H36" s="649" t="str">
        <f>CONCATENATE("Total ",E1," Resources Available")</f>
        <v>Total 2014 Resources Available</v>
      </c>
      <c r="I36" s="664"/>
      <c r="J36" s="662"/>
    </row>
    <row r="37" spans="2:11">
      <c r="B37" s="528" t="str">
        <f>CONCATENATE(C94,"     ",D94)</f>
        <v xml:space="preserve">     </v>
      </c>
      <c r="C37" s="792" t="s">
        <v>396</v>
      </c>
      <c r="D37" s="793"/>
      <c r="E37" s="227">
        <f>E33+E36</f>
        <v>0</v>
      </c>
      <c r="G37" s="700"/>
      <c r="H37" s="649"/>
      <c r="I37" s="649"/>
      <c r="J37" s="662"/>
    </row>
    <row r="38" spans="2:11">
      <c r="B38" s="528" t="str">
        <f>CONCATENATE(C95,"     ",D95)</f>
        <v xml:space="preserve">     </v>
      </c>
      <c r="C38" s="276"/>
      <c r="D38" s="168" t="s">
        <v>5</v>
      </c>
      <c r="E38" s="81">
        <f>IF(E37-E21&gt;0,E37-E21,0)</f>
        <v>0</v>
      </c>
      <c r="G38" s="665">
        <f>ROUND(C33*0.05+C33,0)</f>
        <v>0</v>
      </c>
      <c r="H38" s="649" t="str">
        <f>CONCATENATE("Less ",E1-2," Expenditures + 5%")</f>
        <v>Less 2012 Expenditures + 5%</v>
      </c>
      <c r="I38" s="664"/>
      <c r="J38" s="662"/>
    </row>
    <row r="39" spans="2:11">
      <c r="B39" s="168"/>
      <c r="C39" s="384" t="s">
        <v>394</v>
      </c>
      <c r="D39" s="724">
        <f ca="1">inputOth!$E$47</f>
        <v>0.01</v>
      </c>
      <c r="E39" s="227">
        <f>ROUND(IF(D39&gt;0,(E38*D39),0),0)</f>
        <v>0</v>
      </c>
      <c r="G39" s="701">
        <f>G36-G38</f>
        <v>0</v>
      </c>
      <c r="H39" s="702" t="str">
        <f>CONCATENATE("Projected ",E1+1," carryover (est.)")</f>
        <v>Projected 2015 carryover (est.)</v>
      </c>
      <c r="I39" s="703"/>
      <c r="J39" s="675"/>
    </row>
    <row r="40" spans="2:11" ht="16.5" thickBot="1">
      <c r="B40" s="168"/>
      <c r="C40" s="794" t="str">
        <f>CONCATENATE("Amount of  ",$E$1-1," Ad Valorem Tax")</f>
        <v>Amount of  2013 Ad Valorem Tax</v>
      </c>
      <c r="D40" s="795"/>
      <c r="E40" s="647">
        <f>E38+E39</f>
        <v>0</v>
      </c>
      <c r="G40" s="2"/>
      <c r="H40" s="2"/>
      <c r="I40" s="2"/>
      <c r="J40" s="2"/>
    </row>
    <row r="41" spans="2:11" ht="17.25" thickTop="1">
      <c r="B41" s="46"/>
      <c r="C41" s="794"/>
      <c r="D41" s="805"/>
      <c r="E41" s="75"/>
      <c r="G41" s="784" t="s">
        <v>614</v>
      </c>
      <c r="H41" s="785"/>
      <c r="I41" s="785"/>
      <c r="J41" s="786"/>
    </row>
    <row r="42" spans="2:11">
      <c r="B42" s="51"/>
      <c r="C42" s="288"/>
      <c r="D42" s="288"/>
      <c r="E42" s="288"/>
      <c r="G42" s="630"/>
      <c r="H42" s="631"/>
      <c r="I42" s="632"/>
      <c r="J42" s="633"/>
    </row>
    <row r="43" spans="2:11">
      <c r="B43" s="51" t="s">
        <v>747</v>
      </c>
      <c r="C43" s="710" t="s">
        <v>789</v>
      </c>
      <c r="D43" s="711" t="s">
        <v>790</v>
      </c>
      <c r="E43" s="143" t="s">
        <v>791</v>
      </c>
      <c r="G43" s="634" t="str">
        <f ca="1">summ!H18</f>
        <v xml:space="preserve">  </v>
      </c>
      <c r="H43" s="631" t="str">
        <f>CONCATENATE("",E1," Fund Mill Rate")</f>
        <v>2014 Fund Mill Rate</v>
      </c>
      <c r="I43" s="632"/>
      <c r="J43" s="633"/>
    </row>
    <row r="44" spans="2:11">
      <c r="B44" s="532">
        <f ca="1">(inputPrYr!B22)</f>
        <v>0</v>
      </c>
      <c r="C44" s="224" t="str">
        <f>CONCATENATE("Actual for ",E1-2,"")</f>
        <v>Actual for 2012</v>
      </c>
      <c r="D44" s="224" t="str">
        <f>CONCATENATE("Estimate for ",E1-1,"")</f>
        <v>Estimate for 2013</v>
      </c>
      <c r="E44" s="207" t="str">
        <f>CONCATENATE("Year for ",E1,"")</f>
        <v>Year for 2014</v>
      </c>
      <c r="G44" s="635" t="str">
        <f ca="1">summ!E18</f>
        <v xml:space="preserve">  </v>
      </c>
      <c r="H44" s="631" t="str">
        <f>CONCATENATE("",E1-1," Fund Mill Rate")</f>
        <v>2013 Fund Mill Rate</v>
      </c>
      <c r="I44" s="632"/>
      <c r="J44" s="633"/>
    </row>
    <row r="45" spans="2:11">
      <c r="B45" s="251" t="s">
        <v>110</v>
      </c>
      <c r="C45" s="256"/>
      <c r="D45" s="254">
        <f>C74</f>
        <v>0</v>
      </c>
      <c r="E45" s="227">
        <f>D74</f>
        <v>0</v>
      </c>
      <c r="G45" s="636">
        <f ca="1">summ!H52</f>
        <v>32.186</v>
      </c>
      <c r="H45" s="631" t="str">
        <f>CONCATENATE("Total ",E1," Mill Rate")</f>
        <v>Total 2014 Mill Rate</v>
      </c>
      <c r="I45" s="632"/>
      <c r="J45" s="633"/>
    </row>
    <row r="46" spans="2:11">
      <c r="B46" s="255" t="s">
        <v>112</v>
      </c>
      <c r="C46" s="158"/>
      <c r="D46" s="158"/>
      <c r="E46" s="86"/>
      <c r="G46" s="635">
        <f ca="1">summ!E52</f>
        <v>32.481999999999999</v>
      </c>
      <c r="H46" s="637" t="str">
        <f>CONCATENATE("Total ",E1-1," Mill Rate")</f>
        <v>Total 2013 Mill Rate</v>
      </c>
      <c r="I46" s="638"/>
      <c r="J46" s="639"/>
    </row>
    <row r="47" spans="2:11">
      <c r="B47" s="149" t="s">
        <v>748</v>
      </c>
      <c r="C47" s="256"/>
      <c r="D47" s="254">
        <f ca="1">IF(inputPrYr!H16&gt;0,inputPrYr!G22,inputPrYr!E22)</f>
        <v>0</v>
      </c>
      <c r="E47" s="285" t="s">
        <v>736</v>
      </c>
    </row>
    <row r="48" spans="2:11">
      <c r="B48" s="149" t="s">
        <v>749</v>
      </c>
      <c r="C48" s="256"/>
      <c r="D48" s="256"/>
      <c r="E48" s="66"/>
      <c r="G48" s="741" t="s">
        <v>845</v>
      </c>
      <c r="H48" s="740"/>
      <c r="I48" s="739" t="str">
        <f ca="1">cert!F58</f>
        <v>No</v>
      </c>
    </row>
    <row r="49" spans="2:10">
      <c r="B49" s="149" t="s">
        <v>750</v>
      </c>
      <c r="C49" s="256"/>
      <c r="D49" s="256"/>
      <c r="E49" s="227" t="str">
        <f ca="1">mvalloc!D11</f>
        <v xml:space="preserve">  </v>
      </c>
    </row>
    <row r="50" spans="2:10">
      <c r="B50" s="149" t="s">
        <v>751</v>
      </c>
      <c r="C50" s="256"/>
      <c r="D50" s="256"/>
      <c r="E50" s="227" t="str">
        <f ca="1">mvalloc!E11</f>
        <v xml:space="preserve"> </v>
      </c>
    </row>
    <row r="51" spans="2:10">
      <c r="B51" s="158" t="s">
        <v>87</v>
      </c>
      <c r="C51" s="256"/>
      <c r="D51" s="256"/>
      <c r="E51" s="227" t="str">
        <f ca="1">mvalloc!F11</f>
        <v xml:space="preserve"> </v>
      </c>
    </row>
    <row r="52" spans="2:10">
      <c r="B52" s="272"/>
      <c r="C52" s="256"/>
      <c r="D52" s="256"/>
      <c r="E52" s="66"/>
    </row>
    <row r="53" spans="2:10">
      <c r="B53" s="272"/>
      <c r="C53" s="256"/>
      <c r="D53" s="256"/>
      <c r="E53" s="66"/>
    </row>
    <row r="54" spans="2:10">
      <c r="B54" s="272"/>
      <c r="C54" s="256"/>
      <c r="D54" s="256"/>
      <c r="E54" s="66"/>
    </row>
    <row r="55" spans="2:10">
      <c r="B55" s="272"/>
      <c r="C55" s="256"/>
      <c r="D55" s="256"/>
      <c r="E55" s="66"/>
    </row>
    <row r="56" spans="2:10">
      <c r="B56" s="272"/>
      <c r="C56" s="256"/>
      <c r="D56" s="256"/>
      <c r="E56" s="66"/>
    </row>
    <row r="57" spans="2:10">
      <c r="B57" s="260" t="s">
        <v>753</v>
      </c>
      <c r="C57" s="256"/>
      <c r="D57" s="256"/>
      <c r="E57" s="66"/>
    </row>
    <row r="58" spans="2:10">
      <c r="B58" s="158" t="s">
        <v>655</v>
      </c>
      <c r="C58" s="256"/>
      <c r="D58" s="256"/>
      <c r="E58" s="66"/>
    </row>
    <row r="59" spans="2:10">
      <c r="B59" s="251" t="s">
        <v>507</v>
      </c>
      <c r="C59" s="261" t="str">
        <f>IF(C60*0.1&lt;C58,"Exceed 10% Rule","")</f>
        <v/>
      </c>
      <c r="D59" s="261" t="str">
        <f>IF(D60*0.1&lt;D58,"Exceed 10% Rule","")</f>
        <v/>
      </c>
      <c r="E59" s="298" t="str">
        <f>IF(E60*0.1+E80&lt;E58,"Exceed 10% Rule","")</f>
        <v/>
      </c>
    </row>
    <row r="60" spans="2:10">
      <c r="B60" s="263" t="s">
        <v>754</v>
      </c>
      <c r="C60" s="265">
        <f>SUM(C47:C58)</f>
        <v>0</v>
      </c>
      <c r="D60" s="265">
        <f>SUM(D47:D58)</f>
        <v>0</v>
      </c>
      <c r="E60" s="266">
        <f>SUM(E47:E58)</f>
        <v>0</v>
      </c>
    </row>
    <row r="61" spans="2:10">
      <c r="B61" s="263" t="s">
        <v>755</v>
      </c>
      <c r="C61" s="265">
        <f>C45+C60</f>
        <v>0</v>
      </c>
      <c r="D61" s="265">
        <f>D45+D60</f>
        <v>0</v>
      </c>
      <c r="E61" s="266">
        <f>E45+E60</f>
        <v>0</v>
      </c>
    </row>
    <row r="62" spans="2:10">
      <c r="B62" s="149" t="s">
        <v>0</v>
      </c>
      <c r="C62" s="273"/>
      <c r="D62" s="273"/>
      <c r="E62" s="64"/>
    </row>
    <row r="63" spans="2:10">
      <c r="B63" s="272"/>
      <c r="C63" s="256"/>
      <c r="D63" s="256"/>
      <c r="E63" s="66"/>
    </row>
    <row r="64" spans="2:10">
      <c r="B64" s="272"/>
      <c r="C64" s="256"/>
      <c r="D64" s="256"/>
      <c r="E64" s="66"/>
      <c r="G64" s="801" t="str">
        <f>CONCATENATE("Desired Carryover Into ",E1+1,"")</f>
        <v>Desired Carryover Into 2015</v>
      </c>
      <c r="H64" s="796"/>
      <c r="I64" s="796"/>
      <c r="J64" s="797"/>
    </row>
    <row r="65" spans="2:11">
      <c r="B65" s="272"/>
      <c r="C65" s="256"/>
      <c r="D65" s="256"/>
      <c r="E65" s="66"/>
      <c r="G65" s="648"/>
      <c r="H65" s="75"/>
      <c r="I65" s="649"/>
      <c r="J65" s="650"/>
    </row>
    <row r="66" spans="2:11">
      <c r="B66" s="272"/>
      <c r="C66" s="256"/>
      <c r="D66" s="256"/>
      <c r="E66" s="66"/>
      <c r="G66" s="651" t="s">
        <v>495</v>
      </c>
      <c r="H66" s="649"/>
      <c r="I66" s="649"/>
      <c r="J66" s="652">
        <v>0</v>
      </c>
    </row>
    <row r="67" spans="2:11">
      <c r="B67" s="272"/>
      <c r="C67" s="256"/>
      <c r="D67" s="256"/>
      <c r="E67" s="66"/>
      <c r="G67" s="648" t="s">
        <v>496</v>
      </c>
      <c r="H67" s="75"/>
      <c r="I67" s="75"/>
      <c r="J67" s="653" t="str">
        <f ca="1">IF(J66=0,"",ROUND((J66+E80-G79)/inputOth!E7*1000,3)-G84)</f>
        <v/>
      </c>
    </row>
    <row r="68" spans="2:11">
      <c r="B68" s="272"/>
      <c r="C68" s="256"/>
      <c r="D68" s="256"/>
      <c r="E68" s="66"/>
      <c r="G68" s="654" t="str">
        <f>CONCATENATE("",E1," Tot Exp/Non-Appr Must Be:")</f>
        <v>2014 Tot Exp/Non-Appr Must Be:</v>
      </c>
      <c r="H68" s="655"/>
      <c r="I68" s="656"/>
      <c r="J68" s="657">
        <f>IF(J66&gt;0,IF(E77&lt;E61,IF(J66=G79,E77,((J66-G79)*(1-D79))+E61),E77+(J66-G79)),0)</f>
        <v>0</v>
      </c>
    </row>
    <row r="69" spans="2:11">
      <c r="B69" s="272"/>
      <c r="C69" s="256"/>
      <c r="D69" s="256"/>
      <c r="E69" s="66"/>
      <c r="G69" s="658" t="s">
        <v>615</v>
      </c>
      <c r="H69" s="659"/>
      <c r="I69" s="659"/>
      <c r="J69" s="660">
        <f>IF(J66&gt;0,J68-E77,0)</f>
        <v>0</v>
      </c>
    </row>
    <row r="70" spans="2:11">
      <c r="B70" s="273" t="s">
        <v>654</v>
      </c>
      <c r="C70" s="256"/>
      <c r="D70" s="256"/>
      <c r="E70" s="81" t="str">
        <f ca="1">nhood!E10</f>
        <v/>
      </c>
      <c r="J70" s="2"/>
    </row>
    <row r="71" spans="2:11">
      <c r="B71" s="273" t="s">
        <v>655</v>
      </c>
      <c r="C71" s="256"/>
      <c r="D71" s="256"/>
      <c r="E71" s="66"/>
      <c r="G71" s="801" t="str">
        <f>CONCATENATE("Projected Carryover Into ",E1+1,"")</f>
        <v>Projected Carryover Into 2015</v>
      </c>
      <c r="H71" s="802"/>
      <c r="I71" s="802"/>
      <c r="J71" s="803"/>
    </row>
    <row r="72" spans="2:11">
      <c r="B72" s="273" t="s">
        <v>508</v>
      </c>
      <c r="C72" s="261" t="str">
        <f>IF(C73*0.1&lt;C71,"Exceed 10% Rule","")</f>
        <v/>
      </c>
      <c r="D72" s="261" t="str">
        <f>IF(D73*0.1&lt;D71,"Exceed 10% Rule","")</f>
        <v/>
      </c>
      <c r="E72" s="298" t="str">
        <f>IF(E73*0.1&lt;E71,"Exceed 10% Rule","")</f>
        <v/>
      </c>
      <c r="G72" s="661"/>
      <c r="H72" s="75"/>
      <c r="I72" s="75"/>
      <c r="J72" s="668"/>
    </row>
    <row r="73" spans="2:11">
      <c r="B73" s="263" t="s">
        <v>4</v>
      </c>
      <c r="C73" s="265">
        <f>SUM(C63:C71)</f>
        <v>0</v>
      </c>
      <c r="D73" s="265">
        <f>SUM(D63:D71)</f>
        <v>0</v>
      </c>
      <c r="E73" s="266">
        <f>SUM(E63:E71)</f>
        <v>0</v>
      </c>
      <c r="G73" s="663">
        <f>D74</f>
        <v>0</v>
      </c>
      <c r="H73" s="631" t="str">
        <f>CONCATENATE("",E1-1," Ending Cash Balance (est.)")</f>
        <v>2013 Ending Cash Balance (est.)</v>
      </c>
      <c r="I73" s="664"/>
      <c r="J73" s="668"/>
    </row>
    <row r="74" spans="2:11">
      <c r="B74" s="149" t="s">
        <v>111</v>
      </c>
      <c r="C74" s="269">
        <f>C61-C73</f>
        <v>0</v>
      </c>
      <c r="D74" s="269">
        <f>D61-D73</f>
        <v>0</v>
      </c>
      <c r="E74" s="285" t="s">
        <v>736</v>
      </c>
      <c r="G74" s="663">
        <f>E60</f>
        <v>0</v>
      </c>
      <c r="H74" s="649" t="str">
        <f>CONCATENATE("",E1," Non-AV Receipts (est.)")</f>
        <v>2014 Non-AV Receipts (est.)</v>
      </c>
      <c r="I74" s="664"/>
      <c r="J74" s="668"/>
    </row>
    <row r="75" spans="2:11">
      <c r="B75" s="135" t="str">
        <f>CONCATENATE("",E1-2,"/",E1-1," Budget Authority Amount:")</f>
        <v>2012/2013 Budget Authority Amount:</v>
      </c>
      <c r="C75" s="240">
        <f ca="1">inputOth!B64</f>
        <v>0</v>
      </c>
      <c r="D75" s="240">
        <f ca="1">inputPrYr!D22</f>
        <v>0</v>
      </c>
      <c r="E75" s="285" t="s">
        <v>736</v>
      </c>
      <c r="F75" s="275"/>
      <c r="G75" s="665">
        <f>IF(D79&gt;0,E78,E80)</f>
        <v>0</v>
      </c>
      <c r="H75" s="649" t="str">
        <f>CONCATENATE("",E1," Ad Valorem Tax (est.)")</f>
        <v>2014 Ad Valorem Tax (est.)</v>
      </c>
      <c r="I75" s="664"/>
      <c r="J75" s="668"/>
      <c r="K75" s="640" t="str">
        <f>IF(G75=E80,"","Note: Does not include Delinquent Taxes")</f>
        <v/>
      </c>
    </row>
    <row r="76" spans="2:11">
      <c r="B76" s="135"/>
      <c r="C76" s="790" t="s">
        <v>395</v>
      </c>
      <c r="D76" s="791"/>
      <c r="E76" s="66"/>
      <c r="F76" s="734" t="str">
        <f>IF(E73/0.95-E73&lt;E76,"Exceeds 5%","")</f>
        <v/>
      </c>
      <c r="G76" s="667">
        <f>SUM(G73:G75)</f>
        <v>0</v>
      </c>
      <c r="H76" s="649" t="str">
        <f>CONCATENATE("Total ",E1," Resources Available")</f>
        <v>Total 2014 Resources Available</v>
      </c>
      <c r="I76" s="668"/>
      <c r="J76" s="668"/>
    </row>
    <row r="77" spans="2:11">
      <c r="B77" s="528" t="str">
        <f>CONCATENATE(C96,"     ",D96)</f>
        <v xml:space="preserve">     </v>
      </c>
      <c r="C77" s="792" t="s">
        <v>396</v>
      </c>
      <c r="D77" s="793"/>
      <c r="E77" s="227">
        <f>E73+E76</f>
        <v>0</v>
      </c>
      <c r="G77" s="669"/>
      <c r="H77" s="670"/>
      <c r="I77" s="75"/>
      <c r="J77" s="668"/>
    </row>
    <row r="78" spans="2:11">
      <c r="B78" s="528" t="str">
        <f>CONCATENATE(C97,"     ",D97)</f>
        <v xml:space="preserve">     </v>
      </c>
      <c r="C78" s="276"/>
      <c r="D78" s="168" t="s">
        <v>5</v>
      </c>
      <c r="E78" s="81">
        <f>IF(E77-E61&gt;0,E77-E61,0)</f>
        <v>0</v>
      </c>
      <c r="G78" s="671">
        <f>ROUND(C73*0.05+C73,0)</f>
        <v>0</v>
      </c>
      <c r="H78" s="670" t="str">
        <f>CONCATENATE("Less ",E1-2," Expenditures + 5%")</f>
        <v>Less 2012 Expenditures + 5%</v>
      </c>
      <c r="I78" s="668"/>
      <c r="J78" s="668"/>
    </row>
    <row r="79" spans="2:11">
      <c r="B79" s="168"/>
      <c r="C79" s="384" t="s">
        <v>394</v>
      </c>
      <c r="D79" s="724">
        <f ca="1">inputOth!$E$47</f>
        <v>0.01</v>
      </c>
      <c r="E79" s="227">
        <f>ROUND(IF(D79&gt;0,(E78*D79),0),0)</f>
        <v>0</v>
      </c>
      <c r="G79" s="672">
        <f>G76-G78</f>
        <v>0</v>
      </c>
      <c r="H79" s="673" t="str">
        <f>CONCATENATE("Projected ",E1+1," carryover (est.)")</f>
        <v>Projected 2015 carryover (est.)</v>
      </c>
      <c r="I79" s="674"/>
      <c r="J79" s="675"/>
    </row>
    <row r="80" spans="2:11" ht="16.5" thickBot="1">
      <c r="B80" s="46"/>
      <c r="C80" s="794" t="str">
        <f>CONCATENATE("Amount of  ",$E$1-1," Ad Valorem Tax")</f>
        <v>Amount of  2013 Ad Valorem Tax</v>
      </c>
      <c r="D80" s="795"/>
      <c r="E80" s="647">
        <f>E78+E79</f>
        <v>0</v>
      </c>
      <c r="G80" s="2"/>
      <c r="H80" s="2"/>
      <c r="I80" s="2"/>
    </row>
    <row r="81" spans="2:10" ht="17.25" thickTop="1">
      <c r="B81" s="402" t="s">
        <v>7</v>
      </c>
      <c r="C81" s="281"/>
      <c r="D81" s="46"/>
      <c r="E81" s="46"/>
      <c r="G81" s="784" t="s">
        <v>614</v>
      </c>
      <c r="H81" s="785"/>
      <c r="I81" s="785"/>
      <c r="J81" s="786"/>
    </row>
    <row r="82" spans="2:10">
      <c r="B82" s="32"/>
      <c r="G82" s="630"/>
      <c r="H82" s="631"/>
      <c r="I82" s="632"/>
      <c r="J82" s="633"/>
    </row>
    <row r="83" spans="2:10">
      <c r="G83" s="634" t="str">
        <f ca="1">summ!H19</f>
        <v xml:space="preserve">  </v>
      </c>
      <c r="H83" s="631" t="str">
        <f>CONCATENATE("",E1," Fund Mill Rate")</f>
        <v>2014 Fund Mill Rate</v>
      </c>
      <c r="I83" s="632"/>
      <c r="J83" s="633"/>
    </row>
    <row r="84" spans="2:10">
      <c r="G84" s="635" t="str">
        <f ca="1">summ!E19</f>
        <v xml:space="preserve">  </v>
      </c>
      <c r="H84" s="631" t="str">
        <f>CONCATENATE("",E1-1," Fund Mill Rate")</f>
        <v>2013 Fund Mill Rate</v>
      </c>
      <c r="I84" s="632"/>
      <c r="J84" s="633"/>
    </row>
    <row r="85" spans="2:10">
      <c r="G85" s="636">
        <f ca="1">summ!H52</f>
        <v>32.186</v>
      </c>
      <c r="H85" s="631" t="str">
        <f>CONCATENATE("Total ",E1," Mill Rate")</f>
        <v>Total 2014 Mill Rate</v>
      </c>
      <c r="I85" s="632"/>
      <c r="J85" s="633"/>
    </row>
    <row r="86" spans="2:10">
      <c r="G86" s="635">
        <f ca="1">summ!E52</f>
        <v>32.481999999999999</v>
      </c>
      <c r="H86" s="637" t="str">
        <f>CONCATENATE("Total ",E1-1," Mill Rate")</f>
        <v>Total 2013 Mill Rate</v>
      </c>
      <c r="I86" s="638"/>
      <c r="J86" s="639"/>
    </row>
    <row r="88" spans="2:10">
      <c r="G88" s="741" t="s">
        <v>845</v>
      </c>
      <c r="H88" s="740"/>
      <c r="I88" s="739" t="str">
        <f ca="1">cert!F58</f>
        <v>No</v>
      </c>
    </row>
    <row r="94" spans="2:10" hidden="1">
      <c r="C94" s="527" t="str">
        <f>IF(C33&gt;C35,"See Tab A","")</f>
        <v/>
      </c>
      <c r="D94" s="527" t="str">
        <f>IF(D31&gt;D35,"See Tab C","")</f>
        <v/>
      </c>
    </row>
    <row r="95" spans="2:10" hidden="1">
      <c r="C95" s="527" t="str">
        <f>IF(C34&lt;0,"See Tab B","")</f>
        <v/>
      </c>
      <c r="D95" s="527" t="str">
        <f>IF(D34&lt;0,"See Tab D","")</f>
        <v/>
      </c>
    </row>
    <row r="96" spans="2:10" hidden="1">
      <c r="C96" s="527" t="str">
        <f>IF(C71&gt;C75,"See Tab A","")</f>
        <v/>
      </c>
      <c r="D96" s="527" t="str">
        <f>IF(D71&gt;D75,"See Tab C","")</f>
        <v/>
      </c>
    </row>
    <row r="97" spans="3:4" hidden="1">
      <c r="C97" s="527" t="str">
        <f>IF(C74&lt;0,"See Tab B","")</f>
        <v/>
      </c>
      <c r="D97" s="527" t="str">
        <f>IF(D74&lt;0,"See Tab D","")</f>
        <v/>
      </c>
    </row>
  </sheetData>
  <sheetProtection sheet="1"/>
  <mergeCells count="13">
    <mergeCell ref="G24:J24"/>
    <mergeCell ref="G31:J31"/>
    <mergeCell ref="G41:J41"/>
    <mergeCell ref="G64:J64"/>
    <mergeCell ref="C36:D36"/>
    <mergeCell ref="C37:D37"/>
    <mergeCell ref="C41:D41"/>
    <mergeCell ref="C80:D80"/>
    <mergeCell ref="C40:D40"/>
    <mergeCell ref="G71:J71"/>
    <mergeCell ref="G81:J81"/>
    <mergeCell ref="C76:D76"/>
    <mergeCell ref="C77:D77"/>
  </mergeCells>
  <phoneticPr fontId="0" type="noConversion"/>
  <conditionalFormatting sqref="E71">
    <cfRule type="cellIs" dxfId="288" priority="3" stopIfTrue="1" operator="greaterThan">
      <formula>$E$73*0.1</formula>
    </cfRule>
  </conditionalFormatting>
  <conditionalFormatting sqref="E76">
    <cfRule type="cellIs" dxfId="287" priority="4" stopIfTrue="1" operator="greaterThan">
      <formula>$E$73/0.95-$E$73</formula>
    </cfRule>
  </conditionalFormatting>
  <conditionalFormatting sqref="E31">
    <cfRule type="cellIs" dxfId="286" priority="5" stopIfTrue="1" operator="greaterThan">
      <formula>$E$33*0.1</formula>
    </cfRule>
  </conditionalFormatting>
  <conditionalFormatting sqref="E36">
    <cfRule type="cellIs" dxfId="285" priority="6" stopIfTrue="1" operator="greaterThan">
      <formula>$E$33/0.95-$E$33</formula>
    </cfRule>
  </conditionalFormatting>
  <conditionalFormatting sqref="C31">
    <cfRule type="cellIs" dxfId="284" priority="7" stopIfTrue="1" operator="greaterThan">
      <formula>$C$33*0.1</formula>
    </cfRule>
  </conditionalFormatting>
  <conditionalFormatting sqref="D31">
    <cfRule type="cellIs" dxfId="283" priority="8" stopIfTrue="1" operator="greaterThan">
      <formula>$D$33*0.1</formula>
    </cfRule>
  </conditionalFormatting>
  <conditionalFormatting sqref="D33">
    <cfRule type="cellIs" dxfId="282" priority="9" stopIfTrue="1" operator="greaterThan">
      <formula>$D$35</formula>
    </cfRule>
  </conditionalFormatting>
  <conditionalFormatting sqref="C33">
    <cfRule type="cellIs" dxfId="281" priority="10" stopIfTrue="1" operator="greaterThan">
      <formula>$C$35</formula>
    </cfRule>
  </conditionalFormatting>
  <conditionalFormatting sqref="C34 C74">
    <cfRule type="cellIs" dxfId="280" priority="11" stopIfTrue="1" operator="lessThan">
      <formula>0</formula>
    </cfRule>
  </conditionalFormatting>
  <conditionalFormatting sqref="C71">
    <cfRule type="cellIs" dxfId="279" priority="12" stopIfTrue="1" operator="greaterThan">
      <formula>$C$73*0.1</formula>
    </cfRule>
  </conditionalFormatting>
  <conditionalFormatting sqref="D71">
    <cfRule type="cellIs" dxfId="278" priority="13" stopIfTrue="1" operator="greaterThan">
      <formula>$D$73*0.1</formula>
    </cfRule>
  </conditionalFormatting>
  <conditionalFormatting sqref="D73">
    <cfRule type="cellIs" dxfId="277" priority="14" stopIfTrue="1" operator="greaterThan">
      <formula>$D$75</formula>
    </cfRule>
  </conditionalFormatting>
  <conditionalFormatting sqref="C73">
    <cfRule type="cellIs" dxfId="276" priority="15" stopIfTrue="1" operator="greaterThan">
      <formula>$C$75</formula>
    </cfRule>
  </conditionalFormatting>
  <conditionalFormatting sqref="D18">
    <cfRule type="cellIs" dxfId="275" priority="16" stopIfTrue="1" operator="greaterThan">
      <formula>$D$20*0.1</formula>
    </cfRule>
  </conditionalFormatting>
  <conditionalFormatting sqref="C18">
    <cfRule type="cellIs" dxfId="274" priority="17" stopIfTrue="1" operator="greaterThan">
      <formula>$C$20*0.1</formula>
    </cfRule>
  </conditionalFormatting>
  <conditionalFormatting sqref="D58">
    <cfRule type="cellIs" dxfId="273" priority="18" stopIfTrue="1" operator="greaterThan">
      <formula>$D$60*0.1</formula>
    </cfRule>
  </conditionalFormatting>
  <conditionalFormatting sqref="C58">
    <cfRule type="cellIs" dxfId="272" priority="19" stopIfTrue="1" operator="greaterThan">
      <formula>$C$60*0.1</formula>
    </cfRule>
  </conditionalFormatting>
  <conditionalFormatting sqref="E18">
    <cfRule type="cellIs" dxfId="271" priority="20" stopIfTrue="1" operator="greaterThan">
      <formula>$E$20*0.1+E40</formula>
    </cfRule>
  </conditionalFormatting>
  <conditionalFormatting sqref="E58">
    <cfRule type="cellIs" dxfId="270" priority="21" stopIfTrue="1" operator="greaterThan">
      <formula>$E$60*0.1+E80</formula>
    </cfRule>
  </conditionalFormatting>
  <conditionalFormatting sqref="D74 D34">
    <cfRule type="cellIs" dxfId="269" priority="2" stopIfTrue="1" operator="lessThan">
      <formula>0</formula>
    </cfRule>
  </conditionalFormatting>
  <pageMargins left="0.5" right="0.5" top="1" bottom="0.5" header="0.5" footer="0.5"/>
  <pageSetup scale="58" orientation="portrait" blackAndWhite="1" horizontalDpi="120" verticalDpi="14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I49" sqref="I49"/>
    </sheetView>
  </sheetViews>
  <sheetFormatPr defaultRowHeight="15.75"/>
  <cols>
    <col min="1" max="1" width="2.44140625" style="44" customWidth="1"/>
    <col min="2" max="2" width="31.109375" style="44" customWidth="1"/>
    <col min="3" max="4" width="15.77734375" style="44" customWidth="1"/>
    <col min="5" max="5" width="16.33203125" style="44" customWidth="1"/>
    <col min="6" max="6" width="8.88671875" style="44"/>
    <col min="7" max="7" width="10.21875" style="44" customWidth="1"/>
    <col min="8" max="8" width="8.88671875" style="44"/>
    <col min="9" max="9" width="5" style="44" customWidth="1"/>
    <col min="10" max="10" width="10" style="44" customWidth="1"/>
    <col min="11" max="16384" width="8.88671875" style="44"/>
  </cols>
  <sheetData>
    <row r="1" spans="2:5">
      <c r="B1" s="196" t="str">
        <f ca="1">(inputPrYr!D2)</f>
        <v>City of Grainfield</v>
      </c>
      <c r="C1" s="46"/>
      <c r="D1" s="46"/>
      <c r="E1" s="247">
        <f ca="1">inputPrYr!C5</f>
        <v>2014</v>
      </c>
    </row>
    <row r="2" spans="2:5">
      <c r="B2" s="46"/>
      <c r="C2" s="46"/>
      <c r="D2" s="46"/>
      <c r="E2" s="168"/>
    </row>
    <row r="3" spans="2:5">
      <c r="B3" s="248" t="s">
        <v>55</v>
      </c>
      <c r="C3" s="200"/>
      <c r="D3" s="200"/>
      <c r="E3" s="287"/>
    </row>
    <row r="4" spans="2:5">
      <c r="B4" s="51" t="s">
        <v>747</v>
      </c>
      <c r="C4" s="710" t="s">
        <v>789</v>
      </c>
      <c r="D4" s="711" t="s">
        <v>790</v>
      </c>
      <c r="E4" s="143" t="s">
        <v>791</v>
      </c>
    </row>
    <row r="5" spans="2:5">
      <c r="B5" s="532">
        <f ca="1">inputPrYr!B23</f>
        <v>0</v>
      </c>
      <c r="C5" s="224" t="str">
        <f>CONCATENATE("Actual for ",E1-2,"")</f>
        <v>Actual for 2012</v>
      </c>
      <c r="D5" s="224" t="str">
        <f>CONCATENATE("Estimate for ",E1-1,"")</f>
        <v>Estimate for 2013</v>
      </c>
      <c r="E5" s="207" t="str">
        <f>CONCATENATE("Year for ",E1,"")</f>
        <v>Year for 2014</v>
      </c>
    </row>
    <row r="6" spans="2:5">
      <c r="B6" s="251" t="s">
        <v>110</v>
      </c>
      <c r="C6" s="256"/>
      <c r="D6" s="254">
        <f>C34</f>
        <v>0</v>
      </c>
      <c r="E6" s="227">
        <f>D34</f>
        <v>0</v>
      </c>
    </row>
    <row r="7" spans="2:5">
      <c r="B7" s="255" t="s">
        <v>112</v>
      </c>
      <c r="C7" s="254"/>
      <c r="D7" s="254"/>
      <c r="E7" s="227"/>
    </row>
    <row r="8" spans="2:5">
      <c r="B8" s="149" t="s">
        <v>748</v>
      </c>
      <c r="C8" s="256"/>
      <c r="D8" s="254">
        <f ca="1">IF(inputPrYr!H16&gt;0,inputPrYr!G23,inputPrYr!E23)</f>
        <v>0</v>
      </c>
      <c r="E8" s="285" t="s">
        <v>736</v>
      </c>
    </row>
    <row r="9" spans="2:5">
      <c r="B9" s="149" t="s">
        <v>749</v>
      </c>
      <c r="C9" s="256"/>
      <c r="D9" s="256"/>
      <c r="E9" s="66"/>
    </row>
    <row r="10" spans="2:5">
      <c r="B10" s="149" t="s">
        <v>750</v>
      </c>
      <c r="C10" s="256"/>
      <c r="D10" s="256"/>
      <c r="E10" s="227" t="str">
        <f ca="1">mvalloc!D12</f>
        <v xml:space="preserve">  </v>
      </c>
    </row>
    <row r="11" spans="2:5">
      <c r="B11" s="149" t="s">
        <v>751</v>
      </c>
      <c r="C11" s="256"/>
      <c r="D11" s="256"/>
      <c r="E11" s="227" t="str">
        <f ca="1">mvalloc!E12</f>
        <v xml:space="preserve"> </v>
      </c>
    </row>
    <row r="12" spans="2:5">
      <c r="B12" s="158" t="s">
        <v>87</v>
      </c>
      <c r="C12" s="256"/>
      <c r="D12" s="256"/>
      <c r="E12" s="227" t="str">
        <f ca="1">mvalloc!F12</f>
        <v xml:space="preserve"> </v>
      </c>
    </row>
    <row r="13" spans="2:5">
      <c r="B13" s="272"/>
      <c r="C13" s="256"/>
      <c r="D13" s="256"/>
      <c r="E13" s="66"/>
    </row>
    <row r="14" spans="2:5">
      <c r="B14" s="272"/>
      <c r="C14" s="256"/>
      <c r="D14" s="256"/>
      <c r="E14" s="66"/>
    </row>
    <row r="15" spans="2:5">
      <c r="B15" s="272"/>
      <c r="C15" s="256"/>
      <c r="D15" s="256"/>
      <c r="E15" s="66"/>
    </row>
    <row r="16" spans="2:5">
      <c r="B16" s="272"/>
      <c r="C16" s="256"/>
      <c r="D16" s="256"/>
      <c r="E16" s="66"/>
    </row>
    <row r="17" spans="2:10">
      <c r="B17" s="260" t="s">
        <v>753</v>
      </c>
      <c r="C17" s="256"/>
      <c r="D17" s="256"/>
      <c r="E17" s="66"/>
    </row>
    <row r="18" spans="2:10">
      <c r="B18" s="158" t="s">
        <v>655</v>
      </c>
      <c r="C18" s="256"/>
      <c r="D18" s="256"/>
      <c r="E18" s="66"/>
    </row>
    <row r="19" spans="2:10">
      <c r="B19" s="251" t="s">
        <v>507</v>
      </c>
      <c r="C19" s="261" t="str">
        <f>IF(C20*0.1&lt;C18,"Exceed 10% Rule","")</f>
        <v/>
      </c>
      <c r="D19" s="261" t="str">
        <f>IF(D20*0.1&lt;D18,"Exceed 10% Rule","")</f>
        <v/>
      </c>
      <c r="E19" s="298" t="str">
        <f>IF(E20*0.1+E40&lt;E18,"Exceed 10% Rule","")</f>
        <v/>
      </c>
    </row>
    <row r="20" spans="2:10">
      <c r="B20" s="263" t="s">
        <v>754</v>
      </c>
      <c r="C20" s="265">
        <f>SUM(C8:C18)</f>
        <v>0</v>
      </c>
      <c r="D20" s="265">
        <f>SUM(D8:D18)</f>
        <v>0</v>
      </c>
      <c r="E20" s="266">
        <f>SUM(E8:E18)</f>
        <v>0</v>
      </c>
    </row>
    <row r="21" spans="2:10">
      <c r="B21" s="263" t="s">
        <v>755</v>
      </c>
      <c r="C21" s="265">
        <f>C6+C20</f>
        <v>0</v>
      </c>
      <c r="D21" s="265">
        <f>D6+D20</f>
        <v>0</v>
      </c>
      <c r="E21" s="266">
        <f>E6+E20</f>
        <v>0</v>
      </c>
    </row>
    <row r="22" spans="2:10">
      <c r="B22" s="149" t="s">
        <v>0</v>
      </c>
      <c r="C22" s="273"/>
      <c r="D22" s="273"/>
      <c r="E22" s="64"/>
      <c r="F22" s="289"/>
    </row>
    <row r="23" spans="2:10">
      <c r="B23" s="290"/>
      <c r="C23" s="256"/>
      <c r="D23" s="256"/>
      <c r="E23" s="102"/>
    </row>
    <row r="24" spans="2:10">
      <c r="B24" s="290"/>
      <c r="C24" s="256"/>
      <c r="D24" s="256"/>
      <c r="E24" s="102"/>
      <c r="G24" s="801" t="str">
        <f>CONCATENATE("Desired Carryover Into ",E1+1,"")</f>
        <v>Desired Carryover Into 2015</v>
      </c>
      <c r="H24" s="796"/>
      <c r="I24" s="796"/>
      <c r="J24" s="797"/>
    </row>
    <row r="25" spans="2:10">
      <c r="B25" s="290"/>
      <c r="C25" s="256"/>
      <c r="D25" s="256"/>
      <c r="E25" s="102"/>
      <c r="G25" s="648"/>
      <c r="H25" s="75"/>
      <c r="I25" s="649"/>
      <c r="J25" s="650"/>
    </row>
    <row r="26" spans="2:10">
      <c r="B26" s="272"/>
      <c r="C26" s="256"/>
      <c r="D26" s="256"/>
      <c r="E26" s="66"/>
      <c r="G26" s="651" t="s">
        <v>495</v>
      </c>
      <c r="H26" s="649"/>
      <c r="I26" s="649"/>
      <c r="J26" s="652">
        <v>0</v>
      </c>
    </row>
    <row r="27" spans="2:10">
      <c r="B27" s="272"/>
      <c r="C27" s="256"/>
      <c r="D27" s="256"/>
      <c r="E27" s="66"/>
      <c r="G27" s="648" t="s">
        <v>496</v>
      </c>
      <c r="H27" s="75"/>
      <c r="I27" s="75"/>
      <c r="J27" s="653" t="str">
        <f ca="1">IF(J26=0,"",ROUND((J26+E40-G39)/inputOth!E7*1000,3)-G44)</f>
        <v/>
      </c>
    </row>
    <row r="28" spans="2:10">
      <c r="B28" s="272"/>
      <c r="C28" s="256"/>
      <c r="D28" s="256"/>
      <c r="E28" s="66"/>
      <c r="G28" s="654" t="str">
        <f>CONCATENATE("",E1," Tot Exp/Non-Appr Must Be:")</f>
        <v>2014 Tot Exp/Non-Appr Must Be:</v>
      </c>
      <c r="H28" s="655"/>
      <c r="I28" s="656"/>
      <c r="J28" s="657">
        <f>IF(J26&gt;0,IF(E37&lt;E21,IF(J26=G39,E37,((J26-G39)*(1-D39))+E21),E37+(J26-G39)),0)</f>
        <v>0</v>
      </c>
    </row>
    <row r="29" spans="2:10">
      <c r="B29" s="272"/>
      <c r="C29" s="256"/>
      <c r="D29" s="256"/>
      <c r="E29" s="66"/>
      <c r="G29" s="658" t="s">
        <v>615</v>
      </c>
      <c r="H29" s="659"/>
      <c r="I29" s="659"/>
      <c r="J29" s="660">
        <f>IF(J26&gt;0,J28-E37,0)</f>
        <v>0</v>
      </c>
    </row>
    <row r="30" spans="2:10">
      <c r="B30" s="273" t="s">
        <v>654</v>
      </c>
      <c r="C30" s="256"/>
      <c r="D30" s="256"/>
      <c r="E30" s="81" t="str">
        <f ca="1">nhood!E11</f>
        <v/>
      </c>
      <c r="J30" s="2"/>
    </row>
    <row r="31" spans="2:10">
      <c r="B31" s="273" t="s">
        <v>655</v>
      </c>
      <c r="C31" s="256"/>
      <c r="D31" s="256"/>
      <c r="E31" s="66"/>
      <c r="G31" s="801" t="str">
        <f>CONCATENATE("Projected Carryover Into ",E1+1,"")</f>
        <v>Projected Carryover Into 2015</v>
      </c>
      <c r="H31" s="804"/>
      <c r="I31" s="804"/>
      <c r="J31" s="803"/>
    </row>
    <row r="32" spans="2:10">
      <c r="B32" s="273" t="s">
        <v>508</v>
      </c>
      <c r="C32" s="261" t="str">
        <f>IF(C33*0.1&lt;C31,"Exceed 10% Rule","")</f>
        <v/>
      </c>
      <c r="D32" s="261" t="str">
        <f>IF(D33*0.1&lt;D31,"Exceed 10% Rule","")</f>
        <v/>
      </c>
      <c r="E32" s="298" t="str">
        <f>IF(E33*0.1&lt;E31,"Exceed 10% Rule","")</f>
        <v/>
      </c>
      <c r="G32" s="648"/>
      <c r="H32" s="649"/>
      <c r="I32" s="649"/>
      <c r="J32" s="662"/>
    </row>
    <row r="33" spans="2:11">
      <c r="B33" s="263" t="s">
        <v>4</v>
      </c>
      <c r="C33" s="265">
        <f>SUM(C23:C31)</f>
        <v>0</v>
      </c>
      <c r="D33" s="265">
        <f>SUM(D23:D31)</f>
        <v>0</v>
      </c>
      <c r="E33" s="266">
        <f>SUM(E23:E31)</f>
        <v>0</v>
      </c>
      <c r="G33" s="663">
        <f>D34</f>
        <v>0</v>
      </c>
      <c r="H33" s="631" t="str">
        <f>CONCATENATE("",E1-1," Ending Cash Balance (est.)")</f>
        <v>2013 Ending Cash Balance (est.)</v>
      </c>
      <c r="I33" s="664"/>
      <c r="J33" s="662"/>
    </row>
    <row r="34" spans="2:11">
      <c r="B34" s="149" t="s">
        <v>111</v>
      </c>
      <c r="C34" s="269">
        <f>C21-C33</f>
        <v>0</v>
      </c>
      <c r="D34" s="269">
        <f>D21-D33</f>
        <v>0</v>
      </c>
      <c r="E34" s="285" t="s">
        <v>736</v>
      </c>
      <c r="G34" s="663">
        <f>E20</f>
        <v>0</v>
      </c>
      <c r="H34" s="649" t="str">
        <f>CONCATENATE("",E1," Non-AV Receipts (est.)")</f>
        <v>2014 Non-AV Receipts (est.)</v>
      </c>
      <c r="I34" s="664"/>
      <c r="J34" s="662"/>
    </row>
    <row r="35" spans="2:11">
      <c r="B35" s="135" t="str">
        <f>CONCATENATE("",E1-2,"/",E1-1," Budget Authority Amount:")</f>
        <v>2012/2013 Budget Authority Amount:</v>
      </c>
      <c r="C35" s="240">
        <f ca="1">inputOth!B65</f>
        <v>0</v>
      </c>
      <c r="D35" s="240">
        <f ca="1">inputPrYr!D23</f>
        <v>0</v>
      </c>
      <c r="E35" s="285" t="s">
        <v>736</v>
      </c>
      <c r="F35" s="275"/>
      <c r="G35" s="665">
        <f>IF(E39&gt;0,E38,E40)</f>
        <v>0</v>
      </c>
      <c r="H35" s="649" t="str">
        <f>CONCATENATE("",E1," Ad Valorem Tax (est.)")</f>
        <v>2014 Ad Valorem Tax (est.)</v>
      </c>
      <c r="I35" s="664"/>
      <c r="J35" s="644"/>
      <c r="K35" s="640" t="str">
        <f>IF(G35=E40,"","Note: Does not include Delinquent Taxes")</f>
        <v/>
      </c>
    </row>
    <row r="36" spans="2:11">
      <c r="B36" s="135"/>
      <c r="C36" s="790" t="s">
        <v>395</v>
      </c>
      <c r="D36" s="791"/>
      <c r="E36" s="66"/>
      <c r="F36" s="734" t="str">
        <f>IF(E33/0.95-E33&lt;E36,"Exceeds 5%","")</f>
        <v/>
      </c>
      <c r="G36" s="663">
        <f>SUM(G33:G35)</f>
        <v>0</v>
      </c>
      <c r="H36" s="649" t="str">
        <f>CONCATENATE("Total ",E1," Resources Available")</f>
        <v>Total 2014 Resources Available</v>
      </c>
      <c r="I36" s="664"/>
      <c r="J36" s="662"/>
    </row>
    <row r="37" spans="2:11">
      <c r="B37" s="528" t="str">
        <f>CONCATENATE(C94,"     ",D94)</f>
        <v xml:space="preserve">     </v>
      </c>
      <c r="C37" s="792" t="s">
        <v>396</v>
      </c>
      <c r="D37" s="793"/>
      <c r="E37" s="227">
        <f>E33+E36</f>
        <v>0</v>
      </c>
      <c r="G37" s="700"/>
      <c r="H37" s="649"/>
      <c r="I37" s="649"/>
      <c r="J37" s="662"/>
    </row>
    <row r="38" spans="2:11">
      <c r="B38" s="528" t="str">
        <f>CONCATENATE(C95,"     ",D95)</f>
        <v xml:space="preserve">     </v>
      </c>
      <c r="C38" s="276"/>
      <c r="D38" s="168" t="s">
        <v>5</v>
      </c>
      <c r="E38" s="81">
        <f>IF(E37-E21&gt;0,E37-E21,0)</f>
        <v>0</v>
      </c>
      <c r="G38" s="665">
        <f>ROUND(C33*0.05+C33,0)</f>
        <v>0</v>
      </c>
      <c r="H38" s="649" t="str">
        <f>CONCATENATE("Less ",E1-2," Expenditures + 5%")</f>
        <v>Less 2012 Expenditures + 5%</v>
      </c>
      <c r="I38" s="664"/>
      <c r="J38" s="662"/>
    </row>
    <row r="39" spans="2:11">
      <c r="B39" s="168"/>
      <c r="C39" s="384" t="s">
        <v>394</v>
      </c>
      <c r="D39" s="724">
        <f ca="1">inputOth!$E$47</f>
        <v>0.01</v>
      </c>
      <c r="E39" s="227">
        <f>ROUND(IF(D39&gt;0,(E38*D39),0),0)</f>
        <v>0</v>
      </c>
      <c r="G39" s="701">
        <f>G36-G38</f>
        <v>0</v>
      </c>
      <c r="H39" s="702" t="str">
        <f>CONCATENATE("Projected ",E1+1," carryover (est.)")</f>
        <v>Projected 2015 carryover (est.)</v>
      </c>
      <c r="I39" s="703"/>
      <c r="J39" s="675"/>
    </row>
    <row r="40" spans="2:11" ht="16.5" thickBot="1">
      <c r="B40" s="168"/>
      <c r="C40" s="794" t="str">
        <f>CONCATENATE("Amount of  ",$E$1-1," Ad Valorem Tax")</f>
        <v>Amount of  2013 Ad Valorem Tax</v>
      </c>
      <c r="D40" s="795"/>
      <c r="E40" s="647">
        <f>E38+E39</f>
        <v>0</v>
      </c>
      <c r="G40" s="2"/>
      <c r="H40" s="2"/>
      <c r="I40" s="2"/>
      <c r="J40" s="2"/>
    </row>
    <row r="41" spans="2:11" ht="17.25" thickTop="1">
      <c r="B41" s="46"/>
      <c r="C41" s="794"/>
      <c r="D41" s="805"/>
      <c r="E41" s="75"/>
      <c r="G41" s="784" t="s">
        <v>614</v>
      </c>
      <c r="H41" s="785"/>
      <c r="I41" s="785"/>
      <c r="J41" s="786"/>
    </row>
    <row r="42" spans="2:11">
      <c r="B42" s="51"/>
      <c r="C42" s="288"/>
      <c r="D42" s="288"/>
      <c r="E42" s="288"/>
      <c r="G42" s="630"/>
      <c r="H42" s="631"/>
      <c r="I42" s="632"/>
      <c r="J42" s="633"/>
    </row>
    <row r="43" spans="2:11">
      <c r="B43" s="51" t="s">
        <v>747</v>
      </c>
      <c r="C43" s="710" t="s">
        <v>789</v>
      </c>
      <c r="D43" s="711" t="s">
        <v>790</v>
      </c>
      <c r="E43" s="143" t="s">
        <v>791</v>
      </c>
      <c r="G43" s="634" t="str">
        <f ca="1">summ!H20</f>
        <v xml:space="preserve">  </v>
      </c>
      <c r="H43" s="631" t="str">
        <f>CONCATENATE("",E1," Fund Mill Rate")</f>
        <v>2014 Fund Mill Rate</v>
      </c>
      <c r="I43" s="632"/>
      <c r="J43" s="633"/>
    </row>
    <row r="44" spans="2:11">
      <c r="B44" s="532">
        <f ca="1">inputPrYr!B24</f>
        <v>0</v>
      </c>
      <c r="C44" s="224" t="str">
        <f>CONCATENATE("Actual for ",E1-2,"")</f>
        <v>Actual for 2012</v>
      </c>
      <c r="D44" s="224" t="str">
        <f>CONCATENATE("Estimate for ",E1-1,"")</f>
        <v>Estimate for 2013</v>
      </c>
      <c r="E44" s="207" t="str">
        <f>CONCATENATE("Year for ",E1,"")</f>
        <v>Year for 2014</v>
      </c>
      <c r="G44" s="635" t="str">
        <f ca="1">summ!E20</f>
        <v xml:space="preserve">  </v>
      </c>
      <c r="H44" s="631" t="str">
        <f>CONCATENATE("",E1-1," Fund Mill Rate")</f>
        <v>2013 Fund Mill Rate</v>
      </c>
      <c r="I44" s="632"/>
      <c r="J44" s="633"/>
    </row>
    <row r="45" spans="2:11">
      <c r="B45" s="251" t="s">
        <v>110</v>
      </c>
      <c r="C45" s="256"/>
      <c r="D45" s="254">
        <f>C74</f>
        <v>0</v>
      </c>
      <c r="E45" s="227">
        <f>D74</f>
        <v>0</v>
      </c>
      <c r="G45" s="636">
        <f ca="1">summ!H52</f>
        <v>32.186</v>
      </c>
      <c r="H45" s="631" t="str">
        <f>CONCATENATE("Total ",E1," Mill Rate")</f>
        <v>Total 2014 Mill Rate</v>
      </c>
      <c r="I45" s="632"/>
      <c r="J45" s="633"/>
    </row>
    <row r="46" spans="2:11">
      <c r="B46" s="255" t="s">
        <v>112</v>
      </c>
      <c r="C46" s="158"/>
      <c r="D46" s="158"/>
      <c r="E46" s="86"/>
      <c r="G46" s="635">
        <f ca="1">summ!E52</f>
        <v>32.481999999999999</v>
      </c>
      <c r="H46" s="637" t="str">
        <f>CONCATENATE("Total ",E1-1," Mill Rate")</f>
        <v>Total 2013 Mill Rate</v>
      </c>
      <c r="I46" s="638"/>
      <c r="J46" s="639"/>
    </row>
    <row r="47" spans="2:11">
      <c r="B47" s="149" t="s">
        <v>748</v>
      </c>
      <c r="C47" s="256"/>
      <c r="D47" s="254">
        <f ca="1">IF(inputPrYr!H16&gt;0,inputPrYr!G24,inputPrYr!E24)</f>
        <v>0</v>
      </c>
      <c r="E47" s="285" t="s">
        <v>736</v>
      </c>
    </row>
    <row r="48" spans="2:11">
      <c r="B48" s="149" t="s">
        <v>749</v>
      </c>
      <c r="C48" s="256"/>
      <c r="D48" s="256"/>
      <c r="E48" s="66"/>
      <c r="G48" s="741" t="s">
        <v>845</v>
      </c>
      <c r="H48" s="740"/>
      <c r="I48" s="739" t="str">
        <f ca="1">cert!F58</f>
        <v>No</v>
      </c>
    </row>
    <row r="49" spans="2:10">
      <c r="B49" s="149" t="s">
        <v>750</v>
      </c>
      <c r="C49" s="256"/>
      <c r="D49" s="256"/>
      <c r="E49" s="227" t="str">
        <f ca="1">mvalloc!D13</f>
        <v xml:space="preserve">  </v>
      </c>
    </row>
    <row r="50" spans="2:10">
      <c r="B50" s="149" t="s">
        <v>751</v>
      </c>
      <c r="C50" s="256"/>
      <c r="D50" s="256"/>
      <c r="E50" s="227" t="str">
        <f ca="1">mvalloc!E13</f>
        <v xml:space="preserve"> </v>
      </c>
    </row>
    <row r="51" spans="2:10">
      <c r="B51" s="158" t="s">
        <v>87</v>
      </c>
      <c r="C51" s="256"/>
      <c r="D51" s="256"/>
      <c r="E51" s="227" t="str">
        <f ca="1">mvalloc!F13</f>
        <v xml:space="preserve"> </v>
      </c>
    </row>
    <row r="52" spans="2:10">
      <c r="B52" s="66"/>
      <c r="C52" s="256"/>
      <c r="D52" s="256"/>
      <c r="E52" s="66"/>
    </row>
    <row r="53" spans="2:10">
      <c r="B53" s="66"/>
      <c r="C53" s="256"/>
      <c r="D53" s="256"/>
      <c r="E53" s="66"/>
    </row>
    <row r="54" spans="2:10">
      <c r="B54" s="66"/>
      <c r="C54" s="256"/>
      <c r="D54" s="256"/>
      <c r="E54" s="66"/>
    </row>
    <row r="55" spans="2:10">
      <c r="B55" s="272"/>
      <c r="C55" s="256"/>
      <c r="D55" s="256"/>
      <c r="E55" s="66"/>
    </row>
    <row r="56" spans="2:10">
      <c r="B56" s="272"/>
      <c r="C56" s="256"/>
      <c r="D56" s="256"/>
      <c r="E56" s="66"/>
    </row>
    <row r="57" spans="2:10">
      <c r="B57" s="260" t="s">
        <v>753</v>
      </c>
      <c r="C57" s="256"/>
      <c r="D57" s="256"/>
      <c r="E57" s="66"/>
    </row>
    <row r="58" spans="2:10">
      <c r="B58" s="158" t="s">
        <v>655</v>
      </c>
      <c r="C58" s="256"/>
      <c r="D58" s="256"/>
      <c r="E58" s="66"/>
    </row>
    <row r="59" spans="2:10">
      <c r="B59" s="251" t="s">
        <v>507</v>
      </c>
      <c r="C59" s="261" t="str">
        <f>IF(C60*0.1&lt;C58,"Exceed 10% Rule","")</f>
        <v/>
      </c>
      <c r="D59" s="261" t="str">
        <f>IF(D60*0.1&lt;D58,"Exceed 10% Rule","")</f>
        <v/>
      </c>
      <c r="E59" s="298" t="str">
        <f>IF(E60*0.1+E80&lt;E58,"Exceed 10% Rule","")</f>
        <v/>
      </c>
    </row>
    <row r="60" spans="2:10">
      <c r="B60" s="263" t="s">
        <v>754</v>
      </c>
      <c r="C60" s="265">
        <f>SUM(C47:C58)</f>
        <v>0</v>
      </c>
      <c r="D60" s="265">
        <f>SUM(D47:D58)</f>
        <v>0</v>
      </c>
      <c r="E60" s="266">
        <f>SUM(E48:E58)</f>
        <v>0</v>
      </c>
    </row>
    <row r="61" spans="2:10">
      <c r="B61" s="263" t="s">
        <v>755</v>
      </c>
      <c r="C61" s="265">
        <f>C45+C60</f>
        <v>0</v>
      </c>
      <c r="D61" s="265">
        <f>D45+D60</f>
        <v>0</v>
      </c>
      <c r="E61" s="266">
        <f>E45+E60</f>
        <v>0</v>
      </c>
    </row>
    <row r="62" spans="2:10">
      <c r="B62" s="149" t="s">
        <v>0</v>
      </c>
      <c r="C62" s="273"/>
      <c r="D62" s="273"/>
      <c r="E62" s="64"/>
    </row>
    <row r="63" spans="2:10">
      <c r="B63" s="272"/>
      <c r="C63" s="256"/>
      <c r="D63" s="256"/>
      <c r="E63" s="66"/>
    </row>
    <row r="64" spans="2:10">
      <c r="B64" s="272"/>
      <c r="C64" s="256"/>
      <c r="D64" s="256"/>
      <c r="E64" s="66"/>
      <c r="G64" s="801" t="str">
        <f>CONCATENATE("Desired Carryover Into ",E1+1,"")</f>
        <v>Desired Carryover Into 2015</v>
      </c>
      <c r="H64" s="796"/>
      <c r="I64" s="796"/>
      <c r="J64" s="797"/>
    </row>
    <row r="65" spans="2:11">
      <c r="B65" s="272"/>
      <c r="C65" s="256"/>
      <c r="D65" s="256"/>
      <c r="E65" s="66"/>
      <c r="G65" s="648"/>
      <c r="H65" s="75"/>
      <c r="I65" s="649"/>
      <c r="J65" s="650"/>
    </row>
    <row r="66" spans="2:11">
      <c r="B66" s="272"/>
      <c r="C66" s="256"/>
      <c r="D66" s="256"/>
      <c r="E66" s="66"/>
      <c r="G66" s="651" t="s">
        <v>495</v>
      </c>
      <c r="H66" s="649"/>
      <c r="I66" s="649"/>
      <c r="J66" s="652">
        <v>0</v>
      </c>
    </row>
    <row r="67" spans="2:11">
      <c r="B67" s="272"/>
      <c r="C67" s="256"/>
      <c r="D67" s="256"/>
      <c r="E67" s="66"/>
      <c r="G67" s="648" t="s">
        <v>496</v>
      </c>
      <c r="H67" s="75"/>
      <c r="I67" s="75"/>
      <c r="J67" s="653" t="str">
        <f ca="1">IF(J66=0,"",ROUND((J66+E80-G79)/inputOth!E7*1000,3)-G84)</f>
        <v/>
      </c>
    </row>
    <row r="68" spans="2:11">
      <c r="B68" s="272"/>
      <c r="C68" s="256"/>
      <c r="D68" s="256"/>
      <c r="E68" s="66"/>
      <c r="G68" s="654" t="str">
        <f>CONCATENATE("",E1," Tot Exp/Non-Appr Must Be:")</f>
        <v>2014 Tot Exp/Non-Appr Must Be:</v>
      </c>
      <c r="H68" s="655"/>
      <c r="I68" s="656"/>
      <c r="J68" s="657">
        <f>IF(J66&gt;0,IF(E77&lt;E61,IF(J66=G79,E77,((J66-G79)*(1-D79))+E61),E77+(J66-G79)),0)</f>
        <v>0</v>
      </c>
    </row>
    <row r="69" spans="2:11">
      <c r="B69" s="272"/>
      <c r="C69" s="256"/>
      <c r="D69" s="256"/>
      <c r="E69" s="66"/>
      <c r="G69" s="658" t="s">
        <v>615</v>
      </c>
      <c r="H69" s="659"/>
      <c r="I69" s="659"/>
      <c r="J69" s="660">
        <f>IF(J66&gt;0,J68-E77,0)</f>
        <v>0</v>
      </c>
    </row>
    <row r="70" spans="2:11">
      <c r="B70" s="273" t="s">
        <v>654</v>
      </c>
      <c r="C70" s="256"/>
      <c r="D70" s="256"/>
      <c r="E70" s="81" t="str">
        <f ca="1">nhood!E12</f>
        <v/>
      </c>
      <c r="J70" s="2"/>
    </row>
    <row r="71" spans="2:11">
      <c r="B71" s="273" t="s">
        <v>655</v>
      </c>
      <c r="C71" s="256"/>
      <c r="D71" s="256"/>
      <c r="E71" s="66"/>
      <c r="G71" s="801" t="str">
        <f>CONCATENATE("Projected Carryover Into ",E1+1,"")</f>
        <v>Projected Carryover Into 2015</v>
      </c>
      <c r="H71" s="802"/>
      <c r="I71" s="802"/>
      <c r="J71" s="803"/>
    </row>
    <row r="72" spans="2:11">
      <c r="B72" s="273" t="s">
        <v>508</v>
      </c>
      <c r="C72" s="261" t="str">
        <f>IF(C73*0.1&lt;C71,"Exceed 10% Rule","")</f>
        <v/>
      </c>
      <c r="D72" s="261" t="str">
        <f>IF(D73*0.1&lt;D71,"Exceed 10% Rule","")</f>
        <v/>
      </c>
      <c r="E72" s="298" t="str">
        <f>IF(E73*0.1&lt;E71,"Exceed 10% Rule","")</f>
        <v/>
      </c>
      <c r="G72" s="661"/>
      <c r="H72" s="75"/>
      <c r="I72" s="75"/>
      <c r="J72" s="668"/>
    </row>
    <row r="73" spans="2:11">
      <c r="B73" s="263" t="s">
        <v>4</v>
      </c>
      <c r="C73" s="265">
        <f>SUM(C63:C71)</f>
        <v>0</v>
      </c>
      <c r="D73" s="265">
        <f>SUM(D63:D71)</f>
        <v>0</v>
      </c>
      <c r="E73" s="266">
        <f>SUM(E63:E71)</f>
        <v>0</v>
      </c>
      <c r="G73" s="663">
        <f>D74</f>
        <v>0</v>
      </c>
      <c r="H73" s="631" t="str">
        <f>CONCATENATE("",E1-1," Ending Cash Balance (est.)")</f>
        <v>2013 Ending Cash Balance (est.)</v>
      </c>
      <c r="I73" s="664"/>
      <c r="J73" s="668"/>
    </row>
    <row r="74" spans="2:11">
      <c r="B74" s="149" t="s">
        <v>111</v>
      </c>
      <c r="C74" s="269">
        <f>C61-C73</f>
        <v>0</v>
      </c>
      <c r="D74" s="269">
        <f>D61-D73</f>
        <v>0</v>
      </c>
      <c r="E74" s="285" t="s">
        <v>736</v>
      </c>
      <c r="G74" s="663">
        <f>E60</f>
        <v>0</v>
      </c>
      <c r="H74" s="649" t="str">
        <f>CONCATENATE("",E1," Non-AV Receipts (est.)")</f>
        <v>2014 Non-AV Receipts (est.)</v>
      </c>
      <c r="I74" s="664"/>
      <c r="J74" s="668"/>
    </row>
    <row r="75" spans="2:11">
      <c r="B75" s="135" t="str">
        <f>CONCATENATE("",E1-2,"/",E1-1," Budget Authority Amount:")</f>
        <v>2012/2013 Budget Authority Amount:</v>
      </c>
      <c r="C75" s="240">
        <f ca="1">inputOth!B66</f>
        <v>0</v>
      </c>
      <c r="D75" s="240">
        <f ca="1">inputPrYr!D24</f>
        <v>0</v>
      </c>
      <c r="E75" s="285" t="s">
        <v>736</v>
      </c>
      <c r="F75" s="275"/>
      <c r="G75" s="665">
        <f>IF(D79&gt;0,E78,E80)</f>
        <v>0</v>
      </c>
      <c r="H75" s="649" t="str">
        <f>CONCATENATE("",E1," Ad Valorem Tax (est.)")</f>
        <v>2014 Ad Valorem Tax (est.)</v>
      </c>
      <c r="I75" s="664"/>
      <c r="J75" s="668"/>
      <c r="K75" s="640" t="str">
        <f>IF(G75=E80,"","Note: Does not include Delinquent Taxes")</f>
        <v/>
      </c>
    </row>
    <row r="76" spans="2:11">
      <c r="B76" s="135"/>
      <c r="C76" s="790" t="s">
        <v>395</v>
      </c>
      <c r="D76" s="791"/>
      <c r="E76" s="66"/>
      <c r="F76" s="734" t="str">
        <f>IF(E73/0.95-E73&lt;E76,"Exceeds 5%","")</f>
        <v/>
      </c>
      <c r="G76" s="667">
        <f>SUM(G73:G75)</f>
        <v>0</v>
      </c>
      <c r="H76" s="649" t="str">
        <f>CONCATENATE("Total ",E1," Resources Available")</f>
        <v>Total 2014 Resources Available</v>
      </c>
      <c r="I76" s="668"/>
      <c r="J76" s="668"/>
    </row>
    <row r="77" spans="2:11">
      <c r="B77" s="528" t="str">
        <f>CONCATENATE(C96,"     ",D96)</f>
        <v xml:space="preserve">     </v>
      </c>
      <c r="C77" s="792" t="s">
        <v>396</v>
      </c>
      <c r="D77" s="793"/>
      <c r="E77" s="227">
        <f>E73+E76</f>
        <v>0</v>
      </c>
      <c r="G77" s="669"/>
      <c r="H77" s="670"/>
      <c r="I77" s="75"/>
      <c r="J77" s="668"/>
    </row>
    <row r="78" spans="2:11">
      <c r="B78" s="528" t="str">
        <f>CONCATENATE(C97,"     ",D97)</f>
        <v xml:space="preserve">     </v>
      </c>
      <c r="C78" s="276"/>
      <c r="D78" s="168" t="s">
        <v>5</v>
      </c>
      <c r="E78" s="81">
        <f>IF(E77-E61&gt;0,E77-E61,0)</f>
        <v>0</v>
      </c>
      <c r="G78" s="671">
        <f>ROUND(C73*0.05+C73,0)</f>
        <v>0</v>
      </c>
      <c r="H78" s="670" t="str">
        <f>CONCATENATE("Less ",E1-2," Expenditures + 5%")</f>
        <v>Less 2012 Expenditures + 5%</v>
      </c>
      <c r="I78" s="668"/>
      <c r="J78" s="668"/>
    </row>
    <row r="79" spans="2:11">
      <c r="B79" s="168"/>
      <c r="C79" s="384" t="s">
        <v>394</v>
      </c>
      <c r="D79" s="724">
        <f ca="1">inputOth!$E$47</f>
        <v>0.01</v>
      </c>
      <c r="E79" s="227">
        <f>ROUND(IF(D79&gt;0,(E78*D79),0),0)</f>
        <v>0</v>
      </c>
      <c r="G79" s="672">
        <f>G76-G78</f>
        <v>0</v>
      </c>
      <c r="H79" s="673" t="str">
        <f>CONCATENATE("Projected ",E1+1," carryover (est.)")</f>
        <v>Projected 2015 carryover (est.)</v>
      </c>
      <c r="I79" s="674"/>
      <c r="J79" s="675"/>
    </row>
    <row r="80" spans="2:11" ht="16.5" thickBot="1">
      <c r="B80" s="46"/>
      <c r="C80" s="794" t="str">
        <f>CONCATENATE("Amount of  ",$E$1-1," Ad Valorem Tax")</f>
        <v>Amount of  2013 Ad Valorem Tax</v>
      </c>
      <c r="D80" s="795"/>
      <c r="E80" s="647">
        <f>E78+E79</f>
        <v>0</v>
      </c>
      <c r="G80" s="2"/>
      <c r="H80" s="2"/>
      <c r="I80" s="2"/>
    </row>
    <row r="81" spans="2:10" ht="17.25" thickTop="1">
      <c r="B81" s="46"/>
      <c r="C81" s="46"/>
      <c r="D81" s="46"/>
      <c r="E81" s="46"/>
      <c r="G81" s="784" t="s">
        <v>614</v>
      </c>
      <c r="H81" s="785"/>
      <c r="I81" s="785"/>
      <c r="J81" s="786"/>
    </row>
    <row r="82" spans="2:10">
      <c r="B82" s="402" t="s">
        <v>7</v>
      </c>
      <c r="C82" s="281"/>
      <c r="D82" s="46"/>
      <c r="E82" s="46"/>
      <c r="G82" s="630"/>
      <c r="H82" s="631"/>
      <c r="I82" s="632"/>
      <c r="J82" s="633"/>
    </row>
    <row r="83" spans="2:10">
      <c r="G83" s="634" t="str">
        <f ca="1">summ!H21</f>
        <v xml:space="preserve">  </v>
      </c>
      <c r="H83" s="631" t="str">
        <f>CONCATENATE("",E1," Fund Mill Rate")</f>
        <v>2014 Fund Mill Rate</v>
      </c>
      <c r="I83" s="632"/>
      <c r="J83" s="633"/>
    </row>
    <row r="84" spans="2:10">
      <c r="G84" s="635" t="str">
        <f ca="1">summ!E21</f>
        <v xml:space="preserve">  </v>
      </c>
      <c r="H84" s="631" t="str">
        <f>CONCATENATE("",E1-1," Fund Mill Rate")</f>
        <v>2013 Fund Mill Rate</v>
      </c>
      <c r="I84" s="632"/>
      <c r="J84" s="633"/>
    </row>
    <row r="85" spans="2:10">
      <c r="G85" s="636">
        <f ca="1">summ!H52</f>
        <v>32.186</v>
      </c>
      <c r="H85" s="631" t="str">
        <f>CONCATENATE("Total ",E1," Mill Rate")</f>
        <v>Total 2014 Mill Rate</v>
      </c>
      <c r="I85" s="632"/>
      <c r="J85" s="633"/>
    </row>
    <row r="86" spans="2:10">
      <c r="G86" s="635">
        <f ca="1">summ!E52</f>
        <v>32.481999999999999</v>
      </c>
      <c r="H86" s="637" t="str">
        <f>CONCATENATE("Total ",E1-1," Mill Rate")</f>
        <v>Total 2013 Mill Rate</v>
      </c>
      <c r="I86" s="638"/>
      <c r="J86" s="639"/>
    </row>
    <row r="88" spans="2:10">
      <c r="G88" s="741" t="s">
        <v>845</v>
      </c>
      <c r="H88" s="740"/>
      <c r="I88" s="739" t="str">
        <f ca="1">cert!F58</f>
        <v>No</v>
      </c>
    </row>
    <row r="94" spans="2:10" hidden="1">
      <c r="C94" s="527" t="str">
        <f>IF(C33&gt;C35,"See Tab A","")</f>
        <v/>
      </c>
      <c r="D94" s="527" t="str">
        <f>IF(D31&gt;D35,"See Tab C","")</f>
        <v/>
      </c>
    </row>
    <row r="95" spans="2:10" hidden="1">
      <c r="C95" s="527" t="str">
        <f>IF(C34&lt;0,"See Tab B","")</f>
        <v/>
      </c>
      <c r="D95" s="527" t="str">
        <f>IF(D34&lt;0,"See Tab D","")</f>
        <v/>
      </c>
    </row>
    <row r="96" spans="2:10" hidden="1">
      <c r="C96" s="527" t="str">
        <f>IF(C71&gt;C75,"See Tab A","")</f>
        <v/>
      </c>
      <c r="D96" s="527" t="str">
        <f>IF(D71&gt;D75,"See Tab C","")</f>
        <v/>
      </c>
    </row>
    <row r="97" spans="3:4" hidden="1">
      <c r="C97" s="527" t="str">
        <f>IF(C74&lt;0,"See Tab B","")</f>
        <v/>
      </c>
      <c r="D97" s="527" t="str">
        <f>IF(D74&lt;0,"See Tab D","")</f>
        <v/>
      </c>
    </row>
  </sheetData>
  <sheetProtection sheet="1"/>
  <mergeCells count="13">
    <mergeCell ref="G64:J64"/>
    <mergeCell ref="G71:J71"/>
    <mergeCell ref="G81:J81"/>
    <mergeCell ref="C80:D80"/>
    <mergeCell ref="C76:D76"/>
    <mergeCell ref="C77:D77"/>
    <mergeCell ref="C36:D36"/>
    <mergeCell ref="C37:D37"/>
    <mergeCell ref="C41:D41"/>
    <mergeCell ref="C40:D40"/>
    <mergeCell ref="G24:J24"/>
    <mergeCell ref="G31:J31"/>
    <mergeCell ref="G41:J41"/>
  </mergeCells>
  <phoneticPr fontId="0" type="noConversion"/>
  <conditionalFormatting sqref="E71">
    <cfRule type="cellIs" dxfId="268" priority="3" stopIfTrue="1" operator="greaterThan">
      <formula>$E$73*0.1</formula>
    </cfRule>
  </conditionalFormatting>
  <conditionalFormatting sqref="E76">
    <cfRule type="cellIs" dxfId="267" priority="4" stopIfTrue="1" operator="greaterThan">
      <formula>$E$73/0.95-$E$73</formula>
    </cfRule>
  </conditionalFormatting>
  <conditionalFormatting sqref="E31">
    <cfRule type="cellIs" dxfId="266" priority="5" stopIfTrue="1" operator="greaterThan">
      <formula>$E$33*0.1</formula>
    </cfRule>
  </conditionalFormatting>
  <conditionalFormatting sqref="E36">
    <cfRule type="cellIs" dxfId="265" priority="6" stopIfTrue="1" operator="greaterThan">
      <formula>$E$33/0.95-$E$33</formula>
    </cfRule>
  </conditionalFormatting>
  <conditionalFormatting sqref="C31">
    <cfRule type="cellIs" dxfId="264" priority="7" stopIfTrue="1" operator="greaterThan">
      <formula>$C$33*0.1</formula>
    </cfRule>
  </conditionalFormatting>
  <conditionalFormatting sqref="D31">
    <cfRule type="cellIs" dxfId="263" priority="8" stopIfTrue="1" operator="greaterThan">
      <formula>$D$33*0.1</formula>
    </cfRule>
  </conditionalFormatting>
  <conditionalFormatting sqref="D33">
    <cfRule type="cellIs" dxfId="262" priority="9" stopIfTrue="1" operator="greaterThan">
      <formula>$D$35</formula>
    </cfRule>
  </conditionalFormatting>
  <conditionalFormatting sqref="C33">
    <cfRule type="cellIs" dxfId="261" priority="10" stopIfTrue="1" operator="greaterThan">
      <formula>$C$35</formula>
    </cfRule>
  </conditionalFormatting>
  <conditionalFormatting sqref="C34 C74">
    <cfRule type="cellIs" dxfId="260" priority="11" stopIfTrue="1" operator="lessThan">
      <formula>0</formula>
    </cfRule>
  </conditionalFormatting>
  <conditionalFormatting sqref="C71">
    <cfRule type="cellIs" dxfId="259" priority="12" stopIfTrue="1" operator="greaterThan">
      <formula>$C$73*0.1</formula>
    </cfRule>
  </conditionalFormatting>
  <conditionalFormatting sqref="D71">
    <cfRule type="cellIs" dxfId="258" priority="13" stopIfTrue="1" operator="greaterThan">
      <formula>$D$73*0.1</formula>
    </cfRule>
  </conditionalFormatting>
  <conditionalFormatting sqref="D73">
    <cfRule type="cellIs" dxfId="257" priority="14" stopIfTrue="1" operator="greaterThan">
      <formula>$D$75</formula>
    </cfRule>
  </conditionalFormatting>
  <conditionalFormatting sqref="C73">
    <cfRule type="cellIs" dxfId="256" priority="15" stopIfTrue="1" operator="greaterThan">
      <formula>$C$75</formula>
    </cfRule>
  </conditionalFormatting>
  <conditionalFormatting sqref="D18">
    <cfRule type="cellIs" dxfId="255" priority="16" stopIfTrue="1" operator="greaterThan">
      <formula>$D$20*0.1</formula>
    </cfRule>
  </conditionalFormatting>
  <conditionalFormatting sqref="C18">
    <cfRule type="cellIs" dxfId="254" priority="17" stopIfTrue="1" operator="greaterThan">
      <formula>$C$20*0.1</formula>
    </cfRule>
  </conditionalFormatting>
  <conditionalFormatting sqref="D58">
    <cfRule type="cellIs" dxfId="253" priority="18" stopIfTrue="1" operator="greaterThan">
      <formula>$D$60*0.1</formula>
    </cfRule>
  </conditionalFormatting>
  <conditionalFormatting sqref="C58">
    <cfRule type="cellIs" dxfId="252" priority="19" stopIfTrue="1" operator="greaterThan">
      <formula>$C$60*0.1</formula>
    </cfRule>
  </conditionalFormatting>
  <conditionalFormatting sqref="E58">
    <cfRule type="cellIs" dxfId="251" priority="20" stopIfTrue="1" operator="greaterThan">
      <formula>$E$60*0.1+E80</formula>
    </cfRule>
  </conditionalFormatting>
  <conditionalFormatting sqref="E18">
    <cfRule type="cellIs" dxfId="250" priority="21" stopIfTrue="1" operator="greaterThan">
      <formula>$E$20*0.1+E40</formula>
    </cfRule>
  </conditionalFormatting>
  <conditionalFormatting sqref="D74 D34">
    <cfRule type="cellIs" dxfId="249" priority="2" stopIfTrue="1" operator="lessThan">
      <formula>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L54" sqref="L54"/>
    </sheetView>
  </sheetViews>
  <sheetFormatPr defaultRowHeight="15.75"/>
  <cols>
    <col min="1" max="1" width="2.44140625" style="44" customWidth="1"/>
    <col min="2" max="2" width="31.109375" style="44" customWidth="1"/>
    <col min="3" max="4" width="15.77734375" style="44" customWidth="1"/>
    <col min="5" max="5" width="16.21875" style="44" customWidth="1"/>
    <col min="6" max="6" width="8.88671875" style="44"/>
    <col min="7" max="7" width="10.21875" style="44" customWidth="1"/>
    <col min="8" max="8" width="8.88671875" style="44"/>
    <col min="9" max="9" width="5" style="44" customWidth="1"/>
    <col min="10" max="10" width="10" style="44" customWidth="1"/>
    <col min="11" max="16384" width="8.88671875" style="44"/>
  </cols>
  <sheetData>
    <row r="1" spans="2:5">
      <c r="B1" s="196" t="str">
        <f ca="1">(inputPrYr!D2)</f>
        <v>City of Grainfield</v>
      </c>
      <c r="C1" s="46"/>
      <c r="D1" s="46"/>
      <c r="E1" s="247">
        <f ca="1">inputPrYr!C5</f>
        <v>2014</v>
      </c>
    </row>
    <row r="2" spans="2:5">
      <c r="B2" s="46"/>
      <c r="C2" s="46"/>
      <c r="D2" s="46"/>
      <c r="E2" s="168"/>
    </row>
    <row r="3" spans="2:5">
      <c r="B3" s="248" t="s">
        <v>55</v>
      </c>
      <c r="C3" s="200"/>
      <c r="D3" s="200"/>
      <c r="E3" s="287"/>
    </row>
    <row r="4" spans="2:5">
      <c r="B4" s="51" t="s">
        <v>747</v>
      </c>
      <c r="C4" s="710" t="s">
        <v>789</v>
      </c>
      <c r="D4" s="711" t="s">
        <v>790</v>
      </c>
      <c r="E4" s="143" t="s">
        <v>791</v>
      </c>
    </row>
    <row r="5" spans="2:5">
      <c r="B5" s="532">
        <f ca="1">inputPrYr!B25</f>
        <v>0</v>
      </c>
      <c r="C5" s="224" t="str">
        <f>CONCATENATE("Actual for ",E1-2,"")</f>
        <v>Actual for 2012</v>
      </c>
      <c r="D5" s="224" t="str">
        <f>CONCATENATE("Estimate for ",E1-1,"")</f>
        <v>Estimate for 2013</v>
      </c>
      <c r="E5" s="207" t="str">
        <f>CONCATENATE("Year for ",E1,"")</f>
        <v>Year for 2014</v>
      </c>
    </row>
    <row r="6" spans="2:5">
      <c r="B6" s="251" t="s">
        <v>110</v>
      </c>
      <c r="C6" s="256"/>
      <c r="D6" s="254">
        <f>C34</f>
        <v>0</v>
      </c>
      <c r="E6" s="227">
        <f>D34</f>
        <v>0</v>
      </c>
    </row>
    <row r="7" spans="2:5">
      <c r="B7" s="255" t="s">
        <v>112</v>
      </c>
      <c r="C7" s="158"/>
      <c r="D7" s="158"/>
      <c r="E7" s="86"/>
    </row>
    <row r="8" spans="2:5">
      <c r="B8" s="149" t="s">
        <v>748</v>
      </c>
      <c r="C8" s="256"/>
      <c r="D8" s="254">
        <f ca="1">IF(inputPrYr!H16&gt;0,inputPrYr!G25,inputPrYr!E25)</f>
        <v>0</v>
      </c>
      <c r="E8" s="285" t="s">
        <v>736</v>
      </c>
    </row>
    <row r="9" spans="2:5">
      <c r="B9" s="149" t="s">
        <v>749</v>
      </c>
      <c r="C9" s="256"/>
      <c r="D9" s="256"/>
      <c r="E9" s="66"/>
    </row>
    <row r="10" spans="2:5">
      <c r="B10" s="149" t="s">
        <v>750</v>
      </c>
      <c r="C10" s="256"/>
      <c r="D10" s="256"/>
      <c r="E10" s="227" t="str">
        <f ca="1">mvalloc!D14</f>
        <v xml:space="preserve">  </v>
      </c>
    </row>
    <row r="11" spans="2:5">
      <c r="B11" s="149" t="s">
        <v>751</v>
      </c>
      <c r="C11" s="256"/>
      <c r="D11" s="256"/>
      <c r="E11" s="227" t="str">
        <f ca="1">mvalloc!E14</f>
        <v xml:space="preserve"> </v>
      </c>
    </row>
    <row r="12" spans="2:5">
      <c r="B12" s="158" t="s">
        <v>87</v>
      </c>
      <c r="C12" s="256"/>
      <c r="D12" s="256"/>
      <c r="E12" s="227" t="str">
        <f ca="1">mvalloc!F14</f>
        <v xml:space="preserve"> </v>
      </c>
    </row>
    <row r="13" spans="2:5">
      <c r="B13" s="272"/>
      <c r="C13" s="256"/>
      <c r="D13" s="256"/>
      <c r="E13" s="66"/>
    </row>
    <row r="14" spans="2:5">
      <c r="B14" s="272"/>
      <c r="C14" s="256"/>
      <c r="D14" s="256"/>
      <c r="E14" s="66"/>
    </row>
    <row r="15" spans="2:5">
      <c r="B15" s="272"/>
      <c r="C15" s="256"/>
      <c r="D15" s="256"/>
      <c r="E15" s="66"/>
    </row>
    <row r="16" spans="2:5">
      <c r="B16" s="272"/>
      <c r="C16" s="256"/>
      <c r="D16" s="256"/>
      <c r="E16" s="66"/>
    </row>
    <row r="17" spans="2:10">
      <c r="B17" s="260" t="s">
        <v>753</v>
      </c>
      <c r="C17" s="256"/>
      <c r="D17" s="256"/>
      <c r="E17" s="66"/>
    </row>
    <row r="18" spans="2:10">
      <c r="B18" s="158" t="s">
        <v>655</v>
      </c>
      <c r="C18" s="256"/>
      <c r="D18" s="256"/>
      <c r="E18" s="66"/>
    </row>
    <row r="19" spans="2:10">
      <c r="B19" s="251" t="s">
        <v>507</v>
      </c>
      <c r="C19" s="261" t="str">
        <f>IF(C20*0.1&lt;C18,"Exceed 10% Rule","")</f>
        <v/>
      </c>
      <c r="D19" s="261" t="str">
        <f>IF(D20*0.1&lt;D18,"Exceed 10% Rule","")</f>
        <v/>
      </c>
      <c r="E19" s="298" t="str">
        <f>IF(E20*0.1+E40&lt;E18,"Exceed 10% Rule","")</f>
        <v/>
      </c>
    </row>
    <row r="20" spans="2:10">
      <c r="B20" s="263" t="s">
        <v>754</v>
      </c>
      <c r="C20" s="265">
        <f>SUM(C8:C18)</f>
        <v>0</v>
      </c>
      <c r="D20" s="265">
        <f>SUM(D8:D18)</f>
        <v>0</v>
      </c>
      <c r="E20" s="266">
        <f>SUM(E8:E18)</f>
        <v>0</v>
      </c>
    </row>
    <row r="21" spans="2:10">
      <c r="B21" s="263" t="s">
        <v>755</v>
      </c>
      <c r="C21" s="265">
        <f>C6+C20</f>
        <v>0</v>
      </c>
      <c r="D21" s="265">
        <f>D6+D20</f>
        <v>0</v>
      </c>
      <c r="E21" s="266">
        <f>E6+E20</f>
        <v>0</v>
      </c>
    </row>
    <row r="22" spans="2:10">
      <c r="B22" s="149" t="s">
        <v>0</v>
      </c>
      <c r="C22" s="273"/>
      <c r="D22" s="273"/>
      <c r="E22" s="64"/>
    </row>
    <row r="23" spans="2:10">
      <c r="B23" s="272"/>
      <c r="C23" s="256"/>
      <c r="D23" s="256"/>
      <c r="E23" s="66"/>
    </row>
    <row r="24" spans="2:10">
      <c r="B24" s="272"/>
      <c r="C24" s="256"/>
      <c r="D24" s="256"/>
      <c r="E24" s="66"/>
      <c r="G24" s="801" t="str">
        <f>CONCATENATE("Desired Carryover Into ",E1+1,"")</f>
        <v>Desired Carryover Into 2015</v>
      </c>
      <c r="H24" s="796"/>
      <c r="I24" s="796"/>
      <c r="J24" s="797"/>
    </row>
    <row r="25" spans="2:10">
      <c r="B25" s="272"/>
      <c r="C25" s="256"/>
      <c r="D25" s="256"/>
      <c r="E25" s="66"/>
      <c r="G25" s="648"/>
      <c r="H25" s="75"/>
      <c r="I25" s="649"/>
      <c r="J25" s="650"/>
    </row>
    <row r="26" spans="2:10">
      <c r="B26" s="272"/>
      <c r="C26" s="256"/>
      <c r="D26" s="256"/>
      <c r="E26" s="66"/>
      <c r="G26" s="651" t="s">
        <v>495</v>
      </c>
      <c r="H26" s="649"/>
      <c r="I26" s="649"/>
      <c r="J26" s="652">
        <v>0</v>
      </c>
    </row>
    <row r="27" spans="2:10">
      <c r="B27" s="272"/>
      <c r="C27" s="256"/>
      <c r="D27" s="256"/>
      <c r="E27" s="66"/>
      <c r="G27" s="648" t="s">
        <v>496</v>
      </c>
      <c r="H27" s="75"/>
      <c r="I27" s="75"/>
      <c r="J27" s="653" t="str">
        <f ca="1">IF(J26=0,"",ROUND((J26+E40-G39)/inputOth!E7*1000,3)-G44)</f>
        <v/>
      </c>
    </row>
    <row r="28" spans="2:10">
      <c r="B28" s="272"/>
      <c r="C28" s="256"/>
      <c r="D28" s="256"/>
      <c r="E28" s="66"/>
      <c r="G28" s="654" t="str">
        <f>CONCATENATE("",E1," Tot Exp/Non-Appr Must Be:")</f>
        <v>2014 Tot Exp/Non-Appr Must Be:</v>
      </c>
      <c r="H28" s="655"/>
      <c r="I28" s="656"/>
      <c r="J28" s="657">
        <f>IF(J26&gt;0,IF(E37&lt;E21,IF(J26=G39,E37,((J26-G39)*(1-D39))+E21),E37+(J26-G39)),0)</f>
        <v>0</v>
      </c>
    </row>
    <row r="29" spans="2:10">
      <c r="B29" s="272"/>
      <c r="C29" s="256"/>
      <c r="D29" s="256"/>
      <c r="E29" s="66"/>
      <c r="G29" s="658" t="s">
        <v>615</v>
      </c>
      <c r="H29" s="659"/>
      <c r="I29" s="659"/>
      <c r="J29" s="660">
        <f>IF(J26&gt;0,J28-E38,0)</f>
        <v>0</v>
      </c>
    </row>
    <row r="30" spans="2:10">
      <c r="B30" s="273" t="s">
        <v>654</v>
      </c>
      <c r="C30" s="256"/>
      <c r="D30" s="256"/>
      <c r="E30" s="81" t="str">
        <f ca="1">nhood!E13</f>
        <v/>
      </c>
      <c r="J30" s="2"/>
    </row>
    <row r="31" spans="2:10">
      <c r="B31" s="273" t="s">
        <v>655</v>
      </c>
      <c r="C31" s="256"/>
      <c r="D31" s="256"/>
      <c r="E31" s="66"/>
      <c r="G31" s="801" t="str">
        <f>CONCATENATE("Projected Carryover Into ",E1+1,"")</f>
        <v>Projected Carryover Into 2015</v>
      </c>
      <c r="H31" s="804"/>
      <c r="I31" s="804"/>
      <c r="J31" s="803"/>
    </row>
    <row r="32" spans="2:10">
      <c r="B32" s="273" t="s">
        <v>508</v>
      </c>
      <c r="C32" s="261" t="str">
        <f>IF(C33*0.1&lt;C31,"Exceed 10% Rule","")</f>
        <v/>
      </c>
      <c r="D32" s="261" t="str">
        <f>IF(D33*0.1&lt;D31,"Exceed 10% Rule","")</f>
        <v/>
      </c>
      <c r="E32" s="298" t="str">
        <f>IF(E33*0.1&lt;E31,"Exceed 10% Rule","")</f>
        <v/>
      </c>
      <c r="G32" s="648"/>
      <c r="H32" s="649"/>
      <c r="I32" s="649"/>
      <c r="J32" s="662"/>
    </row>
    <row r="33" spans="2:11">
      <c r="B33" s="263" t="s">
        <v>4</v>
      </c>
      <c r="C33" s="265">
        <f>SUM(C23:C31)</f>
        <v>0</v>
      </c>
      <c r="D33" s="265">
        <f>SUM(D23:D31)</f>
        <v>0</v>
      </c>
      <c r="E33" s="266">
        <f>SUM(E23:E31)</f>
        <v>0</v>
      </c>
      <c r="G33" s="663">
        <f>D34</f>
        <v>0</v>
      </c>
      <c r="H33" s="631" t="str">
        <f>CONCATENATE("",E1-1," Ending Cash Balance (est.)")</f>
        <v>2013 Ending Cash Balance (est.)</v>
      </c>
      <c r="I33" s="664"/>
      <c r="J33" s="662"/>
    </row>
    <row r="34" spans="2:11">
      <c r="B34" s="149" t="s">
        <v>111</v>
      </c>
      <c r="C34" s="269">
        <f>C21-C33</f>
        <v>0</v>
      </c>
      <c r="D34" s="269">
        <f>D21-D33</f>
        <v>0</v>
      </c>
      <c r="E34" s="285" t="s">
        <v>736</v>
      </c>
      <c r="G34" s="663">
        <f>E20</f>
        <v>0</v>
      </c>
      <c r="H34" s="649" t="str">
        <f>CONCATENATE("",E1," Non-AV Receipts (est.)")</f>
        <v>2014 Non-AV Receipts (est.)</v>
      </c>
      <c r="I34" s="664"/>
      <c r="J34" s="662"/>
    </row>
    <row r="35" spans="2:11">
      <c r="B35" s="135" t="str">
        <f>CONCATENATE("",E1-2,"/",E1-1," Budget Authority Amount:")</f>
        <v>2012/2013 Budget Authority Amount:</v>
      </c>
      <c r="C35" s="240">
        <f ca="1">inputOth!B67</f>
        <v>0</v>
      </c>
      <c r="D35" s="240">
        <f ca="1">inputPrYr!D25</f>
        <v>0</v>
      </c>
      <c r="E35" s="285" t="s">
        <v>736</v>
      </c>
      <c r="F35" s="275"/>
      <c r="G35" s="665">
        <f>IF(E39&gt;0,E38,E40)</f>
        <v>0</v>
      </c>
      <c r="H35" s="649" t="str">
        <f>CONCATENATE("",E1," Ad Valorem Tax (est.)")</f>
        <v>2014 Ad Valorem Tax (est.)</v>
      </c>
      <c r="I35" s="664"/>
      <c r="J35" s="644"/>
      <c r="K35" s="640" t="str">
        <f>IF(G35=E40,"","Note: Does not include Delinquent Taxes")</f>
        <v/>
      </c>
    </row>
    <row r="36" spans="2:11">
      <c r="B36" s="135"/>
      <c r="C36" s="790" t="s">
        <v>395</v>
      </c>
      <c r="D36" s="791"/>
      <c r="E36" s="66"/>
      <c r="F36" s="734" t="str">
        <f>IF(E33/0.95-E33&lt;E36,"Exceeds 5%","")</f>
        <v/>
      </c>
      <c r="G36" s="663">
        <f>SUM(G33:G35)</f>
        <v>0</v>
      </c>
      <c r="H36" s="649" t="str">
        <f>CONCATENATE("Total ",E1," Resources Available")</f>
        <v>Total 2014 Resources Available</v>
      </c>
      <c r="I36" s="664"/>
      <c r="J36" s="662"/>
    </row>
    <row r="37" spans="2:11">
      <c r="B37" s="528" t="str">
        <f>CONCATENATE(C94,"     ",D94)</f>
        <v xml:space="preserve">     </v>
      </c>
      <c r="C37" s="792" t="s">
        <v>396</v>
      </c>
      <c r="D37" s="793"/>
      <c r="E37" s="227">
        <f>E33+E36</f>
        <v>0</v>
      </c>
      <c r="G37" s="700"/>
      <c r="H37" s="649"/>
      <c r="I37" s="649"/>
      <c r="J37" s="662"/>
    </row>
    <row r="38" spans="2:11">
      <c r="B38" s="528" t="str">
        <f>CONCATENATE(C95,"     ",D95)</f>
        <v xml:space="preserve">     </v>
      </c>
      <c r="C38" s="276"/>
      <c r="D38" s="168" t="s">
        <v>5</v>
      </c>
      <c r="E38" s="81">
        <f>IF(E37-E21&gt;0,E37-E21,0)</f>
        <v>0</v>
      </c>
      <c r="G38" s="665">
        <f>ROUND(C33*0.05+C33,0)</f>
        <v>0</v>
      </c>
      <c r="H38" s="649" t="str">
        <f>CONCATENATE("Less ",E1-2," Expenditures + 5%")</f>
        <v>Less 2012 Expenditures + 5%</v>
      </c>
      <c r="I38" s="664"/>
      <c r="J38" s="662"/>
    </row>
    <row r="39" spans="2:11">
      <c r="B39" s="168"/>
      <c r="C39" s="384" t="s">
        <v>394</v>
      </c>
      <c r="D39" s="724">
        <f ca="1">inputOth!$E$47</f>
        <v>0.01</v>
      </c>
      <c r="E39" s="227">
        <f>ROUND(IF(D39&gt;0,(E38*D39),0),0)</f>
        <v>0</v>
      </c>
      <c r="G39" s="701">
        <f>G36-G38</f>
        <v>0</v>
      </c>
      <c r="H39" s="702" t="str">
        <f>CONCATENATE("Projected ",E1+1," carryover (est.)")</f>
        <v>Projected 2015 carryover (est.)</v>
      </c>
      <c r="I39" s="703"/>
      <c r="J39" s="675"/>
    </row>
    <row r="40" spans="2:11" ht="16.5" thickBot="1">
      <c r="B40" s="97"/>
      <c r="C40" s="794" t="str">
        <f>CONCATENATE("Amount of  ",$E$1-1," Ad Valorem Tax")</f>
        <v>Amount of  2013 Ad Valorem Tax</v>
      </c>
      <c r="D40" s="795"/>
      <c r="E40" s="647">
        <f>E38+E39</f>
        <v>0</v>
      </c>
      <c r="G40" s="2"/>
      <c r="H40" s="2"/>
      <c r="I40" s="2"/>
      <c r="J40" s="2"/>
    </row>
    <row r="41" spans="2:11" ht="17.25" thickTop="1">
      <c r="B41" s="46"/>
      <c r="C41" s="97"/>
      <c r="D41" s="97"/>
      <c r="E41" s="46"/>
      <c r="G41" s="784" t="s">
        <v>614</v>
      </c>
      <c r="H41" s="785"/>
      <c r="I41" s="785"/>
      <c r="J41" s="786"/>
    </row>
    <row r="42" spans="2:11">
      <c r="B42" s="51"/>
      <c r="C42" s="288"/>
      <c r="D42" s="288"/>
      <c r="E42" s="288"/>
      <c r="G42" s="630"/>
      <c r="H42" s="631"/>
      <c r="I42" s="632"/>
      <c r="J42" s="633"/>
    </row>
    <row r="43" spans="2:11">
      <c r="B43" s="51" t="s">
        <v>747</v>
      </c>
      <c r="C43" s="710" t="s">
        <v>789</v>
      </c>
      <c r="D43" s="711" t="s">
        <v>790</v>
      </c>
      <c r="E43" s="143" t="s">
        <v>791</v>
      </c>
      <c r="G43" s="634" t="str">
        <f ca="1">summ!H22</f>
        <v xml:space="preserve">  </v>
      </c>
      <c r="H43" s="631" t="str">
        <f>CONCATENATE("",E1," Fund Mill Rate")</f>
        <v>2014 Fund Mill Rate</v>
      </c>
      <c r="I43" s="632"/>
      <c r="J43" s="633"/>
    </row>
    <row r="44" spans="2:11">
      <c r="B44" s="532">
        <f ca="1">inputPrYr!B26</f>
        <v>0</v>
      </c>
      <c r="C44" s="224" t="str">
        <f>CONCATENATE("Actual for ",E1-2,"")</f>
        <v>Actual for 2012</v>
      </c>
      <c r="D44" s="224" t="str">
        <f>CONCATENATE("Estimate for ",E1-1,"")</f>
        <v>Estimate for 2013</v>
      </c>
      <c r="E44" s="207" t="str">
        <f>CONCATENATE("Year for ",E1,"")</f>
        <v>Year for 2014</v>
      </c>
      <c r="G44" s="635" t="str">
        <f ca="1">summ!E22</f>
        <v xml:space="preserve">  </v>
      </c>
      <c r="H44" s="631" t="str">
        <f>CONCATENATE("",E1-1," Fund Mill Rate")</f>
        <v>2013 Fund Mill Rate</v>
      </c>
      <c r="I44" s="632"/>
      <c r="J44" s="633"/>
    </row>
    <row r="45" spans="2:11">
      <c r="B45" s="251" t="s">
        <v>110</v>
      </c>
      <c r="C45" s="256"/>
      <c r="D45" s="254">
        <f>C74</f>
        <v>0</v>
      </c>
      <c r="E45" s="227">
        <f>D74</f>
        <v>0</v>
      </c>
      <c r="G45" s="636">
        <f ca="1">summ!H52</f>
        <v>32.186</v>
      </c>
      <c r="H45" s="631" t="str">
        <f>CONCATENATE("Total ",E1," Mill Rate")</f>
        <v>Total 2014 Mill Rate</v>
      </c>
      <c r="I45" s="632"/>
      <c r="J45" s="633"/>
    </row>
    <row r="46" spans="2:11">
      <c r="B46" s="255" t="s">
        <v>112</v>
      </c>
      <c r="C46" s="158"/>
      <c r="D46" s="158"/>
      <c r="E46" s="86"/>
      <c r="G46" s="635">
        <f ca="1">summ!E52</f>
        <v>32.481999999999999</v>
      </c>
      <c r="H46" s="637" t="str">
        <f>CONCATENATE("Total ",E1-1," Mill Rate")</f>
        <v>Total 2013 Mill Rate</v>
      </c>
      <c r="I46" s="638"/>
      <c r="J46" s="639"/>
    </row>
    <row r="47" spans="2:11">
      <c r="B47" s="149" t="s">
        <v>748</v>
      </c>
      <c r="C47" s="256"/>
      <c r="D47" s="254">
        <f ca="1">IF(inputPrYr!H16&gt;0,inputPrYr!G26,inputPrYr!E26)</f>
        <v>0</v>
      </c>
      <c r="E47" s="285" t="s">
        <v>736</v>
      </c>
    </row>
    <row r="48" spans="2:11">
      <c r="B48" s="149" t="s">
        <v>749</v>
      </c>
      <c r="C48" s="256"/>
      <c r="D48" s="256"/>
      <c r="E48" s="66"/>
      <c r="G48" s="741" t="s">
        <v>845</v>
      </c>
      <c r="H48" s="740"/>
      <c r="I48" s="739" t="str">
        <f ca="1">cert!F58</f>
        <v>No</v>
      </c>
    </row>
    <row r="49" spans="2:10">
      <c r="B49" s="149" t="s">
        <v>750</v>
      </c>
      <c r="C49" s="256"/>
      <c r="D49" s="256"/>
      <c r="E49" s="227" t="str">
        <f ca="1">mvalloc!D15</f>
        <v xml:space="preserve">  </v>
      </c>
    </row>
    <row r="50" spans="2:10">
      <c r="B50" s="149" t="s">
        <v>751</v>
      </c>
      <c r="C50" s="256"/>
      <c r="D50" s="256"/>
      <c r="E50" s="227" t="str">
        <f ca="1">mvalloc!E15</f>
        <v xml:space="preserve"> </v>
      </c>
    </row>
    <row r="51" spans="2:10">
      <c r="B51" s="158" t="s">
        <v>87</v>
      </c>
      <c r="C51" s="256"/>
      <c r="D51" s="256"/>
      <c r="E51" s="227" t="str">
        <f ca="1">mvalloc!F15</f>
        <v xml:space="preserve"> </v>
      </c>
    </row>
    <row r="52" spans="2:10">
      <c r="B52" s="272"/>
      <c r="C52" s="256"/>
      <c r="D52" s="256"/>
      <c r="E52" s="66"/>
    </row>
    <row r="53" spans="2:10">
      <c r="B53" s="272"/>
      <c r="C53" s="256"/>
      <c r="D53" s="256"/>
      <c r="E53" s="66"/>
    </row>
    <row r="54" spans="2:10">
      <c r="B54" s="272"/>
      <c r="C54" s="256"/>
      <c r="D54" s="256"/>
      <c r="E54" s="66"/>
    </row>
    <row r="55" spans="2:10">
      <c r="B55" s="272"/>
      <c r="C55" s="256"/>
      <c r="D55" s="256"/>
      <c r="E55" s="66"/>
    </row>
    <row r="56" spans="2:10">
      <c r="B56" s="272"/>
      <c r="C56" s="256"/>
      <c r="D56" s="256"/>
      <c r="E56" s="66"/>
    </row>
    <row r="57" spans="2:10">
      <c r="B57" s="260" t="s">
        <v>753</v>
      </c>
      <c r="C57" s="256"/>
      <c r="D57" s="256"/>
      <c r="E57" s="66"/>
    </row>
    <row r="58" spans="2:10">
      <c r="B58" s="158" t="s">
        <v>655</v>
      </c>
      <c r="C58" s="256"/>
      <c r="D58" s="256"/>
      <c r="E58" s="66"/>
    </row>
    <row r="59" spans="2:10">
      <c r="B59" s="251" t="s">
        <v>507</v>
      </c>
      <c r="C59" s="261" t="str">
        <f>IF(C60*0.1&lt;C58,"Exceed 10% Rule","")</f>
        <v/>
      </c>
      <c r="D59" s="261" t="str">
        <f>IF(D60*0.1&lt;D58,"Exceed 10% Rule","")</f>
        <v/>
      </c>
      <c r="E59" s="298" t="str">
        <f>IF(E60*0.1+E80&lt;E58,"Exceed 10% Rule","")</f>
        <v/>
      </c>
    </row>
    <row r="60" spans="2:10">
      <c r="B60" s="263" t="s">
        <v>754</v>
      </c>
      <c r="C60" s="265">
        <f>SUM(C47:C58)</f>
        <v>0</v>
      </c>
      <c r="D60" s="265">
        <f>SUM(D47:D58)</f>
        <v>0</v>
      </c>
      <c r="E60" s="266">
        <f>SUM(E47:E58)</f>
        <v>0</v>
      </c>
    </row>
    <row r="61" spans="2:10">
      <c r="B61" s="263" t="s">
        <v>755</v>
      </c>
      <c r="C61" s="265">
        <f>C45+C60</f>
        <v>0</v>
      </c>
      <c r="D61" s="265">
        <f>D45+D60</f>
        <v>0</v>
      </c>
      <c r="E61" s="266">
        <f>E45+E60</f>
        <v>0</v>
      </c>
    </row>
    <row r="62" spans="2:10">
      <c r="B62" s="149" t="s">
        <v>0</v>
      </c>
      <c r="C62" s="273"/>
      <c r="D62" s="273"/>
      <c r="E62" s="64"/>
    </row>
    <row r="63" spans="2:10">
      <c r="B63" s="272"/>
      <c r="C63" s="256"/>
      <c r="D63" s="256"/>
      <c r="E63" s="66"/>
    </row>
    <row r="64" spans="2:10">
      <c r="B64" s="272"/>
      <c r="C64" s="256"/>
      <c r="D64" s="256"/>
      <c r="E64" s="66"/>
      <c r="G64" s="801" t="str">
        <f>CONCATENATE("Desired Carryover Into ",E1+1,"")</f>
        <v>Desired Carryover Into 2015</v>
      </c>
      <c r="H64" s="796"/>
      <c r="I64" s="796"/>
      <c r="J64" s="797"/>
    </row>
    <row r="65" spans="2:11">
      <c r="B65" s="272"/>
      <c r="C65" s="256"/>
      <c r="D65" s="256"/>
      <c r="E65" s="66"/>
      <c r="G65" s="648"/>
      <c r="H65" s="75"/>
      <c r="I65" s="649"/>
      <c r="J65" s="650"/>
    </row>
    <row r="66" spans="2:11">
      <c r="B66" s="272"/>
      <c r="C66" s="256"/>
      <c r="D66" s="256"/>
      <c r="E66" s="66"/>
      <c r="G66" s="651" t="s">
        <v>495</v>
      </c>
      <c r="H66" s="649"/>
      <c r="I66" s="649"/>
      <c r="J66" s="652">
        <v>0</v>
      </c>
    </row>
    <row r="67" spans="2:11">
      <c r="B67" s="272"/>
      <c r="C67" s="256"/>
      <c r="D67" s="256"/>
      <c r="E67" s="66"/>
      <c r="G67" s="648" t="s">
        <v>496</v>
      </c>
      <c r="H67" s="75"/>
      <c r="I67" s="75"/>
      <c r="J67" s="653" t="str">
        <f ca="1">IF(J66=0,"",ROUND((J66+E80-G79)/inputOth!E7*1000,3)-G84)</f>
        <v/>
      </c>
    </row>
    <row r="68" spans="2:11">
      <c r="B68" s="272"/>
      <c r="C68" s="256"/>
      <c r="D68" s="256"/>
      <c r="E68" s="66"/>
      <c r="G68" s="654" t="str">
        <f>CONCATENATE("",E1," Tot Exp/Non-Appr Must Be:")</f>
        <v>2014 Tot Exp/Non-Appr Must Be:</v>
      </c>
      <c r="H68" s="655"/>
      <c r="I68" s="656"/>
      <c r="J68" s="657">
        <f>IF(J66&gt;0,IF(E77&lt;E61,IF(J66=G79,E77,((J66-G79)*(1-D79))+E61),E77+(J66-G79)),0)</f>
        <v>0</v>
      </c>
    </row>
    <row r="69" spans="2:11">
      <c r="B69" s="272"/>
      <c r="C69" s="256"/>
      <c r="D69" s="256"/>
      <c r="E69" s="382"/>
      <c r="G69" s="658" t="s">
        <v>615</v>
      </c>
      <c r="H69" s="659"/>
      <c r="I69" s="659"/>
      <c r="J69" s="660">
        <f>IF(J66&gt;0,J68-E77,0)</f>
        <v>0</v>
      </c>
    </row>
    <row r="70" spans="2:11">
      <c r="B70" s="273" t="s">
        <v>654</v>
      </c>
      <c r="C70" s="256"/>
      <c r="D70" s="256"/>
      <c r="E70" s="81" t="str">
        <f ca="1">nhood!E14</f>
        <v/>
      </c>
      <c r="J70" s="2"/>
    </row>
    <row r="71" spans="2:11">
      <c r="B71" s="273" t="s">
        <v>655</v>
      </c>
      <c r="C71" s="256"/>
      <c r="D71" s="256"/>
      <c r="E71" s="66"/>
      <c r="G71" s="801" t="str">
        <f>CONCATENATE("Projected Carryover Into ",E1+1,"")</f>
        <v>Projected Carryover Into 2015</v>
      </c>
      <c r="H71" s="802"/>
      <c r="I71" s="802"/>
      <c r="J71" s="803"/>
    </row>
    <row r="72" spans="2:11">
      <c r="B72" s="273" t="s">
        <v>508</v>
      </c>
      <c r="C72" s="261" t="str">
        <f>IF(C73*0.1&lt;C71,"Exceed 10% Rule","")</f>
        <v/>
      </c>
      <c r="D72" s="261" t="str">
        <f>IF(D73*0.1&lt;D71,"Exceed 10% Rule","")</f>
        <v/>
      </c>
      <c r="E72" s="298" t="str">
        <f>IF(E73*0.1&lt;E71,"Exceed 10% Rule","")</f>
        <v/>
      </c>
      <c r="G72" s="661"/>
      <c r="H72" s="75"/>
      <c r="I72" s="75"/>
      <c r="J72" s="668"/>
    </row>
    <row r="73" spans="2:11">
      <c r="B73" s="263" t="s">
        <v>4</v>
      </c>
      <c r="C73" s="265">
        <f>SUM(C63:C71)</f>
        <v>0</v>
      </c>
      <c r="D73" s="265">
        <f>SUM(D63:D71)</f>
        <v>0</v>
      </c>
      <c r="E73" s="266">
        <f>SUM(E63:E71)</f>
        <v>0</v>
      </c>
      <c r="G73" s="663">
        <f>D74</f>
        <v>0</v>
      </c>
      <c r="H73" s="631" t="str">
        <f>CONCATENATE("",E1-1," Ending Cash Balance (est.)")</f>
        <v>2013 Ending Cash Balance (est.)</v>
      </c>
      <c r="I73" s="664"/>
      <c r="J73" s="668"/>
    </row>
    <row r="74" spans="2:11">
      <c r="B74" s="149" t="s">
        <v>111</v>
      </c>
      <c r="C74" s="269">
        <f>C61-C73</f>
        <v>0</v>
      </c>
      <c r="D74" s="269">
        <f>D61-D73</f>
        <v>0</v>
      </c>
      <c r="E74" s="285" t="s">
        <v>736</v>
      </c>
      <c r="G74" s="663">
        <f>E60</f>
        <v>0</v>
      </c>
      <c r="H74" s="649" t="str">
        <f>CONCATENATE("",E1," Non-AV Receipts (est.)")</f>
        <v>2014 Non-AV Receipts (est.)</v>
      </c>
      <c r="I74" s="664"/>
      <c r="J74" s="668"/>
    </row>
    <row r="75" spans="2:11">
      <c r="B75" s="135" t="str">
        <f>CONCATENATE("",E1-2,"/",E1-1," Budget Authority Amount:")</f>
        <v>2012/2013 Budget Authority Amount:</v>
      </c>
      <c r="C75" s="240">
        <f ca="1">inputOth!B68</f>
        <v>0</v>
      </c>
      <c r="D75" s="240">
        <f ca="1">inputPrYr!D26</f>
        <v>0</v>
      </c>
      <c r="E75" s="285" t="s">
        <v>736</v>
      </c>
      <c r="F75" s="275"/>
      <c r="G75" s="665">
        <f>IF(D79&gt;0,E78,E80)</f>
        <v>0</v>
      </c>
      <c r="H75" s="649" t="str">
        <f>CONCATENATE("",E1," Ad Valorem Tax (est.)")</f>
        <v>2014 Ad Valorem Tax (est.)</v>
      </c>
      <c r="I75" s="664"/>
      <c r="J75" s="668"/>
      <c r="K75" s="640" t="str">
        <f>IF(G75=E80,"","Note: Does not include Delinquent Taxes")</f>
        <v/>
      </c>
    </row>
    <row r="76" spans="2:11">
      <c r="B76" s="135"/>
      <c r="C76" s="790" t="s">
        <v>395</v>
      </c>
      <c r="D76" s="791"/>
      <c r="E76" s="66"/>
      <c r="F76" s="734" t="str">
        <f>IF(E73/0.95-E73&lt;E76,"Exceeds 5%","")</f>
        <v/>
      </c>
      <c r="G76" s="667">
        <f>SUM(G73:G75)</f>
        <v>0</v>
      </c>
      <c r="H76" s="649" t="str">
        <f>CONCATENATE("Total ",E1," Resources Available")</f>
        <v>Total 2014 Resources Available</v>
      </c>
      <c r="I76" s="668"/>
      <c r="J76" s="668"/>
    </row>
    <row r="77" spans="2:11">
      <c r="B77" s="528" t="str">
        <f>CONCATENATE(C96,"     ",D96)</f>
        <v xml:space="preserve">     </v>
      </c>
      <c r="C77" s="792" t="s">
        <v>396</v>
      </c>
      <c r="D77" s="793"/>
      <c r="E77" s="227">
        <f>E73+E76</f>
        <v>0</v>
      </c>
      <c r="G77" s="669"/>
      <c r="H77" s="670"/>
      <c r="I77" s="75"/>
      <c r="J77" s="668"/>
    </row>
    <row r="78" spans="2:11">
      <c r="B78" s="528" t="str">
        <f>CONCATENATE(C97,"     ",D97)</f>
        <v xml:space="preserve">     </v>
      </c>
      <c r="C78" s="276"/>
      <c r="D78" s="168" t="s">
        <v>5</v>
      </c>
      <c r="E78" s="81">
        <f>IF(E77-E61&gt;0,E77-E61,0)</f>
        <v>0</v>
      </c>
      <c r="G78" s="671">
        <f>ROUND(C73*0.05+C73,0)</f>
        <v>0</v>
      </c>
      <c r="H78" s="670" t="str">
        <f>CONCATENATE("Less ",E1-2," Expenditures + 5%")</f>
        <v>Less 2012 Expenditures + 5%</v>
      </c>
      <c r="I78" s="668"/>
      <c r="J78" s="668"/>
    </row>
    <row r="79" spans="2:11">
      <c r="B79" s="135"/>
      <c r="C79" s="384" t="s">
        <v>394</v>
      </c>
      <c r="D79" s="724">
        <f ca="1">inputOth!$E$47</f>
        <v>0.01</v>
      </c>
      <c r="E79" s="227">
        <f>ROUND(IF(D79&gt;0,(E78*D79),0),0)</f>
        <v>0</v>
      </c>
      <c r="G79" s="672">
        <f>G76-G78</f>
        <v>0</v>
      </c>
      <c r="H79" s="673" t="str">
        <f>CONCATENATE("Projected ",E1+1," carryover (est.)")</f>
        <v>Projected 2015 carryover (est.)</v>
      </c>
      <c r="I79" s="674"/>
      <c r="J79" s="675"/>
    </row>
    <row r="80" spans="2:11" ht="16.5" thickBot="1">
      <c r="B80" s="168"/>
      <c r="C80" s="794" t="str">
        <f>CONCATENATE("Amount of  ",$E$1-1," Ad Valorem Tax")</f>
        <v>Amount of  2013 Ad Valorem Tax</v>
      </c>
      <c r="D80" s="795"/>
      <c r="E80" s="647">
        <f>E78+E79</f>
        <v>0</v>
      </c>
      <c r="G80" s="2"/>
      <c r="H80" s="2"/>
      <c r="I80" s="2"/>
    </row>
    <row r="81" spans="2:10" ht="17.25" thickTop="1">
      <c r="B81" s="46"/>
      <c r="C81" s="46"/>
      <c r="D81" s="46"/>
      <c r="E81" s="46"/>
      <c r="G81" s="784" t="s">
        <v>614</v>
      </c>
      <c r="H81" s="785"/>
      <c r="I81" s="785"/>
      <c r="J81" s="786"/>
    </row>
    <row r="82" spans="2:10">
      <c r="B82" s="402" t="s">
        <v>7</v>
      </c>
      <c r="C82" s="281"/>
      <c r="D82" s="46"/>
      <c r="E82" s="46"/>
      <c r="G82" s="630"/>
      <c r="H82" s="631"/>
      <c r="I82" s="632"/>
      <c r="J82" s="633"/>
    </row>
    <row r="83" spans="2:10">
      <c r="B83" s="168"/>
      <c r="G83" s="634" t="str">
        <f ca="1">summ!H23</f>
        <v xml:space="preserve">  </v>
      </c>
      <c r="H83" s="631" t="str">
        <f>CONCATENATE("",E1," Fund Mill Rate")</f>
        <v>2014 Fund Mill Rate</v>
      </c>
      <c r="I83" s="632"/>
      <c r="J83" s="633"/>
    </row>
    <row r="84" spans="2:10">
      <c r="G84" s="635" t="str">
        <f ca="1">summ!E23</f>
        <v xml:space="preserve">  </v>
      </c>
      <c r="H84" s="631" t="str">
        <f>CONCATENATE("",E1-1," Fund Mill Rate")</f>
        <v>2013 Fund Mill Rate</v>
      </c>
      <c r="I84" s="632"/>
      <c r="J84" s="633"/>
    </row>
    <row r="85" spans="2:10">
      <c r="G85" s="636">
        <f ca="1">summ!H52</f>
        <v>32.186</v>
      </c>
      <c r="H85" s="631" t="str">
        <f>CONCATENATE("Total ",E1," Mill Rate")</f>
        <v>Total 2014 Mill Rate</v>
      </c>
      <c r="I85" s="632"/>
      <c r="J85" s="633"/>
    </row>
    <row r="86" spans="2:10">
      <c r="G86" s="635">
        <f ca="1">summ!E52</f>
        <v>32.481999999999999</v>
      </c>
      <c r="H86" s="637" t="str">
        <f>CONCATENATE("Total ",E1-1," Mill Rate")</f>
        <v>Total 2013 Mill Rate</v>
      </c>
      <c r="I86" s="638"/>
      <c r="J86" s="639"/>
    </row>
    <row r="88" spans="2:10">
      <c r="G88" s="741" t="s">
        <v>845</v>
      </c>
      <c r="H88" s="740"/>
      <c r="I88" s="739" t="str">
        <f ca="1">cert!F58</f>
        <v>No</v>
      </c>
    </row>
    <row r="94" spans="2:10" hidden="1">
      <c r="C94" s="527" t="str">
        <f>IF(C33&gt;C35,"See Tab A","")</f>
        <v/>
      </c>
      <c r="D94" s="527" t="str">
        <f>IF(D31&gt;D35,"See Tab C","")</f>
        <v/>
      </c>
    </row>
    <row r="95" spans="2:10" hidden="1">
      <c r="C95" s="527" t="str">
        <f>IF(C34&lt;0,"See Tab B","")</f>
        <v/>
      </c>
      <c r="D95" s="527" t="str">
        <f>IF(D34&lt;0,"See Tab D","")</f>
        <v/>
      </c>
    </row>
    <row r="96" spans="2:10" hidden="1">
      <c r="C96" s="527" t="str">
        <f>IF(C71&gt;C75,"See Tab A","")</f>
        <v/>
      </c>
      <c r="D96" s="527" t="str">
        <f>IF(D71&gt;D75,"See Tab C","")</f>
        <v/>
      </c>
    </row>
    <row r="97" spans="3:4" hidden="1">
      <c r="C97" s="527" t="str">
        <f>IF(C74&lt;0,"See Tab B","")</f>
        <v/>
      </c>
      <c r="D97" s="527" t="str">
        <f>IF(D74&lt;0,"See Tab D","")</f>
        <v/>
      </c>
    </row>
  </sheetData>
  <sheetProtection sheet="1"/>
  <mergeCells count="12">
    <mergeCell ref="C40:D40"/>
    <mergeCell ref="G71:J71"/>
    <mergeCell ref="G24:J24"/>
    <mergeCell ref="G31:J31"/>
    <mergeCell ref="G41:J41"/>
    <mergeCell ref="G64:J64"/>
    <mergeCell ref="G81:J81"/>
    <mergeCell ref="C36:D36"/>
    <mergeCell ref="C37:D37"/>
    <mergeCell ref="C76:D76"/>
    <mergeCell ref="C77:D77"/>
    <mergeCell ref="C80:D80"/>
  </mergeCells>
  <phoneticPr fontId="0" type="noConversion"/>
  <conditionalFormatting sqref="E31">
    <cfRule type="cellIs" dxfId="248" priority="4" stopIfTrue="1" operator="greaterThan">
      <formula>$E$33*0.1</formula>
    </cfRule>
  </conditionalFormatting>
  <conditionalFormatting sqref="E36">
    <cfRule type="cellIs" dxfId="247" priority="5" stopIfTrue="1" operator="greaterThan">
      <formula>$E$33/0.95-$E$33</formula>
    </cfRule>
  </conditionalFormatting>
  <conditionalFormatting sqref="E71">
    <cfRule type="cellIs" dxfId="246" priority="6" stopIfTrue="1" operator="greaterThan">
      <formula>$E$73*0.1</formula>
    </cfRule>
  </conditionalFormatting>
  <conditionalFormatting sqref="E76">
    <cfRule type="cellIs" dxfId="245" priority="7" stopIfTrue="1" operator="greaterThan">
      <formula>$E$73/0.95-$E$73</formula>
    </cfRule>
  </conditionalFormatting>
  <conditionalFormatting sqref="C31">
    <cfRule type="cellIs" dxfId="244" priority="8" stopIfTrue="1" operator="greaterThan">
      <formula>$C$33*0.1</formula>
    </cfRule>
  </conditionalFormatting>
  <conditionalFormatting sqref="D31">
    <cfRule type="cellIs" dxfId="243" priority="9" stopIfTrue="1" operator="greaterThan">
      <formula>$D$33*0.1</formula>
    </cfRule>
  </conditionalFormatting>
  <conditionalFormatting sqref="D33">
    <cfRule type="cellIs" dxfId="242" priority="10" stopIfTrue="1" operator="greaterThan">
      <formula>$D$35</formula>
    </cfRule>
  </conditionalFormatting>
  <conditionalFormatting sqref="C33">
    <cfRule type="cellIs" dxfId="241" priority="11" stopIfTrue="1" operator="greaterThan">
      <formula>$C$35</formula>
    </cfRule>
  </conditionalFormatting>
  <conditionalFormatting sqref="C34 C74">
    <cfRule type="cellIs" dxfId="240" priority="12" stopIfTrue="1" operator="lessThan">
      <formula>0</formula>
    </cfRule>
  </conditionalFormatting>
  <conditionalFormatting sqref="C71">
    <cfRule type="cellIs" dxfId="239" priority="13" stopIfTrue="1" operator="greaterThan">
      <formula>$C$73*0.1</formula>
    </cfRule>
  </conditionalFormatting>
  <conditionalFormatting sqref="D71">
    <cfRule type="cellIs" dxfId="238" priority="14" stopIfTrue="1" operator="greaterThan">
      <formula>$D$73*0.1</formula>
    </cfRule>
  </conditionalFormatting>
  <conditionalFormatting sqref="D73">
    <cfRule type="cellIs" dxfId="237" priority="15" stopIfTrue="1" operator="greaterThan">
      <formula>$D$75</formula>
    </cfRule>
  </conditionalFormatting>
  <conditionalFormatting sqref="C73">
    <cfRule type="cellIs" dxfId="236" priority="16" stopIfTrue="1" operator="greaterThan">
      <formula>$C$75</formula>
    </cfRule>
  </conditionalFormatting>
  <conditionalFormatting sqref="D18">
    <cfRule type="cellIs" dxfId="235" priority="17" stopIfTrue="1" operator="greaterThan">
      <formula>$D$20*0.1</formula>
    </cfRule>
  </conditionalFormatting>
  <conditionalFormatting sqref="C18">
    <cfRule type="cellIs" dxfId="234" priority="18" stopIfTrue="1" operator="greaterThan">
      <formula>$C$20*0.1</formula>
    </cfRule>
  </conditionalFormatting>
  <conditionalFormatting sqref="D58">
    <cfRule type="cellIs" dxfId="233" priority="19" stopIfTrue="1" operator="greaterThan">
      <formula>$D$60*0.1</formula>
    </cfRule>
  </conditionalFormatting>
  <conditionalFormatting sqref="C58">
    <cfRule type="cellIs" dxfId="232" priority="20" stopIfTrue="1" operator="greaterThan">
      <formula>$C$60*0.1</formula>
    </cfRule>
  </conditionalFormatting>
  <conditionalFormatting sqref="E18">
    <cfRule type="cellIs" dxfId="231" priority="21" stopIfTrue="1" operator="greaterThan">
      <formula>$E$20*0.1+E40</formula>
    </cfRule>
  </conditionalFormatting>
  <conditionalFormatting sqref="D74 D34">
    <cfRule type="cellIs" dxfId="230" priority="3" stopIfTrue="1" operator="lessThan">
      <formula>0</formula>
    </cfRule>
  </conditionalFormatting>
  <conditionalFormatting sqref="E58">
    <cfRule type="cellIs" dxfId="229" priority="1" stopIfTrue="1" operator="greaterThan">
      <formula>$E$60*0.1+$E$80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I49" sqref="I49"/>
    </sheetView>
  </sheetViews>
  <sheetFormatPr defaultRowHeight="15.75"/>
  <cols>
    <col min="1" max="1" width="2.44140625" style="44" customWidth="1"/>
    <col min="2" max="2" width="31.109375" style="44" customWidth="1"/>
    <col min="3" max="4" width="15.77734375" style="44" customWidth="1"/>
    <col min="5" max="5" width="16.109375" style="44" customWidth="1"/>
    <col min="6" max="6" width="8.88671875" style="44"/>
    <col min="7" max="7" width="10.21875" style="44" customWidth="1"/>
    <col min="8" max="8" width="8.88671875" style="44"/>
    <col min="9" max="9" width="5" style="44" customWidth="1"/>
    <col min="10" max="10" width="10" style="44" customWidth="1"/>
    <col min="11" max="16384" width="8.88671875" style="44"/>
  </cols>
  <sheetData>
    <row r="1" spans="2:5">
      <c r="B1" s="196" t="str">
        <f ca="1">(inputPrYr!D2)</f>
        <v>City of Grainfield</v>
      </c>
      <c r="C1" s="46"/>
      <c r="D1" s="46"/>
      <c r="E1" s="247">
        <f ca="1">inputPrYr!C5</f>
        <v>2014</v>
      </c>
    </row>
    <row r="2" spans="2:5">
      <c r="B2" s="46"/>
      <c r="C2" s="46"/>
      <c r="D2" s="46"/>
      <c r="E2" s="168"/>
    </row>
    <row r="3" spans="2:5">
      <c r="B3" s="248" t="s">
        <v>55</v>
      </c>
      <c r="C3" s="200"/>
      <c r="D3" s="200"/>
      <c r="E3" s="287"/>
    </row>
    <row r="4" spans="2:5">
      <c r="B4" s="51" t="s">
        <v>747</v>
      </c>
      <c r="C4" s="710" t="s">
        <v>789</v>
      </c>
      <c r="D4" s="711" t="s">
        <v>790</v>
      </c>
      <c r="E4" s="143" t="s">
        <v>791</v>
      </c>
    </row>
    <row r="5" spans="2:5">
      <c r="B5" s="532">
        <f ca="1">inputPrYr!B27</f>
        <v>0</v>
      </c>
      <c r="C5" s="224" t="str">
        <f>CONCATENATE("Actual for ",E1-2,"")</f>
        <v>Actual for 2012</v>
      </c>
      <c r="D5" s="224" t="str">
        <f>CONCATENATE("Estimate for ",E1-1,"")</f>
        <v>Estimate for 2013</v>
      </c>
      <c r="E5" s="207" t="str">
        <f>CONCATENATE("Year for ",E1,"")</f>
        <v>Year for 2014</v>
      </c>
    </row>
    <row r="6" spans="2:5">
      <c r="B6" s="251" t="s">
        <v>110</v>
      </c>
      <c r="C6" s="256"/>
      <c r="D6" s="254">
        <f>C34</f>
        <v>0</v>
      </c>
      <c r="E6" s="227">
        <f>D34</f>
        <v>0</v>
      </c>
    </row>
    <row r="7" spans="2:5">
      <c r="B7" s="255" t="s">
        <v>112</v>
      </c>
      <c r="C7" s="158"/>
      <c r="D7" s="158"/>
      <c r="E7" s="86"/>
    </row>
    <row r="8" spans="2:5">
      <c r="B8" s="149" t="s">
        <v>748</v>
      </c>
      <c r="C8" s="256"/>
      <c r="D8" s="254">
        <f ca="1">IF(inputPrYr!H16&gt;0,inputPrYr!G27,inputPrYr!E27)</f>
        <v>0</v>
      </c>
      <c r="E8" s="285" t="s">
        <v>736</v>
      </c>
    </row>
    <row r="9" spans="2:5">
      <c r="B9" s="149" t="s">
        <v>749</v>
      </c>
      <c r="C9" s="256"/>
      <c r="D9" s="256"/>
      <c r="E9" s="66"/>
    </row>
    <row r="10" spans="2:5">
      <c r="B10" s="149" t="s">
        <v>750</v>
      </c>
      <c r="C10" s="256"/>
      <c r="D10" s="256"/>
      <c r="E10" s="227" t="str">
        <f ca="1">mvalloc!D16</f>
        <v xml:space="preserve">  </v>
      </c>
    </row>
    <row r="11" spans="2:5">
      <c r="B11" s="149" t="s">
        <v>751</v>
      </c>
      <c r="C11" s="256"/>
      <c r="D11" s="256"/>
      <c r="E11" s="227" t="str">
        <f ca="1">mvalloc!E16</f>
        <v xml:space="preserve"> </v>
      </c>
    </row>
    <row r="12" spans="2:5">
      <c r="B12" s="158" t="s">
        <v>87</v>
      </c>
      <c r="C12" s="256"/>
      <c r="D12" s="256"/>
      <c r="E12" s="227" t="str">
        <f ca="1">mvalloc!F16</f>
        <v xml:space="preserve"> </v>
      </c>
    </row>
    <row r="13" spans="2:5">
      <c r="B13" s="272"/>
      <c r="C13" s="256"/>
      <c r="D13" s="256"/>
      <c r="E13" s="66"/>
    </row>
    <row r="14" spans="2:5">
      <c r="B14" s="272"/>
      <c r="C14" s="256"/>
      <c r="D14" s="256"/>
      <c r="E14" s="66"/>
    </row>
    <row r="15" spans="2:5">
      <c r="B15" s="272"/>
      <c r="C15" s="256"/>
      <c r="D15" s="256"/>
      <c r="E15" s="66"/>
    </row>
    <row r="16" spans="2:5">
      <c r="B16" s="272"/>
      <c r="C16" s="256"/>
      <c r="D16" s="256"/>
      <c r="E16" s="66"/>
    </row>
    <row r="17" spans="2:10">
      <c r="B17" s="260" t="s">
        <v>753</v>
      </c>
      <c r="C17" s="256"/>
      <c r="D17" s="256"/>
      <c r="E17" s="66"/>
    </row>
    <row r="18" spans="2:10">
      <c r="B18" s="158" t="s">
        <v>655</v>
      </c>
      <c r="C18" s="256"/>
      <c r="D18" s="256"/>
      <c r="E18" s="66"/>
    </row>
    <row r="19" spans="2:10">
      <c r="B19" s="251" t="s">
        <v>507</v>
      </c>
      <c r="C19" s="261" t="str">
        <f>IF(C20*0.1&lt;C18,"Exceed 10% Rule","")</f>
        <v/>
      </c>
      <c r="D19" s="261" t="str">
        <f>IF(D20*0.1&lt;D18,"Exceed 10% Rule","")</f>
        <v/>
      </c>
      <c r="E19" s="298" t="str">
        <f>IF(E20*0.1+E40&lt;E18,"Exceed 10% Rule","")</f>
        <v/>
      </c>
    </row>
    <row r="20" spans="2:10">
      <c r="B20" s="263" t="s">
        <v>754</v>
      </c>
      <c r="C20" s="265">
        <f>SUM(C8:C18)</f>
        <v>0</v>
      </c>
      <c r="D20" s="265">
        <f>SUM(D8:D18)</f>
        <v>0</v>
      </c>
      <c r="E20" s="266">
        <f>SUM(E8:E18)</f>
        <v>0</v>
      </c>
    </row>
    <row r="21" spans="2:10">
      <c r="B21" s="263" t="s">
        <v>755</v>
      </c>
      <c r="C21" s="265">
        <f>C6+C20</f>
        <v>0</v>
      </c>
      <c r="D21" s="265">
        <f>D6+D20</f>
        <v>0</v>
      </c>
      <c r="E21" s="266">
        <f>E6+E20</f>
        <v>0</v>
      </c>
    </row>
    <row r="22" spans="2:10">
      <c r="B22" s="149" t="s">
        <v>0</v>
      </c>
      <c r="C22" s="273"/>
      <c r="D22" s="273"/>
      <c r="E22" s="64"/>
    </row>
    <row r="23" spans="2:10">
      <c r="B23" s="272"/>
      <c r="C23" s="256"/>
      <c r="D23" s="256"/>
      <c r="E23" s="66"/>
    </row>
    <row r="24" spans="2:10">
      <c r="B24" s="272"/>
      <c r="C24" s="256"/>
      <c r="D24" s="256"/>
      <c r="E24" s="66"/>
      <c r="G24" s="801" t="str">
        <f>CONCATENATE("Desired Carryover Into ",E1+1,"")</f>
        <v>Desired Carryover Into 2015</v>
      </c>
      <c r="H24" s="796"/>
      <c r="I24" s="796"/>
      <c r="J24" s="797"/>
    </row>
    <row r="25" spans="2:10">
      <c r="B25" s="272"/>
      <c r="C25" s="256"/>
      <c r="D25" s="256"/>
      <c r="E25" s="66"/>
      <c r="G25" s="648"/>
      <c r="H25" s="75"/>
      <c r="I25" s="649"/>
      <c r="J25" s="650"/>
    </row>
    <row r="26" spans="2:10">
      <c r="B26" s="272"/>
      <c r="C26" s="256"/>
      <c r="D26" s="256"/>
      <c r="E26" s="66"/>
      <c r="G26" s="651" t="s">
        <v>495</v>
      </c>
      <c r="H26" s="649"/>
      <c r="I26" s="649"/>
      <c r="J26" s="652">
        <v>0</v>
      </c>
    </row>
    <row r="27" spans="2:10">
      <c r="B27" s="272"/>
      <c r="C27" s="256"/>
      <c r="D27" s="256"/>
      <c r="E27" s="66"/>
      <c r="G27" s="648" t="s">
        <v>496</v>
      </c>
      <c r="H27" s="75"/>
      <c r="I27" s="75"/>
      <c r="J27" s="653" t="str">
        <f ca="1">IF(J26=0,"",ROUND((J26+E40-G39)/inputOth!E7*1000,3)-G44)</f>
        <v/>
      </c>
    </row>
    <row r="28" spans="2:10">
      <c r="B28" s="272"/>
      <c r="C28" s="256"/>
      <c r="D28" s="256"/>
      <c r="E28" s="66"/>
      <c r="G28" s="654" t="str">
        <f>CONCATENATE("",E1," Tot Exp/Non-Appr Must Be:")</f>
        <v>2014 Tot Exp/Non-Appr Must Be:</v>
      </c>
      <c r="H28" s="655"/>
      <c r="I28" s="656"/>
      <c r="J28" s="657">
        <f>IF(J26&gt;0,IF(E37&lt;E21,IF(J26=G39,E37,((J26-G39)*(1-D39))+E21),E37+(J26-G39)),0)</f>
        <v>0</v>
      </c>
    </row>
    <row r="29" spans="2:10">
      <c r="B29" s="272"/>
      <c r="C29" s="256"/>
      <c r="D29" s="256"/>
      <c r="E29" s="66"/>
      <c r="G29" s="658" t="s">
        <v>615</v>
      </c>
      <c r="H29" s="659"/>
      <c r="I29" s="659"/>
      <c r="J29" s="660">
        <f>IF(J26&gt;0,J28-E37,0)</f>
        <v>0</v>
      </c>
    </row>
    <row r="30" spans="2:10">
      <c r="B30" s="273" t="s">
        <v>654</v>
      </c>
      <c r="C30" s="256"/>
      <c r="D30" s="256"/>
      <c r="E30" s="81" t="str">
        <f ca="1">nhood!E15</f>
        <v/>
      </c>
      <c r="J30" s="2"/>
    </row>
    <row r="31" spans="2:10">
      <c r="B31" s="273" t="s">
        <v>655</v>
      </c>
      <c r="C31" s="256"/>
      <c r="D31" s="256"/>
      <c r="E31" s="66"/>
      <c r="G31" s="801" t="str">
        <f>CONCATENATE("Projected Carryover Into ",E1+1,"")</f>
        <v>Projected Carryover Into 2015</v>
      </c>
      <c r="H31" s="804"/>
      <c r="I31" s="804"/>
      <c r="J31" s="803"/>
    </row>
    <row r="32" spans="2:10">
      <c r="B32" s="273" t="s">
        <v>508</v>
      </c>
      <c r="C32" s="261" t="str">
        <f>IF(C33*0.1&lt;C31,"Exceed 10% Rule","")</f>
        <v/>
      </c>
      <c r="D32" s="261" t="str">
        <f>IF(D33*0.1&lt;D31,"Exceed 10% Rule","")</f>
        <v/>
      </c>
      <c r="E32" s="298" t="str">
        <f>IF(E33*0.1&lt;E31,"Exceed 10% Rule","")</f>
        <v/>
      </c>
      <c r="G32" s="648"/>
      <c r="H32" s="649"/>
      <c r="I32" s="649"/>
      <c r="J32" s="662"/>
    </row>
    <row r="33" spans="2:11">
      <c r="B33" s="263" t="s">
        <v>4</v>
      </c>
      <c r="C33" s="265">
        <f>SUM(C23:C31)</f>
        <v>0</v>
      </c>
      <c r="D33" s="265">
        <f>SUM(D23:D31)</f>
        <v>0</v>
      </c>
      <c r="E33" s="266">
        <f>SUM(E23:E31)</f>
        <v>0</v>
      </c>
      <c r="G33" s="663">
        <f>D34</f>
        <v>0</v>
      </c>
      <c r="H33" s="631" t="str">
        <f>CONCATENATE("",E1-1," Ending Cash Balance (est.)")</f>
        <v>2013 Ending Cash Balance (est.)</v>
      </c>
      <c r="I33" s="664"/>
      <c r="J33" s="662"/>
    </row>
    <row r="34" spans="2:11">
      <c r="B34" s="149" t="s">
        <v>111</v>
      </c>
      <c r="C34" s="269">
        <f>C21-C33</f>
        <v>0</v>
      </c>
      <c r="D34" s="269">
        <f>D21-D33</f>
        <v>0</v>
      </c>
      <c r="E34" s="285" t="s">
        <v>736</v>
      </c>
      <c r="G34" s="663">
        <f>E20</f>
        <v>0</v>
      </c>
      <c r="H34" s="649" t="str">
        <f>CONCATENATE("",E1," Non-AV Receipts (est.)")</f>
        <v>2014 Non-AV Receipts (est.)</v>
      </c>
      <c r="I34" s="664"/>
      <c r="J34" s="662"/>
    </row>
    <row r="35" spans="2:11">
      <c r="B35" s="135" t="str">
        <f>CONCATENATE("",E1-2,"/",E1-1," Budget Authority Amount:")</f>
        <v>2012/2013 Budget Authority Amount:</v>
      </c>
      <c r="C35" s="240">
        <f ca="1">inputOth!B69</f>
        <v>0</v>
      </c>
      <c r="D35" s="240">
        <f ca="1">inputPrYr!D27</f>
        <v>0</v>
      </c>
      <c r="E35" s="285" t="s">
        <v>736</v>
      </c>
      <c r="F35" s="275"/>
      <c r="G35" s="665">
        <f>IF(E39&gt;0,E38,E40)</f>
        <v>0</v>
      </c>
      <c r="H35" s="649" t="str">
        <f>CONCATENATE("",E1," Ad Valorem Tax (est.)")</f>
        <v>2014 Ad Valorem Tax (est.)</v>
      </c>
      <c r="I35" s="664"/>
      <c r="J35" s="644"/>
      <c r="K35" s="640" t="str">
        <f>IF(G35=E40,"","Note: Does not include Delinquent Taxes")</f>
        <v/>
      </c>
    </row>
    <row r="36" spans="2:11">
      <c r="B36" s="135"/>
      <c r="C36" s="790" t="s">
        <v>395</v>
      </c>
      <c r="D36" s="791"/>
      <c r="E36" s="66"/>
      <c r="F36" s="734" t="str">
        <f>IF(E33/0.95-E33&lt;E36,"Exceeds 5%","")</f>
        <v/>
      </c>
      <c r="G36" s="663">
        <f>SUM(G33:G35)</f>
        <v>0</v>
      </c>
      <c r="H36" s="649" t="str">
        <f>CONCATENATE("Total ",E1," Resources Available")</f>
        <v>Total 2014 Resources Available</v>
      </c>
      <c r="I36" s="664"/>
      <c r="J36" s="662"/>
    </row>
    <row r="37" spans="2:11">
      <c r="B37" s="528" t="str">
        <f>CONCATENATE(C94,"     ",D94)</f>
        <v xml:space="preserve">     </v>
      </c>
      <c r="C37" s="792" t="s">
        <v>396</v>
      </c>
      <c r="D37" s="793"/>
      <c r="E37" s="227">
        <f>E33+E36</f>
        <v>0</v>
      </c>
      <c r="G37" s="700"/>
      <c r="H37" s="649"/>
      <c r="I37" s="649"/>
      <c r="J37" s="662"/>
    </row>
    <row r="38" spans="2:11">
      <c r="B38" s="528" t="str">
        <f>CONCATENATE(C95,"     ",D95)</f>
        <v xml:space="preserve">     </v>
      </c>
      <c r="C38" s="276"/>
      <c r="D38" s="168" t="s">
        <v>5</v>
      </c>
      <c r="E38" s="81">
        <f>IF(E37-E21&gt;0,E37-E21,0)</f>
        <v>0</v>
      </c>
      <c r="G38" s="665">
        <f>ROUND(C33*0.05+C33,0)</f>
        <v>0</v>
      </c>
      <c r="H38" s="649" t="str">
        <f>CONCATENATE("Less ",E1-2," Expenditures + 5%")</f>
        <v>Less 2012 Expenditures + 5%</v>
      </c>
      <c r="I38" s="664"/>
      <c r="J38" s="662"/>
    </row>
    <row r="39" spans="2:11">
      <c r="B39" s="168"/>
      <c r="C39" s="384" t="s">
        <v>394</v>
      </c>
      <c r="D39" s="724">
        <f ca="1">inputOth!$E$47</f>
        <v>0.01</v>
      </c>
      <c r="E39" s="227">
        <f>ROUND(IF(D39&gt;0,(E38*D39),0),0)</f>
        <v>0</v>
      </c>
      <c r="G39" s="701">
        <f>G36-G38</f>
        <v>0</v>
      </c>
      <c r="H39" s="702" t="str">
        <f>CONCATENATE("Projected ",E1+1," carryover (est.)")</f>
        <v>Projected 2015 carryover (est.)</v>
      </c>
      <c r="I39" s="703"/>
      <c r="J39" s="675"/>
    </row>
    <row r="40" spans="2:11" ht="16.5" thickBot="1">
      <c r="B40" s="46"/>
      <c r="C40" s="794" t="str">
        <f>CONCATENATE("Amount of  ",$E$1-1," Ad Valorem Tax")</f>
        <v>Amount of  2013 Ad Valorem Tax</v>
      </c>
      <c r="D40" s="795"/>
      <c r="E40" s="647">
        <f>E38+E39</f>
        <v>0</v>
      </c>
      <c r="G40" s="2"/>
      <c r="H40" s="2"/>
      <c r="I40" s="2"/>
      <c r="J40" s="2"/>
    </row>
    <row r="41" spans="2:11" ht="17.25" thickTop="1">
      <c r="B41" s="46"/>
      <c r="C41" s="46"/>
      <c r="D41" s="46"/>
      <c r="E41" s="46"/>
      <c r="G41" s="784" t="s">
        <v>614</v>
      </c>
      <c r="H41" s="785"/>
      <c r="I41" s="785"/>
      <c r="J41" s="786"/>
    </row>
    <row r="42" spans="2:11">
      <c r="B42" s="51"/>
      <c r="C42" s="141"/>
      <c r="D42" s="141"/>
      <c r="E42" s="141"/>
      <c r="G42" s="630"/>
      <c r="H42" s="631"/>
      <c r="I42" s="632"/>
      <c r="J42" s="633"/>
    </row>
    <row r="43" spans="2:11">
      <c r="B43" s="51" t="s">
        <v>747</v>
      </c>
      <c r="C43" s="710" t="s">
        <v>789</v>
      </c>
      <c r="D43" s="711" t="s">
        <v>790</v>
      </c>
      <c r="E43" s="143" t="s">
        <v>791</v>
      </c>
      <c r="G43" s="634" t="str">
        <f ca="1">summ!H24</f>
        <v xml:space="preserve">  </v>
      </c>
      <c r="H43" s="631" t="str">
        <f>CONCATENATE("",E1," Fund Mill Rate")</f>
        <v>2014 Fund Mill Rate</v>
      </c>
      <c r="I43" s="632"/>
      <c r="J43" s="633"/>
    </row>
    <row r="44" spans="2:11">
      <c r="B44" s="532">
        <f ca="1">inputPrYr!B28</f>
        <v>0</v>
      </c>
      <c r="C44" s="224" t="str">
        <f>CONCATENATE("Actual for ",E1-2,"")</f>
        <v>Actual for 2012</v>
      </c>
      <c r="D44" s="224" t="str">
        <f>CONCATENATE("Estimate for ",E1-1,"")</f>
        <v>Estimate for 2013</v>
      </c>
      <c r="E44" s="207" t="str">
        <f>CONCATENATE("Year for ",E1,"")</f>
        <v>Year for 2014</v>
      </c>
      <c r="G44" s="635" t="str">
        <f ca="1">summ!E24</f>
        <v xml:space="preserve">  </v>
      </c>
      <c r="H44" s="631" t="str">
        <f>CONCATENATE("",E1-1," Fund Mill Rate")</f>
        <v>2013 Fund Mill Rate</v>
      </c>
      <c r="I44" s="632"/>
      <c r="J44" s="633"/>
    </row>
    <row r="45" spans="2:11">
      <c r="B45" s="251" t="s">
        <v>110</v>
      </c>
      <c r="C45" s="256"/>
      <c r="D45" s="254">
        <f>C74</f>
        <v>0</v>
      </c>
      <c r="E45" s="227">
        <f>D74</f>
        <v>0</v>
      </c>
      <c r="G45" s="636">
        <f ca="1">summ!H52</f>
        <v>32.186</v>
      </c>
      <c r="H45" s="631" t="str">
        <f>CONCATENATE("Total ",E1," Mill Rate")</f>
        <v>Total 2014 Mill Rate</v>
      </c>
      <c r="I45" s="632"/>
      <c r="J45" s="633"/>
    </row>
    <row r="46" spans="2:11">
      <c r="B46" s="255" t="s">
        <v>112</v>
      </c>
      <c r="C46" s="158"/>
      <c r="D46" s="158"/>
      <c r="E46" s="86"/>
      <c r="G46" s="635">
        <f ca="1">summ!E52</f>
        <v>32.481999999999999</v>
      </c>
      <c r="H46" s="637" t="str">
        <f>CONCATENATE("Total ",E1-1," Mill Rate")</f>
        <v>Total 2013 Mill Rate</v>
      </c>
      <c r="I46" s="638"/>
      <c r="J46" s="639"/>
    </row>
    <row r="47" spans="2:11">
      <c r="B47" s="149" t="s">
        <v>748</v>
      </c>
      <c r="C47" s="256"/>
      <c r="D47" s="254">
        <f ca="1">IF(inputPrYr!H16&gt;0,inputPrYr!G28,inputPrYr!E28)</f>
        <v>0</v>
      </c>
      <c r="E47" s="285" t="s">
        <v>736</v>
      </c>
    </row>
    <row r="48" spans="2:11">
      <c r="B48" s="149" t="s">
        <v>749</v>
      </c>
      <c r="C48" s="256"/>
      <c r="D48" s="256"/>
      <c r="E48" s="66"/>
      <c r="G48" s="741" t="s">
        <v>845</v>
      </c>
      <c r="H48" s="740"/>
      <c r="I48" s="739" t="str">
        <f ca="1">cert!F58</f>
        <v>No</v>
      </c>
    </row>
    <row r="49" spans="2:10">
      <c r="B49" s="149" t="s">
        <v>750</v>
      </c>
      <c r="C49" s="256"/>
      <c r="D49" s="256"/>
      <c r="E49" s="227" t="str">
        <f ca="1">mvalloc!D17</f>
        <v xml:space="preserve">  </v>
      </c>
    </row>
    <row r="50" spans="2:10">
      <c r="B50" s="149" t="s">
        <v>751</v>
      </c>
      <c r="C50" s="256"/>
      <c r="D50" s="256"/>
      <c r="E50" s="227" t="str">
        <f ca="1">mvalloc!E17</f>
        <v xml:space="preserve"> </v>
      </c>
    </row>
    <row r="51" spans="2:10">
      <c r="B51" s="158" t="s">
        <v>87</v>
      </c>
      <c r="C51" s="256"/>
      <c r="D51" s="256"/>
      <c r="E51" s="227" t="str">
        <f ca="1">mvalloc!F17</f>
        <v xml:space="preserve"> </v>
      </c>
    </row>
    <row r="52" spans="2:10">
      <c r="B52" s="272"/>
      <c r="C52" s="256"/>
      <c r="D52" s="256"/>
      <c r="E52" s="68"/>
    </row>
    <row r="53" spans="2:10">
      <c r="B53" s="272"/>
      <c r="C53" s="256"/>
      <c r="D53" s="256"/>
      <c r="E53" s="68"/>
    </row>
    <row r="54" spans="2:10">
      <c r="B54" s="272"/>
      <c r="C54" s="256"/>
      <c r="D54" s="256"/>
      <c r="E54" s="66"/>
    </row>
    <row r="55" spans="2:10">
      <c r="B55" s="272"/>
      <c r="C55" s="256"/>
      <c r="D55" s="256"/>
      <c r="E55" s="66"/>
    </row>
    <row r="56" spans="2:10">
      <c r="B56" s="272"/>
      <c r="C56" s="256"/>
      <c r="D56" s="256"/>
      <c r="E56" s="66"/>
    </row>
    <row r="57" spans="2:10">
      <c r="B57" s="260" t="s">
        <v>753</v>
      </c>
      <c r="C57" s="256"/>
      <c r="D57" s="256"/>
      <c r="E57" s="66"/>
    </row>
    <row r="58" spans="2:10">
      <c r="B58" s="158" t="s">
        <v>655</v>
      </c>
      <c r="C58" s="256"/>
      <c r="D58" s="256"/>
      <c r="E58" s="66"/>
    </row>
    <row r="59" spans="2:10">
      <c r="B59" s="251" t="s">
        <v>507</v>
      </c>
      <c r="C59" s="261" t="str">
        <f>IF(C60*0.1&lt;C58,"Exceed 10% Rule","")</f>
        <v/>
      </c>
      <c r="D59" s="261" t="str">
        <f>IF(D60*0.1&lt;D58,"Exceed 10% Rule","")</f>
        <v/>
      </c>
      <c r="E59" s="298" t="str">
        <f>IF(E60*0.1+E80&lt;E58,"Exceed 10% Rule","")</f>
        <v/>
      </c>
    </row>
    <row r="60" spans="2:10">
      <c r="B60" s="263" t="s">
        <v>754</v>
      </c>
      <c r="C60" s="265">
        <f>SUM(C47:C58)</f>
        <v>0</v>
      </c>
      <c r="D60" s="265">
        <f>SUM(D47:D58)</f>
        <v>0</v>
      </c>
      <c r="E60" s="266">
        <f>SUM(E47:E58)</f>
        <v>0</v>
      </c>
    </row>
    <row r="61" spans="2:10">
      <c r="B61" s="263" t="s">
        <v>755</v>
      </c>
      <c r="C61" s="265">
        <f>C45+C60</f>
        <v>0</v>
      </c>
      <c r="D61" s="265">
        <f>D45+D60</f>
        <v>0</v>
      </c>
      <c r="E61" s="266">
        <f>E45+E60</f>
        <v>0</v>
      </c>
    </row>
    <row r="62" spans="2:10">
      <c r="B62" s="149" t="s">
        <v>0</v>
      </c>
      <c r="C62" s="273"/>
      <c r="D62" s="273"/>
      <c r="E62" s="64"/>
    </row>
    <row r="63" spans="2:10">
      <c r="B63" s="272"/>
      <c r="C63" s="256"/>
      <c r="D63" s="256"/>
      <c r="E63" s="66"/>
    </row>
    <row r="64" spans="2:10">
      <c r="B64" s="272"/>
      <c r="C64" s="256"/>
      <c r="D64" s="256"/>
      <c r="E64" s="66"/>
      <c r="G64" s="801" t="str">
        <f>CONCATENATE("Desired Carryover Into ",E1+1,"")</f>
        <v>Desired Carryover Into 2015</v>
      </c>
      <c r="H64" s="796"/>
      <c r="I64" s="796"/>
      <c r="J64" s="797"/>
    </row>
    <row r="65" spans="2:11">
      <c r="B65" s="272"/>
      <c r="C65" s="256"/>
      <c r="D65" s="256"/>
      <c r="E65" s="66"/>
      <c r="G65" s="648"/>
      <c r="H65" s="75"/>
      <c r="I65" s="649"/>
      <c r="J65" s="650"/>
    </row>
    <row r="66" spans="2:11">
      <c r="B66" s="272"/>
      <c r="C66" s="256"/>
      <c r="D66" s="256"/>
      <c r="E66" s="66"/>
      <c r="G66" s="651" t="s">
        <v>495</v>
      </c>
      <c r="H66" s="649"/>
      <c r="I66" s="649"/>
      <c r="J66" s="652">
        <v>0</v>
      </c>
    </row>
    <row r="67" spans="2:11">
      <c r="B67" s="272"/>
      <c r="C67" s="256"/>
      <c r="D67" s="256"/>
      <c r="E67" s="66"/>
      <c r="G67" s="648" t="s">
        <v>496</v>
      </c>
      <c r="H67" s="75"/>
      <c r="I67" s="75"/>
      <c r="J67" s="653" t="str">
        <f ca="1">IF(J66=0,"",ROUND((J66+E80-G79)/inputOth!E7*1000,3)-G84)</f>
        <v/>
      </c>
    </row>
    <row r="68" spans="2:11">
      <c r="B68" s="272"/>
      <c r="C68" s="256"/>
      <c r="D68" s="256"/>
      <c r="E68" s="66"/>
      <c r="G68" s="654" t="str">
        <f>CONCATENATE("",E1," Tot Exp/Non-Appr Must Be:")</f>
        <v>2014 Tot Exp/Non-Appr Must Be:</v>
      </c>
      <c r="H68" s="655"/>
      <c r="I68" s="656"/>
      <c r="J68" s="657">
        <f>IF(J66&gt;0,IF(E77&lt;E61,IF(J66=G79,E77,((J66-G79)*(1-D79))+E61),E77+(J66-G79)),0)</f>
        <v>0</v>
      </c>
    </row>
    <row r="69" spans="2:11">
      <c r="B69" s="272"/>
      <c r="C69" s="256"/>
      <c r="D69" s="256"/>
      <c r="E69" s="66"/>
      <c r="G69" s="658" t="s">
        <v>615</v>
      </c>
      <c r="H69" s="659"/>
      <c r="I69" s="659"/>
      <c r="J69" s="660">
        <f>IF(J66&gt;0,J68-E77,0)</f>
        <v>0</v>
      </c>
    </row>
    <row r="70" spans="2:11">
      <c r="B70" s="273" t="s">
        <v>654</v>
      </c>
      <c r="C70" s="256"/>
      <c r="D70" s="256"/>
      <c r="E70" s="81" t="str">
        <f ca="1">nhood!E16</f>
        <v/>
      </c>
      <c r="J70" s="2"/>
    </row>
    <row r="71" spans="2:11">
      <c r="B71" s="273" t="s">
        <v>655</v>
      </c>
      <c r="C71" s="256"/>
      <c r="D71" s="256"/>
      <c r="E71" s="66"/>
      <c r="G71" s="801" t="str">
        <f>CONCATENATE("Projected Carryover Into ",E1+1,"")</f>
        <v>Projected Carryover Into 2015</v>
      </c>
      <c r="H71" s="802"/>
      <c r="I71" s="802"/>
      <c r="J71" s="803"/>
    </row>
    <row r="72" spans="2:11">
      <c r="B72" s="273" t="s">
        <v>508</v>
      </c>
      <c r="C72" s="261" t="str">
        <f>IF(C73*0.1&lt;C71,"Exceed 10% Rule","")</f>
        <v/>
      </c>
      <c r="D72" s="261" t="str">
        <f>IF(D73*0.1&lt;D71,"Exceed 10% Rule","")</f>
        <v/>
      </c>
      <c r="E72" s="298" t="str">
        <f>IF(E73*0.1&lt;E71,"Exceed 10% Rule","")</f>
        <v/>
      </c>
      <c r="G72" s="661"/>
      <c r="H72" s="75"/>
      <c r="I72" s="75"/>
      <c r="J72" s="668"/>
    </row>
    <row r="73" spans="2:11">
      <c r="B73" s="263" t="s">
        <v>4</v>
      </c>
      <c r="C73" s="265">
        <f>SUM(C63:C71)</f>
        <v>0</v>
      </c>
      <c r="D73" s="265">
        <f>SUM(D63:D71)</f>
        <v>0</v>
      </c>
      <c r="E73" s="266">
        <f>SUM(E63:E71)</f>
        <v>0</v>
      </c>
      <c r="G73" s="663">
        <f>D74</f>
        <v>0</v>
      </c>
      <c r="H73" s="631" t="str">
        <f>CONCATENATE("",E1-1," Ending Cash Balance (est.)")</f>
        <v>2013 Ending Cash Balance (est.)</v>
      </c>
      <c r="I73" s="664"/>
      <c r="J73" s="668"/>
    </row>
    <row r="74" spans="2:11">
      <c r="B74" s="149" t="s">
        <v>111</v>
      </c>
      <c r="C74" s="269">
        <f>C61-C73</f>
        <v>0</v>
      </c>
      <c r="D74" s="269">
        <f>D61-D73</f>
        <v>0</v>
      </c>
      <c r="E74" s="285" t="s">
        <v>736</v>
      </c>
      <c r="G74" s="663">
        <f>E60</f>
        <v>0</v>
      </c>
      <c r="H74" s="649" t="str">
        <f>CONCATENATE("",E1," Non-AV Receipts (est.)")</f>
        <v>2014 Non-AV Receipts (est.)</v>
      </c>
      <c r="I74" s="664"/>
      <c r="J74" s="668"/>
    </row>
    <row r="75" spans="2:11">
      <c r="B75" s="135" t="str">
        <f>CONCATENATE("",E1-2,"/",E1-1," Budget Authority Amount:")</f>
        <v>2012/2013 Budget Authority Amount:</v>
      </c>
      <c r="C75" s="240">
        <f ca="1">inputOth!B70</f>
        <v>0</v>
      </c>
      <c r="D75" s="240">
        <f ca="1">inputPrYr!D28</f>
        <v>0</v>
      </c>
      <c r="E75" s="285" t="s">
        <v>736</v>
      </c>
      <c r="F75" s="275"/>
      <c r="G75" s="665">
        <f>IF(D79&gt;0,E78,E80)</f>
        <v>0</v>
      </c>
      <c r="H75" s="649" t="str">
        <f>CONCATENATE("",E1," Ad Valorem Tax (est.)")</f>
        <v>2014 Ad Valorem Tax (est.)</v>
      </c>
      <c r="I75" s="664"/>
      <c r="J75" s="668"/>
      <c r="K75" s="640" t="str">
        <f>IF(G75=E80,"","Note: Does not include Delinquent Taxes")</f>
        <v/>
      </c>
    </row>
    <row r="76" spans="2:11">
      <c r="B76" s="135"/>
      <c r="C76" s="790" t="s">
        <v>395</v>
      </c>
      <c r="D76" s="791"/>
      <c r="E76" s="102"/>
      <c r="F76" s="734" t="str">
        <f>IF(E73/0.95-E73&lt;E76,"Exceeds 5%","")</f>
        <v/>
      </c>
      <c r="G76" s="667">
        <f>SUM(G73:G75)</f>
        <v>0</v>
      </c>
      <c r="H76" s="649" t="str">
        <f>CONCATENATE("Total ",E1," Resources Available")</f>
        <v>Total 2014 Resources Available</v>
      </c>
      <c r="I76" s="668"/>
      <c r="J76" s="668"/>
    </row>
    <row r="77" spans="2:11">
      <c r="B77" s="528" t="str">
        <f>CONCATENATE(C96,"     ",D96)</f>
        <v xml:space="preserve">     </v>
      </c>
      <c r="C77" s="792" t="s">
        <v>396</v>
      </c>
      <c r="D77" s="793"/>
      <c r="E77" s="227">
        <f>E73+E76</f>
        <v>0</v>
      </c>
      <c r="G77" s="669"/>
      <c r="H77" s="670"/>
      <c r="I77" s="75"/>
      <c r="J77" s="668"/>
    </row>
    <row r="78" spans="2:11">
      <c r="B78" s="528" t="str">
        <f>CONCATENATE(C97,"     ",D97)</f>
        <v xml:space="preserve">     </v>
      </c>
      <c r="C78" s="276"/>
      <c r="D78" s="168" t="s">
        <v>5</v>
      </c>
      <c r="E78" s="81">
        <f>IF(E77-E61&gt;0,E77-E61,0)</f>
        <v>0</v>
      </c>
      <c r="G78" s="671">
        <f>ROUND(C73*0.05+C73,0)</f>
        <v>0</v>
      </c>
      <c r="H78" s="670" t="str">
        <f>CONCATENATE("Less ",E1-2," Expenditures + 5%")</f>
        <v>Less 2012 Expenditures + 5%</v>
      </c>
      <c r="I78" s="668"/>
      <c r="J78" s="668"/>
    </row>
    <row r="79" spans="2:11">
      <c r="B79" s="135"/>
      <c r="C79" s="384" t="s">
        <v>394</v>
      </c>
      <c r="D79" s="724">
        <f ca="1">inputOth!$E$47</f>
        <v>0.01</v>
      </c>
      <c r="E79" s="227">
        <f>ROUND(IF(D79&gt;0,(E78*D79),0),0)</f>
        <v>0</v>
      </c>
      <c r="G79" s="672">
        <f>G76-G78</f>
        <v>0</v>
      </c>
      <c r="H79" s="673" t="str">
        <f>CONCATENATE("Projected ",E1+1," carryover (est.)")</f>
        <v>Projected 2015 carryover (est.)</v>
      </c>
      <c r="I79" s="674"/>
      <c r="J79" s="675"/>
    </row>
    <row r="80" spans="2:11" ht="16.5" thickBot="1">
      <c r="B80" s="168"/>
      <c r="C80" s="794" t="str">
        <f>CONCATENATE("Amount of  ",$E$1-1," Ad Valorem Tax")</f>
        <v>Amount of  2013 Ad Valorem Tax</v>
      </c>
      <c r="D80" s="795"/>
      <c r="E80" s="647">
        <f>E78+E79</f>
        <v>0</v>
      </c>
      <c r="G80" s="2"/>
      <c r="H80" s="2"/>
      <c r="I80" s="2"/>
    </row>
    <row r="81" spans="2:10" ht="17.25" thickTop="1">
      <c r="B81" s="46"/>
      <c r="C81" s="46"/>
      <c r="D81" s="46"/>
      <c r="E81" s="46"/>
      <c r="G81" s="784" t="s">
        <v>614</v>
      </c>
      <c r="H81" s="785"/>
      <c r="I81" s="785"/>
      <c r="J81" s="786"/>
    </row>
    <row r="82" spans="2:10">
      <c r="B82" s="402" t="s">
        <v>7</v>
      </c>
      <c r="C82" s="281"/>
      <c r="D82" s="46"/>
      <c r="E82" s="46"/>
      <c r="G82" s="630"/>
      <c r="H82" s="631"/>
      <c r="I82" s="632"/>
      <c r="J82" s="633"/>
    </row>
    <row r="83" spans="2:10">
      <c r="B83" s="168"/>
      <c r="G83" s="634" t="str">
        <f ca="1">summ!H25</f>
        <v xml:space="preserve">  </v>
      </c>
      <c r="H83" s="631" t="str">
        <f>CONCATENATE("",E1," Fund Mill Rate")</f>
        <v>2014 Fund Mill Rate</v>
      </c>
      <c r="I83" s="632"/>
      <c r="J83" s="633"/>
    </row>
    <row r="84" spans="2:10">
      <c r="G84" s="635" t="str">
        <f ca="1">summ!E25</f>
        <v xml:space="preserve">  </v>
      </c>
      <c r="H84" s="631" t="str">
        <f>CONCATENATE("",E1-1," Fund Mill Rate")</f>
        <v>2013 Fund Mill Rate</v>
      </c>
      <c r="I84" s="632"/>
      <c r="J84" s="633"/>
    </row>
    <row r="85" spans="2:10">
      <c r="G85" s="636">
        <f ca="1">summ!H52</f>
        <v>32.186</v>
      </c>
      <c r="H85" s="631" t="str">
        <f>CONCATENATE("Total ",E1," Mill Rate")</f>
        <v>Total 2014 Mill Rate</v>
      </c>
      <c r="I85" s="632"/>
      <c r="J85" s="633"/>
    </row>
    <row r="86" spans="2:10">
      <c r="G86" s="635">
        <f ca="1">summ!E52</f>
        <v>32.481999999999999</v>
      </c>
      <c r="H86" s="637" t="str">
        <f>CONCATENATE("Total ",E1-1," Mill Rate")</f>
        <v>Total 2013 Mill Rate</v>
      </c>
      <c r="I86" s="638"/>
      <c r="J86" s="639"/>
    </row>
    <row r="88" spans="2:10">
      <c r="G88" s="741" t="s">
        <v>845</v>
      </c>
      <c r="H88" s="740"/>
      <c r="I88" s="739" t="str">
        <f ca="1">cert!F58</f>
        <v>No</v>
      </c>
    </row>
    <row r="94" spans="2:10" hidden="1">
      <c r="C94" s="527" t="str">
        <f>IF(C33&gt;C35,"See Tab A","")</f>
        <v/>
      </c>
      <c r="D94" s="527" t="str">
        <f>IF(D31&gt;D35,"See Tab C","")</f>
        <v/>
      </c>
    </row>
    <row r="95" spans="2:10" hidden="1">
      <c r="C95" s="527" t="str">
        <f>IF(C34&lt;0,"See Tab B","")</f>
        <v/>
      </c>
      <c r="D95" s="527" t="str">
        <f>IF(D34&lt;0,"See Tab D","")</f>
        <v/>
      </c>
    </row>
    <row r="96" spans="2:10" hidden="1">
      <c r="C96" s="527" t="str">
        <f>IF(C71&gt;C75,"See Tab A","")</f>
        <v/>
      </c>
      <c r="D96" s="527" t="str">
        <f>IF(D71&gt;D75,"See Tab C","")</f>
        <v/>
      </c>
    </row>
    <row r="97" spans="3:4" hidden="1">
      <c r="C97" s="527" t="str">
        <f>IF(C74&lt;0,"See Tab B","")</f>
        <v/>
      </c>
      <c r="D97" s="527" t="str">
        <f>IF(D74&lt;0,"See Tab D","")</f>
        <v/>
      </c>
    </row>
  </sheetData>
  <sheetProtection sheet="1"/>
  <mergeCells count="12">
    <mergeCell ref="C80:D80"/>
    <mergeCell ref="C40:D40"/>
    <mergeCell ref="G71:J71"/>
    <mergeCell ref="G81:J81"/>
    <mergeCell ref="C76:D76"/>
    <mergeCell ref="C77:D77"/>
    <mergeCell ref="C36:D36"/>
    <mergeCell ref="C37:D37"/>
    <mergeCell ref="G24:J24"/>
    <mergeCell ref="G31:J31"/>
    <mergeCell ref="G41:J41"/>
    <mergeCell ref="G64:J64"/>
  </mergeCells>
  <phoneticPr fontId="0" type="noConversion"/>
  <conditionalFormatting sqref="E31">
    <cfRule type="cellIs" dxfId="228" priority="3" stopIfTrue="1" operator="greaterThan">
      <formula>$E$33*0.1</formula>
    </cfRule>
  </conditionalFormatting>
  <conditionalFormatting sqref="E36">
    <cfRule type="cellIs" dxfId="227" priority="4" stopIfTrue="1" operator="greaterThan">
      <formula>$E$33/0.95-$E$33</formula>
    </cfRule>
  </conditionalFormatting>
  <conditionalFormatting sqref="E71">
    <cfRule type="cellIs" dxfId="226" priority="5" stopIfTrue="1" operator="greaterThan">
      <formula>$E$73*0.1</formula>
    </cfRule>
  </conditionalFormatting>
  <conditionalFormatting sqref="E76">
    <cfRule type="cellIs" dxfId="225" priority="6" stopIfTrue="1" operator="greaterThan">
      <formula>$E$73/0.95-$E$73</formula>
    </cfRule>
  </conditionalFormatting>
  <conditionalFormatting sqref="C31">
    <cfRule type="cellIs" dxfId="224" priority="7" stopIfTrue="1" operator="greaterThan">
      <formula>$C$33*0.1</formula>
    </cfRule>
  </conditionalFormatting>
  <conditionalFormatting sqref="D31">
    <cfRule type="cellIs" dxfId="223" priority="8" stopIfTrue="1" operator="greaterThan">
      <formula>$D$33*0.1</formula>
    </cfRule>
  </conditionalFormatting>
  <conditionalFormatting sqref="D33">
    <cfRule type="cellIs" dxfId="222" priority="9" stopIfTrue="1" operator="greaterThan">
      <formula>$D$35</formula>
    </cfRule>
  </conditionalFormatting>
  <conditionalFormatting sqref="C33">
    <cfRule type="cellIs" dxfId="221" priority="10" stopIfTrue="1" operator="greaterThan">
      <formula>$C$35</formula>
    </cfRule>
  </conditionalFormatting>
  <conditionalFormatting sqref="C34 C74">
    <cfRule type="cellIs" dxfId="220" priority="11" stopIfTrue="1" operator="lessThan">
      <formula>0</formula>
    </cfRule>
  </conditionalFormatting>
  <conditionalFormatting sqref="C71">
    <cfRule type="cellIs" dxfId="219" priority="12" stopIfTrue="1" operator="greaterThan">
      <formula>$C$73*0.1</formula>
    </cfRule>
  </conditionalFormatting>
  <conditionalFormatting sqref="D73">
    <cfRule type="cellIs" dxfId="218" priority="13" stopIfTrue="1" operator="greaterThan">
      <formula>$D$75</formula>
    </cfRule>
  </conditionalFormatting>
  <conditionalFormatting sqref="C73">
    <cfRule type="cellIs" dxfId="217" priority="14" stopIfTrue="1" operator="greaterThan">
      <formula>$C$75</formula>
    </cfRule>
  </conditionalFormatting>
  <conditionalFormatting sqref="D71">
    <cfRule type="cellIs" dxfId="216" priority="15" stopIfTrue="1" operator="greaterThan">
      <formula>$D$73*0.1</formula>
    </cfRule>
  </conditionalFormatting>
  <conditionalFormatting sqref="D18">
    <cfRule type="cellIs" dxfId="215" priority="16" stopIfTrue="1" operator="greaterThan">
      <formula>$D$20*0.1</formula>
    </cfRule>
  </conditionalFormatting>
  <conditionalFormatting sqref="C18">
    <cfRule type="cellIs" dxfId="214" priority="17" stopIfTrue="1" operator="greaterThan">
      <formula>$C$20*0.1</formula>
    </cfRule>
  </conditionalFormatting>
  <conditionalFormatting sqref="D58">
    <cfRule type="cellIs" dxfId="213" priority="18" stopIfTrue="1" operator="greaterThan">
      <formula>$D$60*0.1</formula>
    </cfRule>
  </conditionalFormatting>
  <conditionalFormatting sqref="C58">
    <cfRule type="cellIs" dxfId="212" priority="19" stopIfTrue="1" operator="greaterThan">
      <formula>$C$60*0.1</formula>
    </cfRule>
  </conditionalFormatting>
  <conditionalFormatting sqref="E58">
    <cfRule type="cellIs" dxfId="211" priority="20" stopIfTrue="1" operator="greaterThan">
      <formula>$E$60*0.1+E80</formula>
    </cfRule>
  </conditionalFormatting>
  <conditionalFormatting sqref="E18">
    <cfRule type="cellIs" dxfId="210" priority="21" stopIfTrue="1" operator="greaterThan">
      <formula>$E$20*0.1+E40</formula>
    </cfRule>
  </conditionalFormatting>
  <conditionalFormatting sqref="D74 D34">
    <cfRule type="cellIs" dxfId="209" priority="2" stopIfTrue="1" operator="lessThan">
      <formula>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tabSelected="1" workbookViewId="0">
      <selection activeCell="B19" sqref="B19"/>
    </sheetView>
  </sheetViews>
  <sheetFormatPr defaultRowHeight="15.75"/>
  <cols>
    <col min="1" max="1" width="15.77734375" style="44" customWidth="1"/>
    <col min="2" max="2" width="20.77734375" style="44" customWidth="1"/>
    <col min="3" max="3" width="9.77734375" style="44" customWidth="1"/>
    <col min="4" max="4" width="15.109375" style="44" customWidth="1"/>
    <col min="5" max="5" width="15.77734375" style="44" customWidth="1"/>
    <col min="6" max="6" width="1.88671875" style="44" customWidth="1"/>
    <col min="7" max="7" width="18.6640625" style="44" customWidth="1"/>
    <col min="8" max="16384" width="8.88671875" style="44"/>
  </cols>
  <sheetData>
    <row r="1" spans="1:8">
      <c r="A1" s="744" t="s">
        <v>714</v>
      </c>
      <c r="B1" s="745"/>
      <c r="C1" s="745"/>
      <c r="D1" s="745"/>
      <c r="E1" s="745"/>
    </row>
    <row r="2" spans="1:8">
      <c r="A2" s="45" t="s">
        <v>660</v>
      </c>
      <c r="B2" s="46"/>
      <c r="C2" s="46"/>
      <c r="D2" s="47" t="s">
        <v>855</v>
      </c>
      <c r="E2" s="48"/>
    </row>
    <row r="3" spans="1:8">
      <c r="A3" s="45" t="s">
        <v>661</v>
      </c>
      <c r="B3" s="46"/>
      <c r="C3" s="46"/>
      <c r="D3" s="49" t="s">
        <v>856</v>
      </c>
      <c r="E3" s="50"/>
    </row>
    <row r="4" spans="1:8">
      <c r="A4" s="51"/>
      <c r="B4" s="46"/>
      <c r="C4" s="46"/>
      <c r="D4" s="52"/>
      <c r="E4" s="46"/>
    </row>
    <row r="5" spans="1:8">
      <c r="A5" s="45" t="s">
        <v>151</v>
      </c>
      <c r="B5" s="46"/>
      <c r="C5" s="53">
        <v>2014</v>
      </c>
      <c r="D5" s="52"/>
      <c r="E5" s="46"/>
    </row>
    <row r="6" spans="1:8">
      <c r="A6" s="46"/>
      <c r="B6" s="46"/>
      <c r="C6" s="46"/>
      <c r="D6" s="46"/>
      <c r="E6" s="46"/>
    </row>
    <row r="7" spans="1:8">
      <c r="A7" s="54" t="s">
        <v>282</v>
      </c>
      <c r="B7" s="55"/>
      <c r="C7" s="55"/>
      <c r="D7" s="55"/>
      <c r="E7" s="55"/>
    </row>
    <row r="8" spans="1:8">
      <c r="A8" s="54" t="s">
        <v>281</v>
      </c>
      <c r="B8" s="55"/>
      <c r="C8" s="55"/>
      <c r="D8" s="55"/>
      <c r="E8" s="55"/>
      <c r="F8" s="46"/>
      <c r="G8" s="746" t="s">
        <v>594</v>
      </c>
      <c r="H8" s="747"/>
    </row>
    <row r="9" spans="1:8">
      <c r="A9" s="54"/>
      <c r="B9" s="55"/>
      <c r="C9" s="55"/>
      <c r="D9" s="55"/>
      <c r="E9" s="55"/>
      <c r="F9" s="46"/>
      <c r="G9" s="748"/>
      <c r="H9" s="747"/>
    </row>
    <row r="10" spans="1:8" ht="16.5">
      <c r="A10" s="742" t="s">
        <v>214</v>
      </c>
      <c r="B10" s="743"/>
      <c r="C10" s="743"/>
      <c r="D10" s="743"/>
      <c r="E10" s="743"/>
      <c r="F10" s="46"/>
      <c r="G10" s="748"/>
      <c r="H10" s="747"/>
    </row>
    <row r="11" spans="1:8">
      <c r="A11" s="46"/>
      <c r="B11" s="46"/>
      <c r="C11" s="46"/>
      <c r="D11" s="46"/>
      <c r="E11" s="46"/>
      <c r="F11" s="46"/>
      <c r="G11" s="748"/>
      <c r="H11" s="747"/>
    </row>
    <row r="12" spans="1:8">
      <c r="A12" s="56" t="s">
        <v>215</v>
      </c>
      <c r="B12" s="57"/>
      <c r="C12" s="46"/>
      <c r="D12" s="46"/>
      <c r="E12" s="46"/>
      <c r="F12" s="46"/>
      <c r="G12" s="748"/>
      <c r="H12" s="747"/>
    </row>
    <row r="13" spans="1:8">
      <c r="A13" s="58" t="str">
        <f>CONCATENATE("the ",C5-1," Budget, Certificate Page:")</f>
        <v>the 2013 Budget, Certificate Page:</v>
      </c>
      <c r="B13" s="59"/>
      <c r="C13" s="46"/>
      <c r="D13" s="46"/>
      <c r="E13" s="46"/>
      <c r="F13" s="46"/>
      <c r="G13" s="748"/>
      <c r="H13" s="747"/>
    </row>
    <row r="14" spans="1:8">
      <c r="A14" s="58" t="s">
        <v>284</v>
      </c>
      <c r="B14" s="59"/>
      <c r="C14" s="46"/>
      <c r="D14" s="46"/>
      <c r="E14" s="46"/>
      <c r="F14" s="46"/>
      <c r="G14" s="75"/>
      <c r="H14" s="97"/>
    </row>
    <row r="15" spans="1:8">
      <c r="A15" s="46"/>
      <c r="B15" s="46"/>
      <c r="C15" s="46"/>
      <c r="D15" s="60">
        <f>C5-1</f>
        <v>2013</v>
      </c>
      <c r="E15" s="60">
        <f>C5-2</f>
        <v>2012</v>
      </c>
      <c r="G15" s="198" t="s">
        <v>595</v>
      </c>
      <c r="H15" s="155" t="s">
        <v>6</v>
      </c>
    </row>
    <row r="16" spans="1:8">
      <c r="A16" s="51" t="s">
        <v>715</v>
      </c>
      <c r="B16" s="46"/>
      <c r="C16" s="61" t="s">
        <v>716</v>
      </c>
      <c r="D16" s="62" t="s">
        <v>283</v>
      </c>
      <c r="E16" s="62" t="s">
        <v>706</v>
      </c>
      <c r="G16" s="199" t="str">
        <f>CONCATENATE("",E15," Ad Valorem Tax")</f>
        <v>2012 Ad Valorem Tax</v>
      </c>
      <c r="H16" s="608">
        <v>0</v>
      </c>
    </row>
    <row r="17" spans="1:7">
      <c r="A17" s="46"/>
      <c r="B17" s="63" t="s">
        <v>717</v>
      </c>
      <c r="C17" s="155" t="s">
        <v>114</v>
      </c>
      <c r="D17" s="65">
        <v>175650</v>
      </c>
      <c r="E17" s="65">
        <v>43835</v>
      </c>
      <c r="G17" s="227">
        <f>IF(H16&gt;0,ROUND(E17-(E17*H16),0),0)</f>
        <v>0</v>
      </c>
    </row>
    <row r="18" spans="1:7">
      <c r="A18" s="46"/>
      <c r="B18" s="63" t="s">
        <v>688</v>
      </c>
      <c r="C18" s="155" t="s">
        <v>152</v>
      </c>
      <c r="D18" s="66"/>
      <c r="E18" s="66"/>
      <c r="G18" s="227">
        <f>IF(H16&gt;0,ROUND(E18-(E18*H16),0),0)</f>
        <v>0</v>
      </c>
    </row>
    <row r="19" spans="1:7">
      <c r="A19" s="46"/>
      <c r="B19" s="63" t="s">
        <v>596</v>
      </c>
      <c r="C19" s="155" t="s">
        <v>597</v>
      </c>
      <c r="D19" s="66">
        <v>6500</v>
      </c>
      <c r="E19" s="66">
        <v>3713</v>
      </c>
      <c r="G19" s="227">
        <f>IF(H16&gt;0,ROUND(E19-(E19*H16),0),0)</f>
        <v>0</v>
      </c>
    </row>
    <row r="20" spans="1:7">
      <c r="A20" s="51" t="s">
        <v>718</v>
      </c>
      <c r="B20" s="46"/>
      <c r="C20" s="46"/>
      <c r="D20" s="46"/>
      <c r="E20" s="67"/>
    </row>
    <row r="21" spans="1:7">
      <c r="A21" s="46"/>
      <c r="B21" s="68"/>
      <c r="C21" s="383"/>
      <c r="D21" s="66"/>
      <c r="E21" s="66"/>
      <c r="G21" s="227">
        <f>IF(H16&gt;0,ROUND(E21-(E21*H16),0),0)</f>
        <v>0</v>
      </c>
    </row>
    <row r="22" spans="1:7">
      <c r="A22" s="46"/>
      <c r="B22" s="68"/>
      <c r="C22" s="383"/>
      <c r="D22" s="66"/>
      <c r="E22" s="66"/>
      <c r="G22" s="227">
        <f>IF(H16&gt;0,ROUND(E22-(E22*H16),0),0)</f>
        <v>0</v>
      </c>
    </row>
    <row r="23" spans="1:7">
      <c r="A23" s="46"/>
      <c r="B23" s="68"/>
      <c r="C23" s="383"/>
      <c r="D23" s="66"/>
      <c r="E23" s="66"/>
      <c r="G23" s="227">
        <f>IF(H16&gt;0,ROUND(E23-(E23*H16),0),0)</f>
        <v>0</v>
      </c>
    </row>
    <row r="24" spans="1:7">
      <c r="A24" s="46"/>
      <c r="B24" s="68"/>
      <c r="C24" s="383"/>
      <c r="D24" s="66"/>
      <c r="E24" s="66"/>
      <c r="G24" s="227">
        <f>IF(H16&gt;0,ROUND(E24-(E24*H16),0),0)</f>
        <v>0</v>
      </c>
    </row>
    <row r="25" spans="1:7">
      <c r="A25" s="46"/>
      <c r="B25" s="68"/>
      <c r="C25" s="383"/>
      <c r="D25" s="66"/>
      <c r="E25" s="66"/>
      <c r="G25" s="227">
        <f>IF(H16&gt;0,ROUND(E25-(E25*H16),0),0)</f>
        <v>0</v>
      </c>
    </row>
    <row r="26" spans="1:7">
      <c r="A26" s="46"/>
      <c r="B26" s="68"/>
      <c r="C26" s="383"/>
      <c r="D26" s="66"/>
      <c r="E26" s="66"/>
      <c r="G26" s="227">
        <f>IF(H16&gt;0,ROUND(E26-(E26*H16),0),0)</f>
        <v>0</v>
      </c>
    </row>
    <row r="27" spans="1:7">
      <c r="A27" s="46"/>
      <c r="B27" s="68"/>
      <c r="C27" s="383"/>
      <c r="D27" s="66"/>
      <c r="E27" s="66"/>
      <c r="G27" s="227">
        <f>IF(H16&gt;0,ROUND(E27-(E27*H16),0),0)</f>
        <v>0</v>
      </c>
    </row>
    <row r="28" spans="1:7">
      <c r="A28" s="46"/>
      <c r="B28" s="68"/>
      <c r="C28" s="383"/>
      <c r="D28" s="66"/>
      <c r="E28" s="66"/>
      <c r="G28" s="227">
        <f>IF(H16&gt;0,ROUND(E28-(E28*H16),0),0)</f>
        <v>0</v>
      </c>
    </row>
    <row r="29" spans="1:7">
      <c r="A29" s="46"/>
      <c r="B29" s="68"/>
      <c r="C29" s="383"/>
      <c r="D29" s="66"/>
      <c r="E29" s="66"/>
      <c r="G29" s="227">
        <f>IF(H16&gt;0,ROUND(E29-(E29*H16),0),0)</f>
        <v>0</v>
      </c>
    </row>
    <row r="30" spans="1:7">
      <c r="A30" s="46"/>
      <c r="B30" s="68"/>
      <c r="C30" s="383"/>
      <c r="D30" s="66"/>
      <c r="E30" s="66"/>
      <c r="G30" s="227">
        <f>IF(H16&gt;0,ROUND(E30-(E30*H16),0),0)</f>
        <v>0</v>
      </c>
    </row>
    <row r="31" spans="1:7">
      <c r="A31" s="69" t="str">
        <f>CONCATENATE("Total Tax Levy Funds for ",C5-1," Budgeted Year")</f>
        <v>Total Tax Levy Funds for 2013 Budgeted Year</v>
      </c>
      <c r="B31" s="70"/>
      <c r="C31" s="71"/>
      <c r="D31" s="72"/>
      <c r="E31" s="73">
        <f>SUM(E17:E30)</f>
        <v>47548</v>
      </c>
    </row>
    <row r="32" spans="1:7">
      <c r="A32" s="74"/>
      <c r="B32" s="75"/>
      <c r="C32" s="75"/>
      <c r="D32" s="76"/>
      <c r="E32" s="67"/>
    </row>
    <row r="33" spans="1:5">
      <c r="A33" s="51" t="s">
        <v>157</v>
      </c>
      <c r="B33" s="46"/>
      <c r="C33" s="46"/>
      <c r="D33" s="46"/>
      <c r="E33" s="46"/>
    </row>
    <row r="34" spans="1:5">
      <c r="A34" s="46"/>
      <c r="B34" s="64" t="s">
        <v>89</v>
      </c>
      <c r="C34" s="46"/>
      <c r="D34" s="66">
        <v>15821</v>
      </c>
      <c r="E34" s="46"/>
    </row>
    <row r="35" spans="1:5">
      <c r="A35" s="46"/>
      <c r="B35" s="68" t="s">
        <v>857</v>
      </c>
      <c r="C35" s="46"/>
      <c r="D35" s="66">
        <v>90477</v>
      </c>
      <c r="E35" s="46"/>
    </row>
    <row r="36" spans="1:5">
      <c r="A36" s="46"/>
      <c r="B36" s="68" t="s">
        <v>858</v>
      </c>
      <c r="C36" s="46"/>
      <c r="D36" s="66">
        <v>95825</v>
      </c>
      <c r="E36" s="46"/>
    </row>
    <row r="37" spans="1:5">
      <c r="A37" s="46"/>
      <c r="B37" s="68" t="s">
        <v>859</v>
      </c>
      <c r="C37" s="46"/>
      <c r="D37" s="66">
        <v>968311</v>
      </c>
      <c r="E37" s="46"/>
    </row>
    <row r="38" spans="1:5">
      <c r="A38" s="46"/>
      <c r="B38" s="68" t="s">
        <v>860</v>
      </c>
      <c r="C38" s="46"/>
      <c r="D38" s="66">
        <v>266</v>
      </c>
      <c r="E38" s="46"/>
    </row>
    <row r="39" spans="1:5">
      <c r="A39" s="46"/>
      <c r="B39" s="68"/>
      <c r="C39" s="46"/>
      <c r="D39" s="66"/>
      <c r="E39" s="46"/>
    </row>
    <row r="40" spans="1:5">
      <c r="A40" s="46"/>
      <c r="B40" s="68"/>
      <c r="C40" s="46"/>
      <c r="D40" s="66"/>
      <c r="E40" s="46"/>
    </row>
    <row r="41" spans="1:5">
      <c r="A41" s="46"/>
      <c r="B41" s="68"/>
      <c r="C41" s="46"/>
      <c r="D41" s="66"/>
      <c r="E41" s="46"/>
    </row>
    <row r="42" spans="1:5">
      <c r="A42" s="46"/>
      <c r="B42" s="68"/>
      <c r="C42" s="46"/>
      <c r="D42" s="66"/>
      <c r="E42" s="46"/>
    </row>
    <row r="43" spans="1:5">
      <c r="A43" s="46"/>
      <c r="B43" s="68"/>
      <c r="C43" s="46"/>
      <c r="D43" s="66"/>
      <c r="E43" s="46"/>
    </row>
    <row r="44" spans="1:5">
      <c r="A44" s="46"/>
      <c r="B44" s="77"/>
      <c r="C44" s="46"/>
      <c r="D44" s="66"/>
      <c r="E44" s="46"/>
    </row>
    <row r="45" spans="1:5">
      <c r="A45" s="46"/>
      <c r="B45" s="77"/>
      <c r="C45" s="46"/>
      <c r="D45" s="66"/>
      <c r="E45" s="46"/>
    </row>
    <row r="46" spans="1:5">
      <c r="A46" s="46"/>
      <c r="B46" s="77"/>
      <c r="C46" s="46"/>
      <c r="D46" s="66"/>
      <c r="E46" s="46"/>
    </row>
    <row r="47" spans="1:5">
      <c r="A47" s="46"/>
      <c r="B47" s="77"/>
      <c r="C47" s="46"/>
      <c r="D47" s="66"/>
      <c r="E47" s="46"/>
    </row>
    <row r="48" spans="1:5">
      <c r="A48" s="46"/>
      <c r="B48" s="77"/>
      <c r="C48" s="46"/>
      <c r="D48" s="66"/>
      <c r="E48" s="46"/>
    </row>
    <row r="49" spans="1:5">
      <c r="A49" s="46"/>
      <c r="B49" s="77"/>
      <c r="C49" s="46"/>
      <c r="D49" s="66"/>
      <c r="E49" s="46"/>
    </row>
    <row r="50" spans="1:5">
      <c r="A50" s="46" t="s">
        <v>187</v>
      </c>
      <c r="B50" s="78"/>
      <c r="C50" s="46"/>
      <c r="D50" s="46"/>
      <c r="E50" s="46"/>
    </row>
    <row r="51" spans="1:5">
      <c r="A51" s="46">
        <v>1</v>
      </c>
      <c r="B51" s="77"/>
      <c r="C51" s="46"/>
      <c r="D51" s="66"/>
      <c r="E51" s="46"/>
    </row>
    <row r="52" spans="1:5">
      <c r="A52" s="46">
        <v>2</v>
      </c>
      <c r="B52" s="77"/>
      <c r="C52" s="46"/>
      <c r="D52" s="66"/>
      <c r="E52" s="46"/>
    </row>
    <row r="53" spans="1:5">
      <c r="A53" s="46">
        <v>3</v>
      </c>
      <c r="B53" s="77"/>
      <c r="C53" s="46"/>
      <c r="D53" s="66"/>
      <c r="E53" s="46"/>
    </row>
    <row r="54" spans="1:5">
      <c r="A54" s="46">
        <v>4</v>
      </c>
      <c r="B54" s="77"/>
      <c r="C54" s="46"/>
      <c r="D54" s="66"/>
      <c r="E54" s="46"/>
    </row>
    <row r="55" spans="1:5">
      <c r="A55" s="69" t="str">
        <f>CONCATENATE("Total Expenditures for ",C5-1," Budgeted Year")</f>
        <v>Total Expenditures for 2013 Budgeted Year</v>
      </c>
      <c r="B55" s="79"/>
      <c r="C55" s="80"/>
      <c r="D55" s="81">
        <f>SUM(D17:D19,D21:D30,D34:D49,D51:D54)</f>
        <v>1352850</v>
      </c>
      <c r="E55" s="46"/>
    </row>
    <row r="56" spans="1:5">
      <c r="A56" s="46" t="s">
        <v>188</v>
      </c>
      <c r="B56" s="82"/>
      <c r="C56" s="46"/>
      <c r="D56" s="46"/>
      <c r="E56" s="46"/>
    </row>
    <row r="57" spans="1:5">
      <c r="A57" s="46">
        <v>1</v>
      </c>
      <c r="B57" s="77" t="s">
        <v>895</v>
      </c>
      <c r="C57" s="46"/>
      <c r="D57" s="46"/>
      <c r="E57" s="46"/>
    </row>
    <row r="58" spans="1:5">
      <c r="A58" s="46">
        <v>2</v>
      </c>
      <c r="B58" s="77"/>
      <c r="C58" s="46"/>
      <c r="D58" s="46"/>
      <c r="E58" s="46"/>
    </row>
    <row r="59" spans="1:5">
      <c r="A59" s="46">
        <v>3</v>
      </c>
      <c r="B59" s="77"/>
      <c r="C59" s="46"/>
      <c r="D59" s="46"/>
      <c r="E59" s="46"/>
    </row>
    <row r="60" spans="1:5">
      <c r="A60" s="46">
        <v>4</v>
      </c>
      <c r="B60" s="77"/>
      <c r="C60" s="46"/>
      <c r="D60" s="46"/>
      <c r="E60" s="46"/>
    </row>
    <row r="61" spans="1:5">
      <c r="A61" s="46">
        <v>5</v>
      </c>
      <c r="B61" s="77"/>
      <c r="C61" s="46"/>
      <c r="D61" s="46"/>
      <c r="E61" s="46"/>
    </row>
    <row r="62" spans="1:5">
      <c r="A62" s="46" t="s">
        <v>189</v>
      </c>
      <c r="B62" s="78"/>
      <c r="C62" s="46"/>
      <c r="D62" s="46"/>
      <c r="E62" s="46"/>
    </row>
    <row r="63" spans="1:5">
      <c r="A63" s="46">
        <v>1</v>
      </c>
      <c r="B63" s="77"/>
      <c r="C63" s="46"/>
      <c r="D63" s="46"/>
      <c r="E63" s="46"/>
    </row>
    <row r="64" spans="1:5">
      <c r="A64" s="46">
        <v>2</v>
      </c>
      <c r="B64" s="77"/>
      <c r="C64" s="46"/>
      <c r="D64" s="46"/>
      <c r="E64" s="46"/>
    </row>
    <row r="65" spans="1:5">
      <c r="A65" s="46">
        <v>3</v>
      </c>
      <c r="B65" s="77"/>
      <c r="C65" s="46"/>
      <c r="D65" s="46"/>
      <c r="E65" s="46"/>
    </row>
    <row r="66" spans="1:5">
      <c r="A66" s="46">
        <v>4</v>
      </c>
      <c r="B66" s="77"/>
      <c r="C66" s="46"/>
      <c r="D66" s="46"/>
      <c r="E66" s="46"/>
    </row>
    <row r="67" spans="1:5">
      <c r="A67" s="46">
        <v>5</v>
      </c>
      <c r="B67" s="77"/>
      <c r="C67" s="46"/>
      <c r="D67" s="46"/>
      <c r="E67" s="46"/>
    </row>
    <row r="68" spans="1:5">
      <c r="A68" s="46" t="s">
        <v>190</v>
      </c>
      <c r="B68" s="78"/>
      <c r="C68" s="46"/>
      <c r="D68" s="46"/>
      <c r="E68" s="46"/>
    </row>
    <row r="69" spans="1:5">
      <c r="A69" s="46">
        <v>1</v>
      </c>
      <c r="B69" s="77"/>
      <c r="C69" s="46"/>
      <c r="D69" s="46"/>
      <c r="E69" s="46"/>
    </row>
    <row r="70" spans="1:5">
      <c r="A70" s="46">
        <v>2</v>
      </c>
      <c r="B70" s="77"/>
      <c r="C70" s="46"/>
      <c r="D70" s="46"/>
      <c r="E70" s="46"/>
    </row>
    <row r="71" spans="1:5">
      <c r="A71" s="46">
        <v>3</v>
      </c>
      <c r="B71" s="77"/>
      <c r="C71" s="46"/>
      <c r="D71" s="46"/>
      <c r="E71" s="46"/>
    </row>
    <row r="72" spans="1:5">
      <c r="A72" s="46">
        <v>4</v>
      </c>
      <c r="B72" s="77"/>
      <c r="C72" s="46"/>
      <c r="D72" s="46"/>
      <c r="E72" s="46"/>
    </row>
    <row r="73" spans="1:5">
      <c r="A73" s="46">
        <v>5</v>
      </c>
      <c r="B73" s="77"/>
      <c r="C73" s="46"/>
      <c r="D73" s="46"/>
      <c r="E73" s="46"/>
    </row>
    <row r="74" spans="1:5">
      <c r="A74" s="46" t="s">
        <v>191</v>
      </c>
      <c r="B74" s="78"/>
      <c r="C74" s="46"/>
      <c r="D74" s="46"/>
      <c r="E74" s="46"/>
    </row>
    <row r="75" spans="1:5">
      <c r="A75" s="46">
        <v>1</v>
      </c>
      <c r="B75" s="77"/>
      <c r="C75" s="46"/>
      <c r="D75" s="46"/>
      <c r="E75" s="46"/>
    </row>
    <row r="76" spans="1:5">
      <c r="A76" s="46">
        <v>2</v>
      </c>
      <c r="B76" s="77"/>
      <c r="C76" s="46"/>
      <c r="D76" s="46"/>
      <c r="E76" s="46"/>
    </row>
    <row r="77" spans="1:5">
      <c r="A77" s="46">
        <v>3</v>
      </c>
      <c r="B77" s="77"/>
      <c r="C77" s="46"/>
      <c r="D77" s="46"/>
      <c r="E77" s="46"/>
    </row>
    <row r="78" spans="1:5">
      <c r="A78" s="46">
        <v>4</v>
      </c>
      <c r="B78" s="77"/>
      <c r="C78" s="46"/>
      <c r="D78" s="46"/>
      <c r="E78" s="46"/>
    </row>
    <row r="79" spans="1:5">
      <c r="A79" s="46">
        <v>5</v>
      </c>
      <c r="B79" s="77"/>
      <c r="C79" s="46"/>
      <c r="D79" s="46"/>
      <c r="E79" s="46"/>
    </row>
    <row r="80" spans="1:5">
      <c r="A80" s="74"/>
      <c r="B80" s="75"/>
      <c r="C80" s="75"/>
      <c r="D80" s="75"/>
      <c r="E80" s="83"/>
    </row>
    <row r="81" spans="1:5">
      <c r="A81" s="46"/>
      <c r="B81" s="46"/>
      <c r="C81" s="46"/>
      <c r="D81" s="46"/>
      <c r="E81" s="46"/>
    </row>
    <row r="82" spans="1:5">
      <c r="A82" s="46"/>
      <c r="B82" s="46"/>
      <c r="C82" s="46"/>
      <c r="D82" s="84" t="str">
        <f>CONCATENATE("",C5-3," Tax Rate")</f>
        <v>2011 Tax Rate</v>
      </c>
      <c r="E82" s="46"/>
    </row>
    <row r="83" spans="1:5">
      <c r="A83" s="58" t="str">
        <f>CONCATENATE("From the ",C5-1," Budget, Budget Summary Page")</f>
        <v>From the 2013 Budget, Budget Summary Page</v>
      </c>
      <c r="B83" s="59"/>
      <c r="C83" s="46"/>
      <c r="D83" s="85" t="str">
        <f>CONCATENATE("(",C5-2," Column)")</f>
        <v>(2012 Column)</v>
      </c>
      <c r="E83" s="46"/>
    </row>
    <row r="84" spans="1:5">
      <c r="A84" s="46"/>
      <c r="B84" s="86" t="str">
        <f>B17</f>
        <v>General</v>
      </c>
      <c r="C84" s="46"/>
      <c r="D84" s="77">
        <v>29.858000000000001</v>
      </c>
      <c r="E84" s="46"/>
    </row>
    <row r="85" spans="1:5">
      <c r="A85" s="46"/>
      <c r="B85" s="86" t="str">
        <f>B18</f>
        <v>Debt Service</v>
      </c>
      <c r="C85" s="46"/>
      <c r="D85" s="77"/>
      <c r="E85" s="46"/>
    </row>
    <row r="86" spans="1:5">
      <c r="A86" s="46"/>
      <c r="B86" s="86" t="str">
        <f>B19</f>
        <v>Library</v>
      </c>
      <c r="C86" s="46"/>
      <c r="D86" s="77">
        <v>2.4710000000000001</v>
      </c>
      <c r="E86" s="46"/>
    </row>
    <row r="87" spans="1:5">
      <c r="A87" s="46"/>
      <c r="B87" s="86">
        <f t="shared" ref="B87:B96" si="0">B21</f>
        <v>0</v>
      </c>
      <c r="C87" s="46"/>
      <c r="D87" s="77"/>
      <c r="E87" s="46"/>
    </row>
    <row r="88" spans="1:5">
      <c r="A88" s="46"/>
      <c r="B88" s="86">
        <f t="shared" si="0"/>
        <v>0</v>
      </c>
      <c r="C88" s="46"/>
      <c r="D88" s="77"/>
      <c r="E88" s="46"/>
    </row>
    <row r="89" spans="1:5">
      <c r="A89" s="46"/>
      <c r="B89" s="86">
        <f t="shared" si="0"/>
        <v>0</v>
      </c>
      <c r="C89" s="46"/>
      <c r="D89" s="77"/>
      <c r="E89" s="46"/>
    </row>
    <row r="90" spans="1:5">
      <c r="A90" s="46"/>
      <c r="B90" s="86">
        <f t="shared" si="0"/>
        <v>0</v>
      </c>
      <c r="C90" s="46"/>
      <c r="D90" s="77"/>
      <c r="E90" s="46"/>
    </row>
    <row r="91" spans="1:5">
      <c r="A91" s="46"/>
      <c r="B91" s="86">
        <f t="shared" si="0"/>
        <v>0</v>
      </c>
      <c r="C91" s="46"/>
      <c r="D91" s="77"/>
      <c r="E91" s="46"/>
    </row>
    <row r="92" spans="1:5">
      <c r="A92" s="46"/>
      <c r="B92" s="86">
        <f t="shared" si="0"/>
        <v>0</v>
      </c>
      <c r="C92" s="46"/>
      <c r="D92" s="77"/>
      <c r="E92" s="46"/>
    </row>
    <row r="93" spans="1:5">
      <c r="A93" s="46"/>
      <c r="B93" s="86">
        <f t="shared" si="0"/>
        <v>0</v>
      </c>
      <c r="C93" s="46"/>
      <c r="D93" s="77"/>
      <c r="E93" s="46"/>
    </row>
    <row r="94" spans="1:5">
      <c r="A94" s="46"/>
      <c r="B94" s="86">
        <f t="shared" si="0"/>
        <v>0</v>
      </c>
      <c r="C94" s="46"/>
      <c r="D94" s="77"/>
      <c r="E94" s="46"/>
    </row>
    <row r="95" spans="1:5">
      <c r="A95" s="46"/>
      <c r="B95" s="86">
        <f t="shared" si="0"/>
        <v>0</v>
      </c>
      <c r="C95" s="46"/>
      <c r="D95" s="77"/>
      <c r="E95" s="46"/>
    </row>
    <row r="96" spans="1:5">
      <c r="A96" s="46"/>
      <c r="B96" s="86">
        <f t="shared" si="0"/>
        <v>0</v>
      </c>
      <c r="C96" s="152"/>
      <c r="D96" s="77"/>
      <c r="E96" s="46"/>
    </row>
    <row r="97" spans="1:5">
      <c r="A97" s="69" t="s">
        <v>719</v>
      </c>
      <c r="B97" s="70"/>
      <c r="C97" s="80"/>
      <c r="D97" s="87">
        <f>SUM(D84:D96)</f>
        <v>32.329000000000001</v>
      </c>
      <c r="E97" s="46"/>
    </row>
    <row r="98" spans="1:5">
      <c r="A98" s="46"/>
      <c r="B98" s="46"/>
      <c r="C98" s="46"/>
      <c r="D98" s="46"/>
      <c r="E98" s="46"/>
    </row>
    <row r="99" spans="1:5">
      <c r="A99" s="88" t="str">
        <f>CONCATENATE("Total Tax Levied (",C5-2," budget column)")</f>
        <v>Total Tax Levied (2012 budget column)</v>
      </c>
      <c r="B99" s="89"/>
      <c r="C99" s="70"/>
      <c r="D99" s="80"/>
      <c r="E99" s="66">
        <v>40196</v>
      </c>
    </row>
    <row r="100" spans="1:5">
      <c r="A100" s="90" t="str">
        <f>CONCATENATE("Assessed Valuation  (",C5-2," budget column)")</f>
        <v>Assessed Valuation  (2012 budget column)</v>
      </c>
      <c r="B100" s="91"/>
      <c r="C100" s="71"/>
      <c r="D100" s="92"/>
      <c r="E100" s="66">
        <v>1453746</v>
      </c>
    </row>
    <row r="101" spans="1:5">
      <c r="A101" s="74"/>
      <c r="B101" s="75"/>
      <c r="C101" s="75"/>
      <c r="D101" s="75"/>
      <c r="E101" s="83"/>
    </row>
    <row r="102" spans="1:5">
      <c r="A102" s="93" t="str">
        <f>CONCATENATE("From the ",C5-1," Budget, Budget Summary Page")</f>
        <v>From the 2013 Budget, Budget Summary Page</v>
      </c>
      <c r="B102" s="94"/>
      <c r="C102" s="46"/>
      <c r="D102" s="95"/>
      <c r="E102" s="96"/>
    </row>
    <row r="103" spans="1:5">
      <c r="A103" s="57" t="s">
        <v>644</v>
      </c>
      <c r="B103" s="57"/>
      <c r="C103" s="97"/>
      <c r="D103" s="98">
        <f>C5-3</f>
        <v>2011</v>
      </c>
      <c r="E103" s="99">
        <f>C5-2</f>
        <v>2012</v>
      </c>
    </row>
    <row r="104" spans="1:5">
      <c r="A104" s="100" t="s">
        <v>153</v>
      </c>
      <c r="B104" s="100"/>
      <c r="C104" s="101"/>
      <c r="D104" s="102"/>
      <c r="E104" s="102"/>
    </row>
    <row r="105" spans="1:5">
      <c r="A105" s="103" t="s">
        <v>154</v>
      </c>
      <c r="B105" s="103"/>
      <c r="C105" s="104"/>
      <c r="D105" s="102"/>
      <c r="E105" s="102"/>
    </row>
    <row r="106" spans="1:5">
      <c r="A106" s="103" t="s">
        <v>155</v>
      </c>
      <c r="B106" s="103"/>
      <c r="C106" s="104"/>
      <c r="D106" s="102">
        <v>73499</v>
      </c>
      <c r="E106" s="102">
        <v>73499</v>
      </c>
    </row>
    <row r="107" spans="1:5">
      <c r="A107" s="103" t="s">
        <v>156</v>
      </c>
      <c r="B107" s="103"/>
      <c r="C107" s="104"/>
      <c r="D107" s="102"/>
      <c r="E107" s="102"/>
    </row>
    <row r="108" spans="1:5">
      <c r="A108" s="105"/>
      <c r="B108" s="105"/>
      <c r="C108" s="105"/>
      <c r="D108" s="105"/>
      <c r="E108" s="105"/>
    </row>
    <row r="109" spans="1:5">
      <c r="A109" s="105"/>
      <c r="B109" s="105"/>
      <c r="C109" s="105"/>
      <c r="D109" s="105"/>
      <c r="E109" s="105"/>
    </row>
    <row r="110" spans="1:5">
      <c r="A110" s="105"/>
      <c r="B110" s="105"/>
      <c r="C110" s="105"/>
      <c r="D110" s="105"/>
      <c r="E110" s="105"/>
    </row>
    <row r="111" spans="1:5">
      <c r="A111" s="105"/>
      <c r="B111" s="105"/>
      <c r="C111" s="105"/>
      <c r="D111" s="105"/>
      <c r="E111" s="105"/>
    </row>
    <row r="112" spans="1:5">
      <c r="A112" s="105"/>
      <c r="B112" s="105"/>
      <c r="C112" s="105"/>
      <c r="D112" s="105"/>
      <c r="E112" s="105"/>
    </row>
    <row r="113" spans="1:5">
      <c r="A113" s="105"/>
      <c r="B113" s="105"/>
      <c r="C113" s="105"/>
      <c r="D113" s="105"/>
      <c r="E113" s="105"/>
    </row>
    <row r="114" spans="1:5" s="105" customFormat="1" ht="15"/>
    <row r="115" spans="1:5">
      <c r="A115" s="105"/>
      <c r="B115" s="105"/>
      <c r="C115" s="105"/>
      <c r="D115" s="105"/>
      <c r="E115" s="105"/>
    </row>
    <row r="116" spans="1:5">
      <c r="A116" s="105"/>
      <c r="B116" s="105"/>
      <c r="C116" s="105"/>
      <c r="D116" s="105"/>
      <c r="E116" s="105"/>
    </row>
    <row r="117" spans="1:5">
      <c r="A117" s="105"/>
      <c r="B117" s="105"/>
      <c r="C117" s="105"/>
      <c r="D117" s="105"/>
      <c r="E117" s="105"/>
    </row>
    <row r="118" spans="1:5">
      <c r="A118" s="105"/>
      <c r="B118" s="105"/>
      <c r="C118" s="105"/>
      <c r="D118" s="105"/>
      <c r="E118" s="105"/>
    </row>
    <row r="119" spans="1:5">
      <c r="A119" s="105"/>
      <c r="B119" s="105"/>
      <c r="C119" s="105"/>
      <c r="D119" s="105"/>
      <c r="E119" s="105"/>
    </row>
    <row r="120" spans="1:5">
      <c r="A120" s="105"/>
      <c r="B120" s="105"/>
      <c r="C120" s="105"/>
      <c r="D120" s="105"/>
      <c r="E120" s="105"/>
    </row>
    <row r="121" spans="1:5">
      <c r="A121" s="105"/>
      <c r="B121" s="105"/>
      <c r="C121" s="105"/>
      <c r="D121" s="105"/>
      <c r="E121" s="105"/>
    </row>
    <row r="122" spans="1:5">
      <c r="A122" s="105"/>
      <c r="B122" s="105"/>
      <c r="C122" s="105"/>
      <c r="D122" s="105"/>
      <c r="E122" s="105"/>
    </row>
    <row r="123" spans="1:5">
      <c r="A123" s="105"/>
      <c r="B123" s="105"/>
      <c r="C123" s="105"/>
      <c r="D123" s="105"/>
      <c r="E123" s="105"/>
    </row>
    <row r="124" spans="1:5">
      <c r="A124" s="105"/>
      <c r="B124" s="105"/>
      <c r="C124" s="105"/>
      <c r="D124" s="105"/>
      <c r="E124" s="105"/>
    </row>
    <row r="125" spans="1:5">
      <c r="A125" s="105"/>
      <c r="B125" s="105"/>
      <c r="C125" s="105"/>
      <c r="D125" s="105"/>
      <c r="E125" s="105"/>
    </row>
  </sheetData>
  <sheetProtection sheet="1"/>
  <mergeCells count="3">
    <mergeCell ref="A10:E10"/>
    <mergeCell ref="A1:E1"/>
    <mergeCell ref="G8:H13"/>
  </mergeCells>
  <phoneticPr fontId="0" type="noConversion"/>
  <pageMargins left="0.5" right="0.5" top="1" bottom="0.5" header="0.5" footer="0.25"/>
  <pageSetup scale="70"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K58" sqref="K58"/>
    </sheetView>
  </sheetViews>
  <sheetFormatPr defaultRowHeight="15.75"/>
  <cols>
    <col min="1" max="1" width="2.44140625" style="44" customWidth="1"/>
    <col min="2" max="2" width="31.109375" style="44" customWidth="1"/>
    <col min="3" max="4" width="15.77734375" style="44" customWidth="1"/>
    <col min="5" max="5" width="16.21875" style="44" customWidth="1"/>
    <col min="6" max="6" width="8.88671875" style="44"/>
    <col min="7" max="7" width="10.21875" style="44" customWidth="1"/>
    <col min="8" max="8" width="8.88671875" style="44"/>
    <col min="9" max="9" width="5" style="44" customWidth="1"/>
    <col min="10" max="10" width="10" style="44" customWidth="1"/>
    <col min="11" max="16384" width="8.88671875" style="44"/>
  </cols>
  <sheetData>
    <row r="1" spans="2:5">
      <c r="B1" s="196" t="str">
        <f ca="1">(inputPrYr!D2)</f>
        <v>City of Grainfield</v>
      </c>
      <c r="C1" s="46"/>
      <c r="D1" s="46"/>
      <c r="E1" s="247">
        <f ca="1">inputPrYr!C5</f>
        <v>2014</v>
      </c>
    </row>
    <row r="2" spans="2:5">
      <c r="B2" s="46"/>
      <c r="C2" s="46"/>
      <c r="D2" s="46"/>
      <c r="E2" s="168"/>
    </row>
    <row r="3" spans="2:5">
      <c r="B3" s="248" t="s">
        <v>55</v>
      </c>
      <c r="C3" s="200"/>
      <c r="D3" s="200"/>
      <c r="E3" s="287"/>
    </row>
    <row r="4" spans="2:5">
      <c r="B4" s="51" t="s">
        <v>747</v>
      </c>
      <c r="C4" s="710" t="s">
        <v>789</v>
      </c>
      <c r="D4" s="711" t="s">
        <v>790</v>
      </c>
      <c r="E4" s="143" t="s">
        <v>791</v>
      </c>
    </row>
    <row r="5" spans="2:5">
      <c r="B5" s="532">
        <f ca="1">inputPrYr!B29</f>
        <v>0</v>
      </c>
      <c r="C5" s="224" t="str">
        <f>CONCATENATE("Actual for ",E1-2,"")</f>
        <v>Actual for 2012</v>
      </c>
      <c r="D5" s="224" t="str">
        <f>CONCATENATE("Estimate for ",E1-1,"")</f>
        <v>Estimate for 2013</v>
      </c>
      <c r="E5" s="207" t="str">
        <f>CONCATENATE("Year for ",E1,"")</f>
        <v>Year for 2014</v>
      </c>
    </row>
    <row r="6" spans="2:5">
      <c r="B6" s="251" t="s">
        <v>110</v>
      </c>
      <c r="C6" s="256"/>
      <c r="D6" s="254">
        <f>C34</f>
        <v>0</v>
      </c>
      <c r="E6" s="227">
        <f>D34</f>
        <v>0</v>
      </c>
    </row>
    <row r="7" spans="2:5">
      <c r="B7" s="255" t="s">
        <v>112</v>
      </c>
      <c r="C7" s="158"/>
      <c r="D7" s="158"/>
      <c r="E7" s="86"/>
    </row>
    <row r="8" spans="2:5">
      <c r="B8" s="149" t="s">
        <v>748</v>
      </c>
      <c r="C8" s="256"/>
      <c r="D8" s="254">
        <f ca="1">IF(inputPrYr!H16&gt;0,inputPrYr!G29,inputPrYr!E29)</f>
        <v>0</v>
      </c>
      <c r="E8" s="285" t="s">
        <v>736</v>
      </c>
    </row>
    <row r="9" spans="2:5">
      <c r="B9" s="149" t="s">
        <v>749</v>
      </c>
      <c r="C9" s="256"/>
      <c r="D9" s="256"/>
      <c r="E9" s="66"/>
    </row>
    <row r="10" spans="2:5">
      <c r="B10" s="149" t="s">
        <v>750</v>
      </c>
      <c r="C10" s="256"/>
      <c r="D10" s="256"/>
      <c r="E10" s="227" t="str">
        <f ca="1">mvalloc!D18</f>
        <v xml:space="preserve">  </v>
      </c>
    </row>
    <row r="11" spans="2:5">
      <c r="B11" s="149" t="s">
        <v>751</v>
      </c>
      <c r="C11" s="256"/>
      <c r="D11" s="256"/>
      <c r="E11" s="227" t="str">
        <f ca="1">mvalloc!E18</f>
        <v xml:space="preserve"> </v>
      </c>
    </row>
    <row r="12" spans="2:5">
      <c r="B12" s="158" t="s">
        <v>87</v>
      </c>
      <c r="C12" s="256"/>
      <c r="D12" s="256"/>
      <c r="E12" s="227" t="str">
        <f ca="1">mvalloc!F18</f>
        <v xml:space="preserve"> </v>
      </c>
    </row>
    <row r="13" spans="2:5">
      <c r="B13" s="272"/>
      <c r="C13" s="256"/>
      <c r="D13" s="256"/>
      <c r="E13" s="68"/>
    </row>
    <row r="14" spans="2:5">
      <c r="B14" s="272"/>
      <c r="C14" s="256"/>
      <c r="D14" s="256"/>
      <c r="E14" s="68"/>
    </row>
    <row r="15" spans="2:5">
      <c r="B15" s="272"/>
      <c r="C15" s="256"/>
      <c r="D15" s="256"/>
      <c r="E15" s="66"/>
    </row>
    <row r="16" spans="2:5">
      <c r="B16" s="272"/>
      <c r="C16" s="256"/>
      <c r="D16" s="256"/>
      <c r="E16" s="66"/>
    </row>
    <row r="17" spans="2:10">
      <c r="B17" s="260" t="s">
        <v>753</v>
      </c>
      <c r="C17" s="256"/>
      <c r="D17" s="256"/>
      <c r="E17" s="66"/>
    </row>
    <row r="18" spans="2:10">
      <c r="B18" s="158" t="s">
        <v>655</v>
      </c>
      <c r="C18" s="256"/>
      <c r="D18" s="256"/>
      <c r="E18" s="66"/>
    </row>
    <row r="19" spans="2:10">
      <c r="B19" s="251" t="s">
        <v>507</v>
      </c>
      <c r="C19" s="261" t="str">
        <f>IF(C20*0.1&lt;C18,"Exceed 10% Rule","")</f>
        <v/>
      </c>
      <c r="D19" s="261" t="str">
        <f>IF(D20*0.1&lt;D18,"Exceed 10% Rule","")</f>
        <v/>
      </c>
      <c r="E19" s="298" t="str">
        <f>IF(E20*0.1+E40&lt;E18,"Exceed 10% Rule","")</f>
        <v/>
      </c>
    </row>
    <row r="20" spans="2:10">
      <c r="B20" s="263" t="s">
        <v>754</v>
      </c>
      <c r="C20" s="265">
        <f>SUM(C8:C18)</f>
        <v>0</v>
      </c>
      <c r="D20" s="265">
        <f>SUM(D8:D18)</f>
        <v>0</v>
      </c>
      <c r="E20" s="266">
        <f>SUM(E8:E18)</f>
        <v>0</v>
      </c>
    </row>
    <row r="21" spans="2:10">
      <c r="B21" s="263" t="s">
        <v>755</v>
      </c>
      <c r="C21" s="265">
        <f>C6+C20</f>
        <v>0</v>
      </c>
      <c r="D21" s="265">
        <f>D6+D20</f>
        <v>0</v>
      </c>
      <c r="E21" s="266">
        <f>E6+E20</f>
        <v>0</v>
      </c>
    </row>
    <row r="22" spans="2:10">
      <c r="B22" s="149" t="s">
        <v>0</v>
      </c>
      <c r="C22" s="273"/>
      <c r="D22" s="273"/>
      <c r="E22" s="64"/>
    </row>
    <row r="23" spans="2:10">
      <c r="B23" s="272"/>
      <c r="C23" s="256"/>
      <c r="D23" s="256"/>
      <c r="E23" s="66"/>
    </row>
    <row r="24" spans="2:10">
      <c r="B24" s="272"/>
      <c r="C24" s="256"/>
      <c r="D24" s="256"/>
      <c r="E24" s="66"/>
      <c r="G24" s="801" t="str">
        <f>CONCATENATE("Desired Carryover Into ",E1+1,"")</f>
        <v>Desired Carryover Into 2015</v>
      </c>
      <c r="H24" s="796"/>
      <c r="I24" s="796"/>
      <c r="J24" s="797"/>
    </row>
    <row r="25" spans="2:10">
      <c r="B25" s="272"/>
      <c r="C25" s="256"/>
      <c r="D25" s="256"/>
      <c r="E25" s="66"/>
      <c r="G25" s="648"/>
      <c r="H25" s="75"/>
      <c r="I25" s="649"/>
      <c r="J25" s="650"/>
    </row>
    <row r="26" spans="2:10">
      <c r="B26" s="272"/>
      <c r="C26" s="256"/>
      <c r="D26" s="256"/>
      <c r="E26" s="66"/>
      <c r="G26" s="651" t="s">
        <v>495</v>
      </c>
      <c r="H26" s="649"/>
      <c r="I26" s="649"/>
      <c r="J26" s="652">
        <v>0</v>
      </c>
    </row>
    <row r="27" spans="2:10">
      <c r="B27" s="272"/>
      <c r="C27" s="256"/>
      <c r="D27" s="256"/>
      <c r="E27" s="66"/>
      <c r="G27" s="648" t="s">
        <v>496</v>
      </c>
      <c r="H27" s="75"/>
      <c r="I27" s="75"/>
      <c r="J27" s="653" t="str">
        <f ca="1">IF(J26=0,"",ROUND((J26+E40-G39)/inputOth!E7*1000,3)-G44)</f>
        <v/>
      </c>
    </row>
    <row r="28" spans="2:10">
      <c r="B28" s="272"/>
      <c r="C28" s="256"/>
      <c r="D28" s="256"/>
      <c r="E28" s="66"/>
      <c r="G28" s="654" t="str">
        <f>CONCATENATE("",E1," Tot Exp/Non-Appr Must Be:")</f>
        <v>2014 Tot Exp/Non-Appr Must Be:</v>
      </c>
      <c r="H28" s="655"/>
      <c r="I28" s="656"/>
      <c r="J28" s="657">
        <f>IF(J26&gt;0,IF(E37&lt;E20,IF(J26=G39,E37,((J26-G39)*(1-D39))+E20),E37+(J26-G39)),0)</f>
        <v>0</v>
      </c>
    </row>
    <row r="29" spans="2:10">
      <c r="B29" s="272"/>
      <c r="C29" s="256"/>
      <c r="D29" s="256"/>
      <c r="E29" s="66"/>
      <c r="G29" s="658" t="s">
        <v>615</v>
      </c>
      <c r="H29" s="659"/>
      <c r="I29" s="659"/>
      <c r="J29" s="660">
        <f>IF(J26&gt;0,J28-E37,0)</f>
        <v>0</v>
      </c>
    </row>
    <row r="30" spans="2:10">
      <c r="B30" s="273" t="s">
        <v>654</v>
      </c>
      <c r="C30" s="256"/>
      <c r="D30" s="256"/>
      <c r="E30" s="81" t="str">
        <f ca="1">nhood!E17</f>
        <v/>
      </c>
      <c r="J30" s="2"/>
    </row>
    <row r="31" spans="2:10">
      <c r="B31" s="273" t="s">
        <v>655</v>
      </c>
      <c r="C31" s="256"/>
      <c r="D31" s="256"/>
      <c r="E31" s="66"/>
      <c r="G31" s="801" t="str">
        <f>CONCATENATE("Projected Carryover Into ",E1+1,"")</f>
        <v>Projected Carryover Into 2015</v>
      </c>
      <c r="H31" s="804"/>
      <c r="I31" s="804"/>
      <c r="J31" s="803"/>
    </row>
    <row r="32" spans="2:10">
      <c r="B32" s="273" t="s">
        <v>508</v>
      </c>
      <c r="C32" s="261" t="str">
        <f>IF(C33*0.1&lt;C31,"Exceed 10% Rule","")</f>
        <v/>
      </c>
      <c r="D32" s="261" t="str">
        <f>IF(D33*0.1&lt;D31,"Exceed 10% Rule","")</f>
        <v/>
      </c>
      <c r="E32" s="298" t="str">
        <f>IF(E33*0.1&lt;E31,"Exceed 10% Rule","")</f>
        <v/>
      </c>
      <c r="G32" s="648"/>
      <c r="H32" s="649"/>
      <c r="I32" s="649"/>
      <c r="J32" s="662"/>
    </row>
    <row r="33" spans="2:11">
      <c r="B33" s="263" t="s">
        <v>4</v>
      </c>
      <c r="C33" s="265">
        <f>SUM(C24:C31)</f>
        <v>0</v>
      </c>
      <c r="D33" s="265">
        <f>SUM(D24:D31)</f>
        <v>0</v>
      </c>
      <c r="E33" s="266">
        <f>SUM(E24:E31)</f>
        <v>0</v>
      </c>
      <c r="G33" s="663">
        <f>D34</f>
        <v>0</v>
      </c>
      <c r="H33" s="631" t="str">
        <f>CONCATENATE("",E1-1," Ending Cash Balance (est.)")</f>
        <v>2013 Ending Cash Balance (est.)</v>
      </c>
      <c r="I33" s="664"/>
      <c r="J33" s="662"/>
    </row>
    <row r="34" spans="2:11">
      <c r="B34" s="149" t="s">
        <v>111</v>
      </c>
      <c r="C34" s="269">
        <f>C21-C33</f>
        <v>0</v>
      </c>
      <c r="D34" s="269">
        <f>D21-D33</f>
        <v>0</v>
      </c>
      <c r="E34" s="285" t="s">
        <v>736</v>
      </c>
      <c r="G34" s="663" t="str">
        <f>E19</f>
        <v/>
      </c>
      <c r="H34" s="649" t="str">
        <f>CONCATENATE("",E1," Non-AV Receipts (est.)")</f>
        <v>2014 Non-AV Receipts (est.)</v>
      </c>
      <c r="I34" s="664"/>
      <c r="J34" s="662"/>
    </row>
    <row r="35" spans="2:11">
      <c r="B35" s="135" t="str">
        <f>CONCATENATE("",E1-2,"/",E1-1," Budget Authority Amount:")</f>
        <v>2012/2013 Budget Authority Amount:</v>
      </c>
      <c r="C35" s="240">
        <f ca="1">inputOth!B71</f>
        <v>0</v>
      </c>
      <c r="D35" s="240">
        <f ca="1">inputPrYr!D29</f>
        <v>0</v>
      </c>
      <c r="E35" s="285" t="s">
        <v>736</v>
      </c>
      <c r="F35" s="275"/>
      <c r="G35" s="665">
        <f>IF(E39&gt;0,E38,E40)</f>
        <v>0</v>
      </c>
      <c r="H35" s="649" t="str">
        <f>CONCATENATE("",E1," Ad Valorem Tax (est.)")</f>
        <v>2014 Ad Valorem Tax (est.)</v>
      </c>
      <c r="I35" s="664"/>
      <c r="J35" s="644"/>
      <c r="K35" s="640" t="str">
        <f>IF(G35=E40,"","Note: Does not include Delinquent Taxes")</f>
        <v/>
      </c>
    </row>
    <row r="36" spans="2:11">
      <c r="B36" s="135"/>
      <c r="C36" s="790" t="s">
        <v>395</v>
      </c>
      <c r="D36" s="791"/>
      <c r="E36" s="66"/>
      <c r="F36" s="734" t="str">
        <f>IF(E33/0.95-E33&lt;E36,"Exceeds 5%","")</f>
        <v/>
      </c>
      <c r="G36" s="663">
        <f>SUM(G33:G35)</f>
        <v>0</v>
      </c>
      <c r="H36" s="649" t="str">
        <f>CONCATENATE("Total ",E1," Resources Available")</f>
        <v>Total 2014 Resources Available</v>
      </c>
      <c r="I36" s="664"/>
      <c r="J36" s="662"/>
    </row>
    <row r="37" spans="2:11">
      <c r="B37" s="528" t="str">
        <f>CONCATENATE(C94,"     ",D94)</f>
        <v xml:space="preserve">     </v>
      </c>
      <c r="C37" s="792" t="s">
        <v>396</v>
      </c>
      <c r="D37" s="793"/>
      <c r="E37" s="227">
        <f>E33+E36</f>
        <v>0</v>
      </c>
      <c r="G37" s="700"/>
      <c r="H37" s="649"/>
      <c r="I37" s="649"/>
      <c r="J37" s="662"/>
    </row>
    <row r="38" spans="2:11">
      <c r="B38" s="528" t="str">
        <f>CONCATENATE(C95,"     ",D95)</f>
        <v xml:space="preserve">     </v>
      </c>
      <c r="C38" s="276"/>
      <c r="D38" s="168" t="s">
        <v>5</v>
      </c>
      <c r="E38" s="81">
        <f>IF(E37-E21&gt;0,E37-E21,0)</f>
        <v>0</v>
      </c>
      <c r="G38" s="665">
        <f>ROUND(C33*0.05+C33,0)</f>
        <v>0</v>
      </c>
      <c r="H38" s="649" t="str">
        <f>CONCATENATE("Less ",E1-2," Expenditures + 5%")</f>
        <v>Less 2012 Expenditures + 5%</v>
      </c>
      <c r="I38" s="664"/>
      <c r="J38" s="662"/>
    </row>
    <row r="39" spans="2:11">
      <c r="B39" s="168"/>
      <c r="C39" s="384" t="s">
        <v>394</v>
      </c>
      <c r="D39" s="724">
        <f ca="1">inputOth!$E$47</f>
        <v>0.01</v>
      </c>
      <c r="E39" s="227">
        <f>ROUND(IF(D39&gt;0,(E38*D39),0),0)</f>
        <v>0</v>
      </c>
      <c r="G39" s="701">
        <f>G36-G38</f>
        <v>0</v>
      </c>
      <c r="H39" s="702" t="str">
        <f>CONCATENATE("Projected ",E1+1," carryover (est.)")</f>
        <v>Projected 2015 carryover (est.)</v>
      </c>
      <c r="I39" s="703"/>
      <c r="J39" s="675"/>
    </row>
    <row r="40" spans="2:11" ht="16.5" thickBot="1">
      <c r="B40" s="46"/>
      <c r="C40" s="794" t="str">
        <f>CONCATENATE("Amount of  ",$E$1-1," Ad Valorem Tax")</f>
        <v>Amount of  2013 Ad Valorem Tax</v>
      </c>
      <c r="D40" s="795"/>
      <c r="E40" s="647">
        <f>E38+E39</f>
        <v>0</v>
      </c>
      <c r="G40" s="2"/>
      <c r="H40" s="2"/>
      <c r="I40" s="2"/>
      <c r="J40" s="2"/>
    </row>
    <row r="41" spans="2:11" ht="17.25" thickTop="1">
      <c r="B41" s="46"/>
      <c r="C41" s="46"/>
      <c r="D41" s="46"/>
      <c r="E41" s="46"/>
      <c r="G41" s="784" t="s">
        <v>614</v>
      </c>
      <c r="H41" s="785"/>
      <c r="I41" s="785"/>
      <c r="J41" s="786"/>
    </row>
    <row r="42" spans="2:11">
      <c r="B42" s="51"/>
      <c r="C42" s="141"/>
      <c r="D42" s="141"/>
      <c r="E42" s="141"/>
      <c r="G42" s="630"/>
      <c r="H42" s="631"/>
      <c r="I42" s="632"/>
      <c r="J42" s="633"/>
    </row>
    <row r="43" spans="2:11">
      <c r="B43" s="51" t="s">
        <v>747</v>
      </c>
      <c r="C43" s="710" t="s">
        <v>789</v>
      </c>
      <c r="D43" s="711" t="s">
        <v>790</v>
      </c>
      <c r="E43" s="143" t="s">
        <v>791</v>
      </c>
      <c r="G43" s="634" t="str">
        <f ca="1">summ!H26</f>
        <v xml:space="preserve">  </v>
      </c>
      <c r="H43" s="631" t="str">
        <f>CONCATENATE("",E1," Fund Mill Rate")</f>
        <v>2014 Fund Mill Rate</v>
      </c>
      <c r="I43" s="632"/>
      <c r="J43" s="633"/>
    </row>
    <row r="44" spans="2:11">
      <c r="B44" s="532">
        <f ca="1">inputPrYr!B30</f>
        <v>0</v>
      </c>
      <c r="C44" s="224" t="str">
        <f>CONCATENATE("Actual for ",E1-2,"")</f>
        <v>Actual for 2012</v>
      </c>
      <c r="D44" s="224" t="str">
        <f>CONCATENATE("Estimate for ",E1-1,"")</f>
        <v>Estimate for 2013</v>
      </c>
      <c r="E44" s="207" t="str">
        <f>CONCATENATE("Year for ",E1,"")</f>
        <v>Year for 2014</v>
      </c>
      <c r="G44" s="635" t="str">
        <f ca="1">summ!E26</f>
        <v xml:space="preserve">  </v>
      </c>
      <c r="H44" s="631" t="str">
        <f>CONCATENATE("",E1-1," Fund Mill Rate")</f>
        <v>2013 Fund Mill Rate</v>
      </c>
      <c r="I44" s="632"/>
      <c r="J44" s="633"/>
    </row>
    <row r="45" spans="2:11">
      <c r="B45" s="251" t="s">
        <v>110</v>
      </c>
      <c r="C45" s="256"/>
      <c r="D45" s="254">
        <f>C74</f>
        <v>0</v>
      </c>
      <c r="E45" s="227">
        <f>D74</f>
        <v>0</v>
      </c>
      <c r="G45" s="636">
        <f ca="1">summ!H52</f>
        <v>32.186</v>
      </c>
      <c r="H45" s="631" t="str">
        <f>CONCATENATE("Total ",E1," Mill Rate")</f>
        <v>Total 2014 Mill Rate</v>
      </c>
      <c r="I45" s="632"/>
      <c r="J45" s="633"/>
    </row>
    <row r="46" spans="2:11">
      <c r="B46" s="255" t="s">
        <v>112</v>
      </c>
      <c r="C46" s="158"/>
      <c r="D46" s="158"/>
      <c r="E46" s="86"/>
      <c r="G46" s="635">
        <f ca="1">summ!E52</f>
        <v>32.481999999999999</v>
      </c>
      <c r="H46" s="637" t="str">
        <f>CONCATENATE("Total ",E1-1," Mill Rate")</f>
        <v>Total 2013 Mill Rate</v>
      </c>
      <c r="I46" s="638"/>
      <c r="J46" s="639"/>
    </row>
    <row r="47" spans="2:11">
      <c r="B47" s="149" t="s">
        <v>748</v>
      </c>
      <c r="C47" s="256"/>
      <c r="D47" s="254">
        <f ca="1">IF(inputPrYr!H16&gt;0,inputPrYr!G30,inputPrYr!E30)</f>
        <v>0</v>
      </c>
      <c r="E47" s="285" t="s">
        <v>736</v>
      </c>
    </row>
    <row r="48" spans="2:11">
      <c r="B48" s="149" t="s">
        <v>749</v>
      </c>
      <c r="C48" s="256"/>
      <c r="D48" s="256"/>
      <c r="E48" s="66"/>
      <c r="G48" s="741" t="s">
        <v>845</v>
      </c>
      <c r="H48" s="740"/>
      <c r="I48" s="739" t="str">
        <f ca="1">cert!F58</f>
        <v>No</v>
      </c>
    </row>
    <row r="49" spans="2:10">
      <c r="B49" s="149" t="s">
        <v>750</v>
      </c>
      <c r="C49" s="256"/>
      <c r="D49" s="256"/>
      <c r="E49" s="227" t="str">
        <f ca="1">mvalloc!D19</f>
        <v xml:space="preserve">  </v>
      </c>
    </row>
    <row r="50" spans="2:10">
      <c r="B50" s="149" t="s">
        <v>751</v>
      </c>
      <c r="C50" s="256"/>
      <c r="D50" s="256"/>
      <c r="E50" s="227" t="str">
        <f ca="1">mvalloc!E19</f>
        <v xml:space="preserve"> </v>
      </c>
    </row>
    <row r="51" spans="2:10">
      <c r="B51" s="158" t="s">
        <v>87</v>
      </c>
      <c r="C51" s="256"/>
      <c r="D51" s="256"/>
      <c r="E51" s="227" t="str">
        <f ca="1">mvalloc!F19</f>
        <v xml:space="preserve"> </v>
      </c>
    </row>
    <row r="52" spans="2:10">
      <c r="B52" s="272"/>
      <c r="C52" s="256"/>
      <c r="D52" s="256"/>
      <c r="E52" s="68"/>
    </row>
    <row r="53" spans="2:10">
      <c r="B53" s="272"/>
      <c r="C53" s="256"/>
      <c r="D53" s="256"/>
      <c r="E53" s="68"/>
    </row>
    <row r="54" spans="2:10">
      <c r="B54" s="272"/>
      <c r="C54" s="256"/>
      <c r="D54" s="256"/>
      <c r="E54" s="66"/>
    </row>
    <row r="55" spans="2:10">
      <c r="B55" s="272"/>
      <c r="C55" s="256"/>
      <c r="D55" s="256"/>
      <c r="E55" s="66"/>
    </row>
    <row r="56" spans="2:10">
      <c r="B56" s="272"/>
      <c r="C56" s="256"/>
      <c r="D56" s="256"/>
      <c r="E56" s="66"/>
    </row>
    <row r="57" spans="2:10">
      <c r="B57" s="260" t="s">
        <v>753</v>
      </c>
      <c r="C57" s="256"/>
      <c r="D57" s="256"/>
      <c r="E57" s="66"/>
    </row>
    <row r="58" spans="2:10">
      <c r="B58" s="158" t="s">
        <v>655</v>
      </c>
      <c r="C58" s="256"/>
      <c r="D58" s="256"/>
      <c r="E58" s="66"/>
    </row>
    <row r="59" spans="2:10">
      <c r="B59" s="251" t="s">
        <v>507</v>
      </c>
      <c r="C59" s="261" t="str">
        <f>IF(C60*0.1&lt;C58,"Exceed 10% Rule","")</f>
        <v/>
      </c>
      <c r="D59" s="261" t="str">
        <f>IF(D60*0.1&lt;D58,"Exceed 10% Rule","")</f>
        <v/>
      </c>
      <c r="E59" s="298" t="str">
        <f>IF(E60*0.1+E80&lt;E58,"Exceed 10% Rule","")</f>
        <v/>
      </c>
    </row>
    <row r="60" spans="2:10">
      <c r="B60" s="263" t="s">
        <v>754</v>
      </c>
      <c r="C60" s="265">
        <f>SUM(C47:C58)</f>
        <v>0</v>
      </c>
      <c r="D60" s="265">
        <f>SUM(D47:D58)</f>
        <v>0</v>
      </c>
      <c r="E60" s="266">
        <f>SUM(E47:E58)</f>
        <v>0</v>
      </c>
    </row>
    <row r="61" spans="2:10">
      <c r="B61" s="263" t="s">
        <v>755</v>
      </c>
      <c r="C61" s="265">
        <f>C45+C60</f>
        <v>0</v>
      </c>
      <c r="D61" s="265">
        <f>D45+D60</f>
        <v>0</v>
      </c>
      <c r="E61" s="266">
        <f>E45+E60</f>
        <v>0</v>
      </c>
    </row>
    <row r="62" spans="2:10">
      <c r="B62" s="149" t="s">
        <v>0</v>
      </c>
      <c r="C62" s="273"/>
      <c r="D62" s="273"/>
      <c r="E62" s="64"/>
    </row>
    <row r="63" spans="2:10">
      <c r="B63" s="272"/>
      <c r="C63" s="256"/>
      <c r="D63" s="256"/>
      <c r="E63" s="66"/>
    </row>
    <row r="64" spans="2:10">
      <c r="B64" s="272"/>
      <c r="C64" s="256"/>
      <c r="D64" s="256"/>
      <c r="E64" s="66"/>
      <c r="G64" s="801" t="str">
        <f>CONCATENATE("Desired Carryover Into ",E1+1,"")</f>
        <v>Desired Carryover Into 2015</v>
      </c>
      <c r="H64" s="796"/>
      <c r="I64" s="796"/>
      <c r="J64" s="797"/>
    </row>
    <row r="65" spans="2:11">
      <c r="B65" s="272"/>
      <c r="C65" s="256"/>
      <c r="D65" s="256"/>
      <c r="E65" s="66"/>
      <c r="G65" s="648"/>
      <c r="H65" s="75"/>
      <c r="I65" s="649"/>
      <c r="J65" s="650"/>
    </row>
    <row r="66" spans="2:11">
      <c r="B66" s="272"/>
      <c r="C66" s="256"/>
      <c r="D66" s="256"/>
      <c r="E66" s="66"/>
      <c r="G66" s="651" t="s">
        <v>495</v>
      </c>
      <c r="H66" s="649"/>
      <c r="I66" s="649"/>
      <c r="J66" s="652">
        <v>0</v>
      </c>
    </row>
    <row r="67" spans="2:11">
      <c r="B67" s="272"/>
      <c r="C67" s="256"/>
      <c r="D67" s="256"/>
      <c r="E67" s="66"/>
      <c r="G67" s="648" t="s">
        <v>496</v>
      </c>
      <c r="H67" s="75"/>
      <c r="I67" s="75"/>
      <c r="J67" s="653" t="str">
        <f ca="1">IF(J66=0,"",ROUND((J66+E80-G79)/inputOth!E7*1000,3)-G84)</f>
        <v/>
      </c>
    </row>
    <row r="68" spans="2:11">
      <c r="B68" s="272"/>
      <c r="C68" s="256"/>
      <c r="D68" s="256"/>
      <c r="E68" s="66"/>
      <c r="G68" s="654" t="str">
        <f>CONCATENATE("",E1," Tot Exp/Non-Appr Must Be:")</f>
        <v>2014 Tot Exp/Non-Appr Must Be:</v>
      </c>
      <c r="H68" s="655"/>
      <c r="I68" s="656"/>
      <c r="J68" s="657">
        <f>IF(J66&gt;0,IF(E77&lt;E61,IF(J66=G79,E77,((J66-G79)*(1-D79))+E61),E77+(J66-G79)),0)</f>
        <v>0</v>
      </c>
    </row>
    <row r="69" spans="2:11">
      <c r="B69" s="272"/>
      <c r="C69" s="256"/>
      <c r="D69" s="256"/>
      <c r="E69" s="66"/>
      <c r="G69" s="658" t="s">
        <v>615</v>
      </c>
      <c r="H69" s="659"/>
      <c r="I69" s="659"/>
      <c r="J69" s="660">
        <f>IF(J66&gt;0,J68-E77,0)</f>
        <v>0</v>
      </c>
    </row>
    <row r="70" spans="2:11">
      <c r="B70" s="273" t="s">
        <v>654</v>
      </c>
      <c r="C70" s="256"/>
      <c r="D70" s="256"/>
      <c r="E70" s="81" t="str">
        <f ca="1">nhood!E18</f>
        <v/>
      </c>
      <c r="J70" s="2"/>
    </row>
    <row r="71" spans="2:11">
      <c r="B71" s="273" t="s">
        <v>655</v>
      </c>
      <c r="C71" s="256"/>
      <c r="D71" s="256"/>
      <c r="E71" s="66"/>
      <c r="G71" s="801" t="str">
        <f>CONCATENATE("Projected Carryover Into ",E1+1,"")</f>
        <v>Projected Carryover Into 2015</v>
      </c>
      <c r="H71" s="802"/>
      <c r="I71" s="802"/>
      <c r="J71" s="803"/>
    </row>
    <row r="72" spans="2:11">
      <c r="B72" s="273" t="s">
        <v>508</v>
      </c>
      <c r="C72" s="261" t="str">
        <f>IF(C73*0.1&lt;C71,"Exceed 10% Rule","")</f>
        <v/>
      </c>
      <c r="D72" s="261" t="str">
        <f>IF(D73*0.1&lt;D71,"Exceed 10% Rule","")</f>
        <v/>
      </c>
      <c r="E72" s="298" t="str">
        <f>IF(E73*0.1&lt;E71,"Exceed 10% Rule","")</f>
        <v/>
      </c>
      <c r="G72" s="661"/>
      <c r="H72" s="75"/>
      <c r="I72" s="75"/>
      <c r="J72" s="668"/>
    </row>
    <row r="73" spans="2:11">
      <c r="B73" s="263" t="s">
        <v>4</v>
      </c>
      <c r="C73" s="265">
        <f>SUM(C63:C71)</f>
        <v>0</v>
      </c>
      <c r="D73" s="265">
        <f>SUM(D63:D71)</f>
        <v>0</v>
      </c>
      <c r="E73" s="266">
        <f>SUM(E63:E71)</f>
        <v>0</v>
      </c>
      <c r="G73" s="663">
        <f>D74</f>
        <v>0</v>
      </c>
      <c r="H73" s="631" t="str">
        <f>CONCATENATE("",E1-1," Ending Cash Balance (est.)")</f>
        <v>2013 Ending Cash Balance (est.)</v>
      </c>
      <c r="I73" s="664"/>
      <c r="J73" s="668"/>
    </row>
    <row r="74" spans="2:11">
      <c r="B74" s="149" t="s">
        <v>111</v>
      </c>
      <c r="C74" s="269">
        <f>C61-C73</f>
        <v>0</v>
      </c>
      <c r="D74" s="269">
        <f>D61-D73</f>
        <v>0</v>
      </c>
      <c r="E74" s="285" t="s">
        <v>736</v>
      </c>
      <c r="G74" s="663">
        <f>E60</f>
        <v>0</v>
      </c>
      <c r="H74" s="649" t="str">
        <f>CONCATENATE("",E1," Non-AV Receipts (est.)")</f>
        <v>2014 Non-AV Receipts (est.)</v>
      </c>
      <c r="I74" s="664"/>
      <c r="J74" s="668"/>
    </row>
    <row r="75" spans="2:11">
      <c r="B75" s="135" t="str">
        <f>CONCATENATE("",E1-2,"/",E1-1," Budget Authority Amount:")</f>
        <v>2012/2013 Budget Authority Amount:</v>
      </c>
      <c r="C75" s="240">
        <f ca="1">inputOth!B72</f>
        <v>0</v>
      </c>
      <c r="D75" s="240">
        <f ca="1">inputPrYr!D30</f>
        <v>0</v>
      </c>
      <c r="E75" s="285" t="s">
        <v>736</v>
      </c>
      <c r="F75" s="275"/>
      <c r="G75" s="665">
        <f>IF(D79&gt;0,E78,E80)</f>
        <v>0</v>
      </c>
      <c r="H75" s="649" t="str">
        <f>CONCATENATE("",E1," Ad Valorem Tax (est.)")</f>
        <v>2014 Ad Valorem Tax (est.)</v>
      </c>
      <c r="I75" s="664"/>
      <c r="J75" s="668"/>
      <c r="K75" s="640" t="str">
        <f>IF(G75=E80,"","Note: Does not include Delinquent Taxes")</f>
        <v/>
      </c>
    </row>
    <row r="76" spans="2:11">
      <c r="B76" s="135"/>
      <c r="C76" s="790" t="s">
        <v>395</v>
      </c>
      <c r="D76" s="791"/>
      <c r="E76" s="66"/>
      <c r="F76" s="734" t="str">
        <f>IF(E73/0.95-E73&lt;E76,"Exceeds 5%","")</f>
        <v/>
      </c>
      <c r="G76" s="667">
        <f>SUM(G73:G75)</f>
        <v>0</v>
      </c>
      <c r="H76" s="649" t="str">
        <f>CONCATENATE("Total ",E1," Resources Available")</f>
        <v>Total 2014 Resources Available</v>
      </c>
      <c r="I76" s="668"/>
      <c r="J76" s="668"/>
    </row>
    <row r="77" spans="2:11">
      <c r="B77" s="528" t="str">
        <f>CONCATENATE(C96,"     ",D96)</f>
        <v xml:space="preserve">     </v>
      </c>
      <c r="C77" s="792" t="s">
        <v>396</v>
      </c>
      <c r="D77" s="793"/>
      <c r="E77" s="227">
        <f>E73+E76</f>
        <v>0</v>
      </c>
      <c r="G77" s="669"/>
      <c r="H77" s="670"/>
      <c r="I77" s="75"/>
      <c r="J77" s="668"/>
    </row>
    <row r="78" spans="2:11">
      <c r="B78" s="528" t="str">
        <f>CONCATENATE(C97,"     ",D97)</f>
        <v xml:space="preserve">     </v>
      </c>
      <c r="C78" s="276"/>
      <c r="D78" s="168" t="s">
        <v>5</v>
      </c>
      <c r="E78" s="81">
        <f>IF(E77-E61&gt;0,E77-E61,0)</f>
        <v>0</v>
      </c>
      <c r="G78" s="671">
        <f>ROUND(C73*0.05+C73,0)</f>
        <v>0</v>
      </c>
      <c r="H78" s="670" t="str">
        <f>CONCATENATE("Less ",E1-2," Expenditures + 5%")</f>
        <v>Less 2012 Expenditures + 5%</v>
      </c>
      <c r="I78" s="668"/>
      <c r="J78" s="668"/>
    </row>
    <row r="79" spans="2:11">
      <c r="B79" s="135"/>
      <c r="C79" s="384" t="s">
        <v>394</v>
      </c>
      <c r="D79" s="724">
        <f ca="1">inputOth!$E$47</f>
        <v>0.01</v>
      </c>
      <c r="E79" s="227">
        <f>ROUND(IF(D79&gt;0,(E78*D79),0),0)</f>
        <v>0</v>
      </c>
      <c r="G79" s="672">
        <f>G76-G78</f>
        <v>0</v>
      </c>
      <c r="H79" s="673" t="str">
        <f>CONCATENATE("Projected ",E1+1," carryover (est.)")</f>
        <v>Projected 2015 carryover (est.)</v>
      </c>
      <c r="I79" s="674"/>
      <c r="J79" s="675"/>
    </row>
    <row r="80" spans="2:11" ht="16.5" thickBot="1">
      <c r="B80" s="168"/>
      <c r="C80" s="794" t="str">
        <f>CONCATENATE("Amount of  ",$E$1-1," Ad Valorem Tax")</f>
        <v>Amount of  2013 Ad Valorem Tax</v>
      </c>
      <c r="D80" s="795"/>
      <c r="E80" s="647">
        <f>E78+E79</f>
        <v>0</v>
      </c>
      <c r="G80" s="2"/>
      <c r="H80" s="2"/>
      <c r="I80" s="2"/>
    </row>
    <row r="81" spans="2:10" ht="17.25" thickTop="1">
      <c r="B81" s="46"/>
      <c r="C81" s="46"/>
      <c r="D81" s="46"/>
      <c r="E81" s="46"/>
      <c r="G81" s="784" t="s">
        <v>614</v>
      </c>
      <c r="H81" s="785"/>
      <c r="I81" s="785"/>
      <c r="J81" s="786"/>
    </row>
    <row r="82" spans="2:10">
      <c r="B82" s="402" t="s">
        <v>7</v>
      </c>
      <c r="C82" s="281"/>
      <c r="D82" s="46"/>
      <c r="E82" s="46"/>
      <c r="G82" s="630"/>
      <c r="H82" s="631"/>
      <c r="I82" s="632"/>
      <c r="J82" s="633"/>
    </row>
    <row r="83" spans="2:10">
      <c r="B83" s="97"/>
      <c r="G83" s="634" t="str">
        <f ca="1">summ!H27</f>
        <v xml:space="preserve">  </v>
      </c>
      <c r="H83" s="631" t="str">
        <f>CONCATENATE("",E1," Fund Mill Rate")</f>
        <v>2014 Fund Mill Rate</v>
      </c>
      <c r="I83" s="632"/>
      <c r="J83" s="633"/>
    </row>
    <row r="84" spans="2:10">
      <c r="G84" s="635" t="str">
        <f ca="1">summ!E27</f>
        <v xml:space="preserve">  </v>
      </c>
      <c r="H84" s="631" t="str">
        <f>CONCATENATE("",E1-1," Fund Mill Rate")</f>
        <v>2013 Fund Mill Rate</v>
      </c>
      <c r="I84" s="632"/>
      <c r="J84" s="633"/>
    </row>
    <row r="85" spans="2:10">
      <c r="G85" s="636">
        <f ca="1">summ!H52</f>
        <v>32.186</v>
      </c>
      <c r="H85" s="631" t="str">
        <f>CONCATENATE("Total ",E1," Mill Rate")</f>
        <v>Total 2014 Mill Rate</v>
      </c>
      <c r="I85" s="632"/>
      <c r="J85" s="633"/>
    </row>
    <row r="86" spans="2:10">
      <c r="G86" s="635">
        <f ca="1">summ!E52</f>
        <v>32.481999999999999</v>
      </c>
      <c r="H86" s="637" t="str">
        <f>CONCATENATE("Total ",E1-1," Mill Rate")</f>
        <v>Total 2013 Mill Rate</v>
      </c>
      <c r="I86" s="638"/>
      <c r="J86" s="639"/>
    </row>
    <row r="88" spans="2:10">
      <c r="G88" s="741" t="s">
        <v>845</v>
      </c>
      <c r="H88" s="740"/>
      <c r="I88" s="739" t="str">
        <f ca="1">cert!F58</f>
        <v>No</v>
      </c>
    </row>
    <row r="94" spans="2:10" hidden="1">
      <c r="C94" s="527" t="str">
        <f>IF(C33&gt;C35,"See Tab A","")</f>
        <v/>
      </c>
      <c r="D94" s="527" t="str">
        <f>IF(D31&gt;D35,"See Tab C","")</f>
        <v/>
      </c>
    </row>
    <row r="95" spans="2:10" hidden="1">
      <c r="C95" s="527" t="str">
        <f>IF(C34&lt;0,"See Tab B","")</f>
        <v/>
      </c>
      <c r="D95" s="527" t="str">
        <f>IF(D34&lt;0,"See Tab D","")</f>
        <v/>
      </c>
    </row>
    <row r="96" spans="2:10" hidden="1">
      <c r="C96" s="527" t="str">
        <f>IF(C71&gt;C75,"See Tab A","")</f>
        <v/>
      </c>
      <c r="D96" s="527" t="str">
        <f>IF(D71&gt;D75,"See Tab C","")</f>
        <v/>
      </c>
    </row>
    <row r="97" spans="3:4" hidden="1">
      <c r="C97" s="527" t="str">
        <f>IF(C74&lt;0,"See Tab B","")</f>
        <v/>
      </c>
      <c r="D97" s="527" t="str">
        <f>IF(D74&lt;0,"See Tab D","")</f>
        <v/>
      </c>
    </row>
  </sheetData>
  <sheetProtection sheet="1"/>
  <mergeCells count="12">
    <mergeCell ref="C77:D77"/>
    <mergeCell ref="G71:J71"/>
    <mergeCell ref="G24:J24"/>
    <mergeCell ref="G31:J31"/>
    <mergeCell ref="G41:J41"/>
    <mergeCell ref="G64:J64"/>
    <mergeCell ref="G81:J81"/>
    <mergeCell ref="C36:D36"/>
    <mergeCell ref="C37:D37"/>
    <mergeCell ref="C80:D80"/>
    <mergeCell ref="C40:D40"/>
    <mergeCell ref="C76:D76"/>
  </mergeCells>
  <phoneticPr fontId="0" type="noConversion"/>
  <conditionalFormatting sqref="E31">
    <cfRule type="cellIs" dxfId="208" priority="3" stopIfTrue="1" operator="greaterThan">
      <formula>$E$33*0.1</formula>
    </cfRule>
  </conditionalFormatting>
  <conditionalFormatting sqref="E36">
    <cfRule type="cellIs" dxfId="207" priority="4" stopIfTrue="1" operator="greaterThan">
      <formula>$E$33/0.95-$E$33</formula>
    </cfRule>
  </conditionalFormatting>
  <conditionalFormatting sqref="E71">
    <cfRule type="cellIs" dxfId="206" priority="5" stopIfTrue="1" operator="greaterThan">
      <formula>$E$73*0.1</formula>
    </cfRule>
  </conditionalFormatting>
  <conditionalFormatting sqref="E76">
    <cfRule type="cellIs" dxfId="205" priority="6" stopIfTrue="1" operator="greaterThan">
      <formula>$E$73/0.95-$E$73</formula>
    </cfRule>
  </conditionalFormatting>
  <conditionalFormatting sqref="C31">
    <cfRule type="cellIs" dxfId="204" priority="7" stopIfTrue="1" operator="greaterThan">
      <formula>$C$33*0.1</formula>
    </cfRule>
  </conditionalFormatting>
  <conditionalFormatting sqref="D31">
    <cfRule type="cellIs" dxfId="203" priority="8" stopIfTrue="1" operator="greaterThan">
      <formula>$D$33*0.1</formula>
    </cfRule>
  </conditionalFormatting>
  <conditionalFormatting sqref="D33">
    <cfRule type="cellIs" dxfId="202" priority="9" stopIfTrue="1" operator="greaterThan">
      <formula>$D$35</formula>
    </cfRule>
  </conditionalFormatting>
  <conditionalFormatting sqref="C33">
    <cfRule type="cellIs" dxfId="201" priority="10" stopIfTrue="1" operator="greaterThan">
      <formula>$C$35</formula>
    </cfRule>
  </conditionalFormatting>
  <conditionalFormatting sqref="C34 C74">
    <cfRule type="cellIs" dxfId="200" priority="11" stopIfTrue="1" operator="lessThan">
      <formula>0</formula>
    </cfRule>
  </conditionalFormatting>
  <conditionalFormatting sqref="C71">
    <cfRule type="cellIs" dxfId="199" priority="12" stopIfTrue="1" operator="greaterThan">
      <formula>$C$73*0.1</formula>
    </cfRule>
  </conditionalFormatting>
  <conditionalFormatting sqref="D71">
    <cfRule type="cellIs" dxfId="198" priority="13" stopIfTrue="1" operator="greaterThan">
      <formula>$D$73*0.1</formula>
    </cfRule>
  </conditionalFormatting>
  <conditionalFormatting sqref="D73">
    <cfRule type="cellIs" dxfId="197" priority="14" stopIfTrue="1" operator="greaterThan">
      <formula>$D$75</formula>
    </cfRule>
  </conditionalFormatting>
  <conditionalFormatting sqref="C73">
    <cfRule type="cellIs" dxfId="196" priority="15" stopIfTrue="1" operator="greaterThan">
      <formula>$C$75</formula>
    </cfRule>
  </conditionalFormatting>
  <conditionalFormatting sqref="D18">
    <cfRule type="cellIs" dxfId="195" priority="16" stopIfTrue="1" operator="greaterThan">
      <formula>$D$20*0.1</formula>
    </cfRule>
  </conditionalFormatting>
  <conditionalFormatting sqref="C18">
    <cfRule type="cellIs" dxfId="194" priority="17" stopIfTrue="1" operator="greaterThan">
      <formula>$C$20*0.1</formula>
    </cfRule>
  </conditionalFormatting>
  <conditionalFormatting sqref="D58">
    <cfRule type="cellIs" dxfId="193" priority="18" stopIfTrue="1" operator="greaterThan">
      <formula>$D$60*0.1</formula>
    </cfRule>
  </conditionalFormatting>
  <conditionalFormatting sqref="C58">
    <cfRule type="cellIs" dxfId="192" priority="19" stopIfTrue="1" operator="greaterThan">
      <formula>$C$60*0.1</formula>
    </cfRule>
  </conditionalFormatting>
  <conditionalFormatting sqref="E58">
    <cfRule type="cellIs" dxfId="191" priority="20" stopIfTrue="1" operator="greaterThan">
      <formula>$E$60*0.1+E80</formula>
    </cfRule>
  </conditionalFormatting>
  <conditionalFormatting sqref="E18">
    <cfRule type="cellIs" dxfId="190" priority="21" stopIfTrue="1" operator="greaterThan">
      <formula>$E$20*0.1+E40</formula>
    </cfRule>
  </conditionalFormatting>
  <conditionalFormatting sqref="D74 D34">
    <cfRule type="cellIs" dxfId="189" priority="2" stopIfTrue="1" operator="lessThan">
      <formula>0</formula>
    </cfRule>
  </conditionalFormatting>
  <pageMargins left="0.5" right="0.5" top="1" bottom="0.5" header="0.5" footer="0.5"/>
  <pageSetup scale="57"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topLeftCell="A45" zoomScale="75" zoomScaleNormal="75" workbookViewId="0">
      <selection activeCell="B54" sqref="B54:B56"/>
    </sheetView>
  </sheetViews>
  <sheetFormatPr defaultRowHeight="15.75"/>
  <cols>
    <col min="1" max="1" width="2.44140625" style="44" customWidth="1"/>
    <col min="2" max="2" width="31.109375" style="44" customWidth="1"/>
    <col min="3" max="4" width="15.77734375" style="44" customWidth="1"/>
    <col min="5" max="5" width="16.21875" style="44" customWidth="1"/>
    <col min="6" max="16384" width="8.88671875" style="44"/>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t="str">
        <f ca="1">(inputPrYr!B34)</f>
        <v>Special Highway</v>
      </c>
      <c r="C5" s="224" t="str">
        <f>CONCATENATE("Actual for ",E1-2,"")</f>
        <v>Actual for 2012</v>
      </c>
      <c r="D5" s="224" t="str">
        <f>CONCATENATE("Estimate for ",E1-1,"")</f>
        <v>Estimate for 2013</v>
      </c>
      <c r="E5" s="207" t="str">
        <f>CONCATENATE("Year for ",E1,"")</f>
        <v>Year for 2014</v>
      </c>
    </row>
    <row r="6" spans="2:5">
      <c r="B6" s="251" t="s">
        <v>110</v>
      </c>
      <c r="C6" s="66">
        <v>6626.41</v>
      </c>
      <c r="D6" s="227">
        <f>C31</f>
        <v>3008.24</v>
      </c>
      <c r="E6" s="227">
        <f>D31</f>
        <v>2448.2399999999998</v>
      </c>
    </row>
    <row r="7" spans="2:5">
      <c r="B7" s="255" t="s">
        <v>112</v>
      </c>
      <c r="C7" s="86"/>
      <c r="D7" s="86"/>
      <c r="E7" s="86"/>
    </row>
    <row r="8" spans="2:5">
      <c r="B8" s="273" t="s">
        <v>90</v>
      </c>
      <c r="C8" s="66">
        <v>9431.83</v>
      </c>
      <c r="D8" s="291">
        <f ca="1">inputOth!E52</f>
        <v>6940</v>
      </c>
      <c r="E8" s="227">
        <f ca="1">inputOth!E50</f>
        <v>7190</v>
      </c>
    </row>
    <row r="9" spans="2:5">
      <c r="B9" s="292" t="s">
        <v>160</v>
      </c>
      <c r="C9" s="66"/>
      <c r="D9" s="291">
        <f ca="1">inputOth!E53</f>
        <v>0</v>
      </c>
      <c r="E9" s="291">
        <f ca="1">inputOth!E51</f>
        <v>0</v>
      </c>
    </row>
    <row r="10" spans="2:5">
      <c r="B10" s="272"/>
      <c r="C10" s="66"/>
      <c r="D10" s="66"/>
      <c r="E10" s="66"/>
    </row>
    <row r="11" spans="2:5">
      <c r="B11" s="272"/>
      <c r="C11" s="66"/>
      <c r="D11" s="66"/>
      <c r="E11" s="66"/>
    </row>
    <row r="12" spans="2:5">
      <c r="B12" s="272"/>
      <c r="C12" s="66"/>
      <c r="D12" s="66"/>
      <c r="E12" s="66"/>
    </row>
    <row r="13" spans="2:5">
      <c r="B13" s="272"/>
      <c r="C13" s="66"/>
      <c r="D13" s="66"/>
      <c r="E13" s="66"/>
    </row>
    <row r="14" spans="2:5">
      <c r="B14" s="260" t="s">
        <v>753</v>
      </c>
      <c r="C14" s="66"/>
      <c r="D14" s="66"/>
      <c r="E14" s="66"/>
    </row>
    <row r="15" spans="2:5">
      <c r="B15" s="158" t="s">
        <v>655</v>
      </c>
      <c r="C15" s="66"/>
      <c r="D15" s="257"/>
      <c r="E15" s="257"/>
    </row>
    <row r="16" spans="2:5">
      <c r="B16" s="251" t="s">
        <v>507</v>
      </c>
      <c r="C16" s="298" t="str">
        <f>IF(C17*0.1&lt;C15,"Exceed 10% Rule","")</f>
        <v/>
      </c>
      <c r="D16" s="262" t="str">
        <f>IF(D17*0.1&lt;D15,"Exceed 10% Rule","")</f>
        <v/>
      </c>
      <c r="E16" s="262" t="str">
        <f>IF(E17*0.1&lt;E15,"Exceed 10% Rule","")</f>
        <v/>
      </c>
    </row>
    <row r="17" spans="2:5">
      <c r="B17" s="263" t="s">
        <v>754</v>
      </c>
      <c r="C17" s="266">
        <f>SUM(C8:C15)</f>
        <v>9431.83</v>
      </c>
      <c r="D17" s="266">
        <f>SUM(D8:D15)</f>
        <v>6940</v>
      </c>
      <c r="E17" s="266">
        <f>SUM(E8:E15)</f>
        <v>7190</v>
      </c>
    </row>
    <row r="18" spans="2:5">
      <c r="B18" s="263" t="s">
        <v>755</v>
      </c>
      <c r="C18" s="266">
        <f>C6+C17</f>
        <v>16058.24</v>
      </c>
      <c r="D18" s="266">
        <f>D6+D17</f>
        <v>9948.24</v>
      </c>
      <c r="E18" s="266">
        <f>E6+E17</f>
        <v>9638.24</v>
      </c>
    </row>
    <row r="19" spans="2:5">
      <c r="B19" s="149" t="s">
        <v>0</v>
      </c>
      <c r="C19" s="227"/>
      <c r="D19" s="227"/>
      <c r="E19" s="227"/>
    </row>
    <row r="20" spans="2:5">
      <c r="B20" s="272"/>
      <c r="C20" s="66"/>
      <c r="D20" s="66"/>
      <c r="E20" s="66"/>
    </row>
    <row r="21" spans="2:5">
      <c r="B21" s="272"/>
      <c r="C21" s="66"/>
      <c r="D21" s="66"/>
      <c r="E21" s="66"/>
    </row>
    <row r="22" spans="2:5">
      <c r="B22" s="272" t="s">
        <v>875</v>
      </c>
      <c r="C22" s="66">
        <v>13050</v>
      </c>
      <c r="D22" s="66">
        <v>7500</v>
      </c>
      <c r="E22" s="66">
        <v>9638</v>
      </c>
    </row>
    <row r="23" spans="2:5">
      <c r="B23" s="272"/>
      <c r="C23" s="66"/>
      <c r="D23" s="66"/>
      <c r="E23" s="66"/>
    </row>
    <row r="24" spans="2:5">
      <c r="B24" s="272"/>
      <c r="C24" s="66"/>
      <c r="D24" s="66"/>
      <c r="E24" s="66"/>
    </row>
    <row r="25" spans="2:5">
      <c r="B25" s="272"/>
      <c r="C25" s="66"/>
      <c r="D25" s="66"/>
      <c r="E25" s="66"/>
    </row>
    <row r="26" spans="2:5">
      <c r="B26" s="272"/>
      <c r="C26" s="66"/>
      <c r="D26" s="66"/>
      <c r="E26" s="66"/>
    </row>
    <row r="27" spans="2:5">
      <c r="B27" s="272"/>
      <c r="C27" s="66"/>
      <c r="D27" s="66"/>
      <c r="E27" s="66"/>
    </row>
    <row r="28" spans="2:5">
      <c r="B28" s="273" t="s">
        <v>655</v>
      </c>
      <c r="C28" s="66"/>
      <c r="D28" s="257"/>
      <c r="E28" s="257"/>
    </row>
    <row r="29" spans="2:5">
      <c r="B29" s="273" t="s">
        <v>508</v>
      </c>
      <c r="C29" s="298" t="str">
        <f>IF(C30*0.1&lt;C28,"Exceed 10% Rule","")</f>
        <v/>
      </c>
      <c r="D29" s="262" t="str">
        <f>IF(D30*0.1&lt;D28,"Exceed 10% Rule","")</f>
        <v/>
      </c>
      <c r="E29" s="262" t="str">
        <f>IF(E30*0.1&lt;E28,"Exceed 10% Rule","")</f>
        <v/>
      </c>
    </row>
    <row r="30" spans="2:5">
      <c r="B30" s="263" t="s">
        <v>4</v>
      </c>
      <c r="C30" s="266">
        <f>SUM(C20:C28)</f>
        <v>13050</v>
      </c>
      <c r="D30" s="266">
        <f>SUM(D20:D28)</f>
        <v>7500</v>
      </c>
      <c r="E30" s="266">
        <f>SUM(E20:E28)</f>
        <v>9638</v>
      </c>
    </row>
    <row r="31" spans="2:5">
      <c r="B31" s="149" t="s">
        <v>111</v>
      </c>
      <c r="C31" s="81">
        <f>C18-C30</f>
        <v>3008.24</v>
      </c>
      <c r="D31" s="81">
        <f>D18-D30</f>
        <v>2448.2399999999998</v>
      </c>
      <c r="E31" s="81">
        <f>E18-E30</f>
        <v>0.23999999999978172</v>
      </c>
    </row>
    <row r="32" spans="2:5">
      <c r="B32" s="135" t="str">
        <f>CONCATENATE("",E1-2,"/",E1-1," Budget Authority Amount:")</f>
        <v>2012/2013 Budget Authority Amount:</v>
      </c>
      <c r="C32" s="240">
        <f ca="1">inputOth!B73</f>
        <v>13306</v>
      </c>
      <c r="D32" s="240">
        <f ca="1">inputPrYr!D34</f>
        <v>15821</v>
      </c>
      <c r="E32" s="378" t="str">
        <f>IF(E31&lt;0,"See Tab E","")</f>
        <v/>
      </c>
    </row>
    <row r="33" spans="2:5">
      <c r="B33" s="135"/>
      <c r="C33" s="276" t="str">
        <f>IF(C30&gt;C32,"See Tab A","")</f>
        <v/>
      </c>
      <c r="D33" s="276" t="str">
        <f>IF(D30&gt;D32,"See Tab C","")</f>
        <v/>
      </c>
      <c r="E33" s="96"/>
    </row>
    <row r="34" spans="2:5">
      <c r="B34" s="135"/>
      <c r="C34" s="276" t="str">
        <f>IF(C31&lt;0,"See Tab B","")</f>
        <v/>
      </c>
      <c r="D34" s="276" t="str">
        <f>IF(D31&lt;0,"See Tab D","")</f>
        <v/>
      </c>
      <c r="E34" s="96"/>
    </row>
    <row r="35" spans="2:5">
      <c r="B35" s="46"/>
      <c r="C35" s="96"/>
      <c r="D35" s="96"/>
      <c r="E35" s="96"/>
    </row>
    <row r="36" spans="2:5">
      <c r="B36" s="51" t="s">
        <v>747</v>
      </c>
      <c r="C36" s="293"/>
      <c r="D36" s="293"/>
      <c r="E36" s="293"/>
    </row>
    <row r="37" spans="2:5">
      <c r="B37" s="46"/>
      <c r="C37" s="710" t="s">
        <v>789</v>
      </c>
      <c r="D37" s="711" t="s">
        <v>790</v>
      </c>
      <c r="E37" s="143" t="s">
        <v>791</v>
      </c>
    </row>
    <row r="38" spans="2:5">
      <c r="B38" s="532" t="str">
        <f ca="1">(inputPrYr!B35)</f>
        <v>Water Utility</v>
      </c>
      <c r="C38" s="224" t="str">
        <f>CONCATENATE("Actual for ",$E$1-2,"")</f>
        <v>Actual for 2012</v>
      </c>
      <c r="D38" s="224" t="str">
        <f>CONCATENATE("Estimate for ",$E$1-1,"")</f>
        <v>Estimate for 2013</v>
      </c>
      <c r="E38" s="207" t="str">
        <f>CONCATENATE("Year for ",$E$1,"")</f>
        <v>Year for 2014</v>
      </c>
    </row>
    <row r="39" spans="2:5">
      <c r="B39" s="251" t="s">
        <v>110</v>
      </c>
      <c r="C39" s="66">
        <v>37062</v>
      </c>
      <c r="D39" s="227">
        <f>C62</f>
        <v>51649</v>
      </c>
      <c r="E39" s="227">
        <f>D62</f>
        <v>46661</v>
      </c>
    </row>
    <row r="40" spans="2:5">
      <c r="B40" s="255" t="s">
        <v>112</v>
      </c>
      <c r="C40" s="86"/>
      <c r="D40" s="86"/>
      <c r="E40" s="86"/>
    </row>
    <row r="41" spans="2:5">
      <c r="B41" s="272" t="s">
        <v>883</v>
      </c>
      <c r="C41" s="66">
        <v>53860</v>
      </c>
      <c r="D41" s="66">
        <v>38940</v>
      </c>
      <c r="E41" s="66">
        <v>54000</v>
      </c>
    </row>
    <row r="42" spans="2:5">
      <c r="B42" s="272" t="s">
        <v>884</v>
      </c>
      <c r="C42" s="66">
        <v>350</v>
      </c>
      <c r="D42" s="66">
        <v>319</v>
      </c>
      <c r="E42" s="66">
        <v>300</v>
      </c>
    </row>
    <row r="43" spans="2:5">
      <c r="B43" s="272" t="s">
        <v>885</v>
      </c>
      <c r="C43" s="66">
        <v>1185</v>
      </c>
      <c r="D43" s="66">
        <v>350</v>
      </c>
      <c r="E43" s="66"/>
    </row>
    <row r="44" spans="2:5">
      <c r="B44" s="272"/>
      <c r="C44" s="66"/>
      <c r="D44" s="66"/>
      <c r="E44" s="66"/>
    </row>
    <row r="45" spans="2:5">
      <c r="B45" s="260" t="s">
        <v>753</v>
      </c>
      <c r="C45" s="66"/>
      <c r="D45" s="66"/>
      <c r="E45" s="66"/>
    </row>
    <row r="46" spans="2:5">
      <c r="B46" s="158" t="s">
        <v>655</v>
      </c>
      <c r="C46" s="66"/>
      <c r="D46" s="257"/>
      <c r="E46" s="257"/>
    </row>
    <row r="47" spans="2:5">
      <c r="B47" s="251" t="s">
        <v>507</v>
      </c>
      <c r="C47" s="298" t="str">
        <f>IF(C48*0.1&lt;C46,"Exceed 10% Rule","")</f>
        <v/>
      </c>
      <c r="D47" s="262" t="str">
        <f>IF(D48*0.1&lt;D46,"Exceed 10% Rule","")</f>
        <v/>
      </c>
      <c r="E47" s="262" t="str">
        <f>IF(E48*0.1&lt;E46,"Exceed 10% Rule","")</f>
        <v/>
      </c>
    </row>
    <row r="48" spans="2:5">
      <c r="B48" s="263" t="s">
        <v>754</v>
      </c>
      <c r="C48" s="266">
        <f>SUM(C41:C46)</f>
        <v>55395</v>
      </c>
      <c r="D48" s="266">
        <f>SUM(D41:D46)</f>
        <v>39609</v>
      </c>
      <c r="E48" s="266">
        <f>SUM(E41:E46)</f>
        <v>54300</v>
      </c>
    </row>
    <row r="49" spans="2:5">
      <c r="B49" s="263" t="s">
        <v>755</v>
      </c>
      <c r="C49" s="266">
        <f>C39+C48</f>
        <v>92457</v>
      </c>
      <c r="D49" s="266">
        <f>D39+D48</f>
        <v>91258</v>
      </c>
      <c r="E49" s="266">
        <f>E39+E48</f>
        <v>100961</v>
      </c>
    </row>
    <row r="50" spans="2:5">
      <c r="B50" s="149" t="s">
        <v>0</v>
      </c>
      <c r="C50" s="227"/>
      <c r="D50" s="227"/>
      <c r="E50" s="227"/>
    </row>
    <row r="51" spans="2:5">
      <c r="B51" s="280" t="s">
        <v>886</v>
      </c>
      <c r="C51" s="66">
        <v>12829</v>
      </c>
      <c r="D51" s="66">
        <v>13000</v>
      </c>
      <c r="E51" s="66">
        <v>15000</v>
      </c>
    </row>
    <row r="52" spans="2:5">
      <c r="B52" s="280" t="s">
        <v>1</v>
      </c>
      <c r="C52" s="66">
        <v>11970</v>
      </c>
      <c r="D52" s="66">
        <v>6738</v>
      </c>
      <c r="E52" s="66">
        <v>14000</v>
      </c>
    </row>
    <row r="53" spans="2:5">
      <c r="B53" s="280" t="s">
        <v>2</v>
      </c>
      <c r="C53" s="66">
        <v>10150</v>
      </c>
      <c r="D53" s="66">
        <v>19000</v>
      </c>
      <c r="E53" s="66">
        <v>15000</v>
      </c>
    </row>
    <row r="54" spans="2:5">
      <c r="B54" s="272" t="s">
        <v>887</v>
      </c>
      <c r="C54" s="66">
        <v>3176</v>
      </c>
      <c r="D54" s="66">
        <v>3294</v>
      </c>
      <c r="E54" s="66">
        <v>3417</v>
      </c>
    </row>
    <row r="55" spans="2:5">
      <c r="B55" s="272" t="s">
        <v>888</v>
      </c>
      <c r="C55" s="66">
        <v>2429</v>
      </c>
      <c r="D55" s="66">
        <v>2322</v>
      </c>
      <c r="E55" s="66">
        <v>2211</v>
      </c>
    </row>
    <row r="56" spans="2:5">
      <c r="B56" s="272" t="s">
        <v>889</v>
      </c>
      <c r="C56" s="66">
        <v>254</v>
      </c>
      <c r="D56" s="66">
        <v>243</v>
      </c>
      <c r="E56" s="66">
        <v>250</v>
      </c>
    </row>
    <row r="57" spans="2:5">
      <c r="B57" s="272"/>
      <c r="C57" s="66"/>
      <c r="D57" s="66"/>
      <c r="E57" s="66"/>
    </row>
    <row r="58" spans="2:5">
      <c r="B58" s="272"/>
      <c r="C58" s="66"/>
      <c r="D58" s="66"/>
      <c r="E58" s="66"/>
    </row>
    <row r="59" spans="2:5">
      <c r="B59" s="273" t="s">
        <v>655</v>
      </c>
      <c r="C59" s="66"/>
      <c r="D59" s="257"/>
      <c r="E59" s="257"/>
    </row>
    <row r="60" spans="2:5">
      <c r="B60" s="273" t="s">
        <v>508</v>
      </c>
      <c r="C60" s="298" t="str">
        <f>IF(C61*0.1&lt;C59,"Exceed 10% Rule","")</f>
        <v/>
      </c>
      <c r="D60" s="262" t="str">
        <f>IF(D61*0.1&lt;D59,"Exceed 10% Rule","")</f>
        <v/>
      </c>
      <c r="E60" s="262" t="str">
        <f>IF(E61*0.1&lt;E59,"Exceed 10% Rule","")</f>
        <v/>
      </c>
    </row>
    <row r="61" spans="2:5">
      <c r="B61" s="263" t="s">
        <v>4</v>
      </c>
      <c r="C61" s="266">
        <f>SUM(C51:C59)</f>
        <v>40808</v>
      </c>
      <c r="D61" s="266">
        <f>SUM(D51:D59)</f>
        <v>44597</v>
      </c>
      <c r="E61" s="266">
        <f>SUM(E51:E59)</f>
        <v>49878</v>
      </c>
    </row>
    <row r="62" spans="2:5">
      <c r="B62" s="149" t="s">
        <v>111</v>
      </c>
      <c r="C62" s="81">
        <f>C49-C61</f>
        <v>51649</v>
      </c>
      <c r="D62" s="81">
        <f>D49-D61</f>
        <v>46661</v>
      </c>
      <c r="E62" s="81">
        <f>E49-E61</f>
        <v>51083</v>
      </c>
    </row>
    <row r="63" spans="2:5">
      <c r="B63" s="135" t="str">
        <f>CONCATENATE("",E1-2,"/",E1-1," Budget Authority Amount:")</f>
        <v>2012/2013 Budget Authority Amount:</v>
      </c>
      <c r="C63" s="240">
        <f ca="1">inputOth!B74</f>
        <v>74920</v>
      </c>
      <c r="D63" s="240">
        <f ca="1">inputPrYr!D35</f>
        <v>90477</v>
      </c>
      <c r="E63" s="378" t="str">
        <f>IF(E62&lt;0,"See Tab E","")</f>
        <v/>
      </c>
    </row>
    <row r="64" spans="2:5">
      <c r="B64" s="135"/>
      <c r="C64" s="276" t="str">
        <f>IF(C61&gt;C63,"See Tab A","")</f>
        <v/>
      </c>
      <c r="D64" s="276" t="str">
        <f>IF(D61&gt;D63,"See Tab C","")</f>
        <v/>
      </c>
      <c r="E64" s="46"/>
    </row>
    <row r="65" spans="2:5">
      <c r="B65" s="135"/>
      <c r="C65" s="276" t="str">
        <f>IF(C62&lt;0,"See Tab B","")</f>
        <v/>
      </c>
      <c r="D65" s="276" t="str">
        <f>IF(D62&lt;0,"See Tab D","")</f>
        <v/>
      </c>
      <c r="E65" s="46"/>
    </row>
    <row r="66" spans="2:5">
      <c r="B66" s="46"/>
      <c r="C66" s="46"/>
      <c r="D66" s="46"/>
      <c r="E66" s="46"/>
    </row>
    <row r="67" spans="2:5">
      <c r="B67" s="402" t="s">
        <v>7</v>
      </c>
      <c r="C67" s="281">
        <v>10</v>
      </c>
      <c r="D67" s="46"/>
      <c r="E67" s="46"/>
    </row>
  </sheetData>
  <sheetProtection sheet="1"/>
  <phoneticPr fontId="0" type="noConversion"/>
  <conditionalFormatting sqref="C15">
    <cfRule type="cellIs" dxfId="188" priority="3" stopIfTrue="1" operator="greaterThan">
      <formula>$C$17*0.1</formula>
    </cfRule>
  </conditionalFormatting>
  <conditionalFormatting sqref="D15">
    <cfRule type="cellIs" dxfId="187" priority="4" stopIfTrue="1" operator="greaterThan">
      <formula>$D$17*0.1</formula>
    </cfRule>
  </conditionalFormatting>
  <conditionalFormatting sqref="E15">
    <cfRule type="cellIs" dxfId="186" priority="5" stopIfTrue="1" operator="greaterThan">
      <formula>$E$17*0.1</formula>
    </cfRule>
  </conditionalFormatting>
  <conditionalFormatting sqref="C28">
    <cfRule type="cellIs" dxfId="185" priority="6" stopIfTrue="1" operator="greaterThan">
      <formula>$C$30*0.1</formula>
    </cfRule>
  </conditionalFormatting>
  <conditionalFormatting sqref="D28">
    <cfRule type="cellIs" dxfId="184" priority="7" stopIfTrue="1" operator="greaterThan">
      <formula>$D$30*0.1</formula>
    </cfRule>
  </conditionalFormatting>
  <conditionalFormatting sqref="E28">
    <cfRule type="cellIs" dxfId="183" priority="8" stopIfTrue="1" operator="greaterThan">
      <formula>$E$30*0.1</formula>
    </cfRule>
  </conditionalFormatting>
  <conditionalFormatting sqref="C46">
    <cfRule type="cellIs" dxfId="182" priority="9" stopIfTrue="1" operator="greaterThan">
      <formula>$C$48*0.1</formula>
    </cfRule>
  </conditionalFormatting>
  <conditionalFormatting sqref="D46">
    <cfRule type="cellIs" dxfId="181" priority="10" stopIfTrue="1" operator="greaterThan">
      <formula>$D$48*0.1</formula>
    </cfRule>
  </conditionalFormatting>
  <conditionalFormatting sqref="E46">
    <cfRule type="cellIs" dxfId="180" priority="11" stopIfTrue="1" operator="greaterThan">
      <formula>$E$48*0.1</formula>
    </cfRule>
  </conditionalFormatting>
  <conditionalFormatting sqref="C59">
    <cfRule type="cellIs" dxfId="179" priority="12" stopIfTrue="1" operator="greaterThan">
      <formula>$C$61*0.1</formula>
    </cfRule>
  </conditionalFormatting>
  <conditionalFormatting sqref="D59">
    <cfRule type="cellIs" dxfId="178" priority="13" stopIfTrue="1" operator="greaterThan">
      <formula>$D$61*0.1</formula>
    </cfRule>
  </conditionalFormatting>
  <conditionalFormatting sqref="E59">
    <cfRule type="cellIs" dxfId="177" priority="14" stopIfTrue="1" operator="greaterThan">
      <formula>$E$61*0.1</formula>
    </cfRule>
  </conditionalFormatting>
  <conditionalFormatting sqref="D61">
    <cfRule type="cellIs" dxfId="176" priority="15" stopIfTrue="1" operator="greaterThan">
      <formula>$D$63</formula>
    </cfRule>
  </conditionalFormatting>
  <conditionalFormatting sqref="C61">
    <cfRule type="cellIs" dxfId="175" priority="16" stopIfTrue="1" operator="greaterThan">
      <formula>$C$63</formula>
    </cfRule>
  </conditionalFormatting>
  <conditionalFormatting sqref="C62 E62 C31 E31">
    <cfRule type="cellIs" dxfId="174" priority="17" stopIfTrue="1" operator="lessThan">
      <formula>0</formula>
    </cfRule>
  </conditionalFormatting>
  <conditionalFormatting sqref="D30">
    <cfRule type="cellIs" dxfId="173" priority="18" stopIfTrue="1" operator="greaterThan">
      <formula>$D$32</formula>
    </cfRule>
  </conditionalFormatting>
  <conditionalFormatting sqref="C30">
    <cfRule type="cellIs" dxfId="172" priority="19" stopIfTrue="1" operator="greaterThan">
      <formula>$C$32</formula>
    </cfRule>
  </conditionalFormatting>
  <conditionalFormatting sqref="D31">
    <cfRule type="cellIs" dxfId="171" priority="2" stopIfTrue="1" operator="lessThan">
      <formula>0</formula>
    </cfRule>
  </conditionalFormatting>
  <conditionalFormatting sqref="D62">
    <cfRule type="cellIs" dxfId="170" priority="1" stopIfTrue="1" operator="lessThan">
      <formula>0</formula>
    </cfRule>
  </conditionalFormatting>
  <pageMargins left="0.5" right="0.5" top="1" bottom="0.5" header="0.5" footer="0.5"/>
  <pageSetup scale="65"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75" zoomScaleNormal="75" workbookViewId="0">
      <selection activeCell="D14" sqref="D14"/>
    </sheetView>
  </sheetViews>
  <sheetFormatPr defaultRowHeight="15.75"/>
  <cols>
    <col min="1" max="1" width="2.44140625" style="44" customWidth="1"/>
    <col min="2" max="2" width="31.109375" style="44" customWidth="1"/>
    <col min="3" max="4" width="15.77734375" style="44" customWidth="1"/>
    <col min="5" max="5" width="16.33203125" style="44" customWidth="1"/>
    <col min="6" max="16384" width="8.88671875" style="44"/>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t="str">
        <f ca="1">(inputPrYr!B36)</f>
        <v>Fire Protection</v>
      </c>
      <c r="C5" s="224" t="str">
        <f>CONCATENATE("Actual for ",E1-2,"")</f>
        <v>Actual for 2012</v>
      </c>
      <c r="D5" s="224" t="str">
        <f>CONCATENATE("Estimate for ",E1-1,"")</f>
        <v>Estimate for 2013</v>
      </c>
      <c r="E5" s="207" t="str">
        <f>CONCATENATE("Year for ",E1,"")</f>
        <v>Year for 2014</v>
      </c>
    </row>
    <row r="6" spans="2:5">
      <c r="B6" s="251" t="s">
        <v>110</v>
      </c>
      <c r="C6" s="66">
        <v>46940</v>
      </c>
      <c r="D6" s="227">
        <f>C29</f>
        <v>58415</v>
      </c>
      <c r="E6" s="227">
        <f>D29</f>
        <v>82033</v>
      </c>
    </row>
    <row r="7" spans="2:5">
      <c r="B7" s="255" t="s">
        <v>112</v>
      </c>
      <c r="C7" s="86"/>
      <c r="D7" s="86"/>
      <c r="E7" s="86"/>
    </row>
    <row r="8" spans="2:5">
      <c r="B8" s="272" t="s">
        <v>892</v>
      </c>
      <c r="C8" s="66">
        <v>27500</v>
      </c>
      <c r="D8" s="66">
        <v>27500</v>
      </c>
      <c r="E8" s="66">
        <v>27500</v>
      </c>
    </row>
    <row r="9" spans="2:5">
      <c r="B9" s="272" t="s">
        <v>885</v>
      </c>
      <c r="C9" s="66">
        <v>2700</v>
      </c>
      <c r="D9" s="66">
        <v>0</v>
      </c>
      <c r="E9" s="66">
        <v>0</v>
      </c>
    </row>
    <row r="10" spans="2:5">
      <c r="B10" s="272" t="s">
        <v>893</v>
      </c>
      <c r="C10" s="66">
        <v>5700</v>
      </c>
      <c r="D10" s="66">
        <v>5700</v>
      </c>
      <c r="E10" s="66">
        <v>5700</v>
      </c>
    </row>
    <row r="11" spans="2:5">
      <c r="B11" s="272" t="s">
        <v>900</v>
      </c>
      <c r="C11" s="66"/>
      <c r="D11" s="66">
        <v>23080</v>
      </c>
      <c r="E11" s="66"/>
    </row>
    <row r="12" spans="2:5">
      <c r="B12" s="260" t="s">
        <v>753</v>
      </c>
      <c r="C12" s="66"/>
      <c r="D12" s="66"/>
      <c r="E12" s="66"/>
    </row>
    <row r="13" spans="2:5">
      <c r="B13" s="158" t="s">
        <v>655</v>
      </c>
      <c r="C13" s="66"/>
      <c r="D13" s="257">
        <v>4860</v>
      </c>
      <c r="E13" s="257"/>
    </row>
    <row r="14" spans="2:5">
      <c r="B14" s="251" t="s">
        <v>507</v>
      </c>
      <c r="C14" s="298" t="str">
        <f>IF(C15*0.1&lt;C13,"Exceed 10% Rule","")</f>
        <v/>
      </c>
      <c r="D14" s="262" t="str">
        <f>IF(D15*0.1&lt;D13,"Exceed 10% Rule","")</f>
        <v/>
      </c>
      <c r="E14" s="262" t="str">
        <f>IF(E15*0.1&lt;E13,"Exceed 10% Rule","")</f>
        <v/>
      </c>
    </row>
    <row r="15" spans="2:5">
      <c r="B15" s="263" t="s">
        <v>754</v>
      </c>
      <c r="C15" s="266">
        <f>SUM(C8:C13)</f>
        <v>35900</v>
      </c>
      <c r="D15" s="266">
        <f>SUM(D8:D13)</f>
        <v>61140</v>
      </c>
      <c r="E15" s="266">
        <f>SUM(E8:E13)</f>
        <v>33200</v>
      </c>
    </row>
    <row r="16" spans="2:5">
      <c r="B16" s="263" t="s">
        <v>755</v>
      </c>
      <c r="C16" s="266">
        <f>C6+C15</f>
        <v>82840</v>
      </c>
      <c r="D16" s="266">
        <f>D6+D15</f>
        <v>119555</v>
      </c>
      <c r="E16" s="266">
        <f>E6+E15</f>
        <v>115233</v>
      </c>
    </row>
    <row r="17" spans="2:5">
      <c r="B17" s="149" t="s">
        <v>0</v>
      </c>
      <c r="C17" s="227"/>
      <c r="D17" s="227"/>
      <c r="E17" s="227"/>
    </row>
    <row r="18" spans="2:5">
      <c r="B18" s="280" t="s">
        <v>886</v>
      </c>
      <c r="C18" s="66">
        <v>410</v>
      </c>
      <c r="D18" s="66">
        <v>450</v>
      </c>
      <c r="E18" s="66">
        <v>1500</v>
      </c>
    </row>
    <row r="19" spans="2:5">
      <c r="B19" s="280" t="s">
        <v>1</v>
      </c>
      <c r="C19" s="66">
        <v>5801</v>
      </c>
      <c r="D19" s="66">
        <v>1100</v>
      </c>
      <c r="E19" s="66">
        <v>7000</v>
      </c>
    </row>
    <row r="20" spans="2:5">
      <c r="B20" s="280" t="s">
        <v>2</v>
      </c>
      <c r="C20" s="66">
        <v>18214</v>
      </c>
      <c r="D20" s="66">
        <v>2500</v>
      </c>
      <c r="E20" s="66">
        <v>19000</v>
      </c>
    </row>
    <row r="21" spans="2:5">
      <c r="B21" s="272" t="s">
        <v>3</v>
      </c>
      <c r="C21" s="66"/>
      <c r="D21" s="66">
        <v>33472</v>
      </c>
      <c r="E21" s="66">
        <v>87733</v>
      </c>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508</v>
      </c>
      <c r="C27" s="298" t="str">
        <f>IF(C28*0.1&lt;C26,"Exceed 10% Rule","")</f>
        <v/>
      </c>
      <c r="D27" s="262" t="str">
        <f>IF(D28*0.1&lt;D26,"Exceed 10% Rule","")</f>
        <v/>
      </c>
      <c r="E27" s="262" t="str">
        <f>IF(E28*0.1&lt;E26,"Exceed 10% Rule","")</f>
        <v/>
      </c>
    </row>
    <row r="28" spans="2:5">
      <c r="B28" s="263" t="s">
        <v>4</v>
      </c>
      <c r="C28" s="266">
        <f>SUM(C18:C26)</f>
        <v>24425</v>
      </c>
      <c r="D28" s="266">
        <f>SUM(D18:D26)</f>
        <v>37522</v>
      </c>
      <c r="E28" s="266">
        <f>SUM(E18:E26)</f>
        <v>115233</v>
      </c>
    </row>
    <row r="29" spans="2:5">
      <c r="B29" s="149" t="s">
        <v>111</v>
      </c>
      <c r="C29" s="81">
        <f>C16-C28</f>
        <v>58415</v>
      </c>
      <c r="D29" s="81">
        <f>D16-D28</f>
        <v>82033</v>
      </c>
      <c r="E29" s="81">
        <f>E16-E28</f>
        <v>0</v>
      </c>
    </row>
    <row r="30" spans="2:5">
      <c r="B30" s="135" t="str">
        <f>CONCATENATE("",E1-2,"/",E1-1," Budget Authority Amount:")</f>
        <v>2012/2013 Budget Authority Amount:</v>
      </c>
      <c r="C30" s="240">
        <f ca="1">inputOth!B75</f>
        <v>92416</v>
      </c>
      <c r="D30" s="240">
        <f ca="1">inputPrYr!D36</f>
        <v>95825</v>
      </c>
      <c r="E30" s="378" t="str">
        <f>IF(E29&lt;0,"See Tab E","")</f>
        <v/>
      </c>
    </row>
    <row r="31" spans="2:5">
      <c r="B31" s="135"/>
      <c r="C31" s="276" t="str">
        <f>IF(C28&gt;C30,"See Tab A","")</f>
        <v/>
      </c>
      <c r="D31" s="276" t="str">
        <f>IF(D28&gt;D30,"See Tab C","")</f>
        <v/>
      </c>
      <c r="E31" s="96"/>
    </row>
    <row r="32" spans="2:5">
      <c r="B32" s="135"/>
      <c r="C32" s="276" t="str">
        <f>IF(C29&lt;0,"See Tab B","")</f>
        <v/>
      </c>
      <c r="D32" s="276" t="str">
        <f>IF(D29&lt;0,"See Tab D","")</f>
        <v/>
      </c>
      <c r="E32" s="96"/>
    </row>
    <row r="33" spans="2:5">
      <c r="B33" s="46"/>
      <c r="C33" s="96"/>
      <c r="D33" s="96"/>
      <c r="E33" s="96"/>
    </row>
    <row r="34" spans="2:5">
      <c r="B34" s="51" t="s">
        <v>747</v>
      </c>
      <c r="C34" s="293"/>
      <c r="D34" s="293"/>
      <c r="E34" s="293"/>
    </row>
    <row r="35" spans="2:5">
      <c r="B35" s="46"/>
      <c r="C35" s="710" t="s">
        <v>789</v>
      </c>
      <c r="D35" s="711" t="s">
        <v>790</v>
      </c>
      <c r="E35" s="143" t="s">
        <v>791</v>
      </c>
    </row>
    <row r="36" spans="2:5">
      <c r="B36" s="532" t="str">
        <f ca="1">(inputPrYr!B37)</f>
        <v>Sewer Utility</v>
      </c>
      <c r="C36" s="224" t="str">
        <f>CONCATENATE("Actual for ",$E$1-2,"")</f>
        <v>Actual for 2012</v>
      </c>
      <c r="D36" s="224" t="str">
        <f>CONCATENATE("Estimate for ",$E$1-1,"")</f>
        <v>Estimate for 2013</v>
      </c>
      <c r="E36" s="207" t="str">
        <f>CONCATENATE("Year for ",$E$1,"")</f>
        <v>Year for 2014</v>
      </c>
    </row>
    <row r="37" spans="2:5">
      <c r="B37" s="251" t="s">
        <v>110</v>
      </c>
      <c r="C37" s="66">
        <v>26811</v>
      </c>
      <c r="D37" s="227">
        <f>C60</f>
        <v>32192</v>
      </c>
      <c r="E37" s="227">
        <f>D60</f>
        <v>36251</v>
      </c>
    </row>
    <row r="38" spans="2:5">
      <c r="B38" s="255" t="s">
        <v>112</v>
      </c>
      <c r="C38" s="86"/>
      <c r="D38" s="86"/>
      <c r="E38" s="86"/>
    </row>
    <row r="39" spans="2:5">
      <c r="B39" s="272" t="s">
        <v>890</v>
      </c>
      <c r="C39" s="66">
        <v>42160</v>
      </c>
      <c r="D39" s="66">
        <v>50615</v>
      </c>
      <c r="E39" s="66">
        <v>50000</v>
      </c>
    </row>
    <row r="40" spans="2:5">
      <c r="B40" s="272" t="s">
        <v>891</v>
      </c>
      <c r="C40" s="66"/>
      <c r="D40" s="66">
        <v>904000</v>
      </c>
      <c r="E40" s="66">
        <v>0</v>
      </c>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42160</v>
      </c>
      <c r="D46" s="266">
        <f>SUM(D39:D44)</f>
        <v>954615</v>
      </c>
      <c r="E46" s="266">
        <f>SUM(E39:E44)</f>
        <v>50000</v>
      </c>
    </row>
    <row r="47" spans="2:5">
      <c r="B47" s="263" t="s">
        <v>755</v>
      </c>
      <c r="C47" s="266">
        <f>C37+C46</f>
        <v>68971</v>
      </c>
      <c r="D47" s="266">
        <f>D37+D46</f>
        <v>986807</v>
      </c>
      <c r="E47" s="266">
        <f>E37+E46</f>
        <v>86251</v>
      </c>
    </row>
    <row r="48" spans="2:5">
      <c r="B48" s="149" t="s">
        <v>0</v>
      </c>
      <c r="C48" s="227"/>
      <c r="D48" s="227"/>
      <c r="E48" s="227"/>
    </row>
    <row r="49" spans="2:5">
      <c r="B49" s="280" t="s">
        <v>886</v>
      </c>
      <c r="C49" s="66">
        <v>6853</v>
      </c>
      <c r="D49" s="66">
        <v>6900</v>
      </c>
      <c r="E49" s="66">
        <v>7000</v>
      </c>
    </row>
    <row r="50" spans="2:5">
      <c r="B50" s="280" t="s">
        <v>1</v>
      </c>
      <c r="C50" s="66">
        <v>26359</v>
      </c>
      <c r="D50" s="66">
        <v>5000</v>
      </c>
      <c r="E50" s="66">
        <v>1545</v>
      </c>
    </row>
    <row r="51" spans="2:5">
      <c r="B51" s="280" t="s">
        <v>2</v>
      </c>
      <c r="C51" s="66">
        <v>3567</v>
      </c>
      <c r="D51" s="66">
        <v>6000</v>
      </c>
      <c r="E51" s="66">
        <v>5881</v>
      </c>
    </row>
    <row r="52" spans="2:5">
      <c r="B52" s="272" t="s">
        <v>3</v>
      </c>
      <c r="C52" s="66">
        <v>0</v>
      </c>
      <c r="D52" s="66">
        <v>904000</v>
      </c>
      <c r="E52" s="66">
        <v>14514</v>
      </c>
    </row>
    <row r="53" spans="2:5">
      <c r="B53" s="272" t="s">
        <v>887</v>
      </c>
      <c r="C53" s="66"/>
      <c r="D53" s="66">
        <v>17678</v>
      </c>
      <c r="E53" s="66">
        <v>36002</v>
      </c>
    </row>
    <row r="54" spans="2:5">
      <c r="B54" s="272" t="s">
        <v>888</v>
      </c>
      <c r="C54" s="66"/>
      <c r="D54" s="66">
        <v>9849</v>
      </c>
      <c r="E54" s="66">
        <v>19117</v>
      </c>
    </row>
    <row r="55" spans="2:5">
      <c r="B55" s="272" t="s">
        <v>889</v>
      </c>
      <c r="C55" s="66"/>
      <c r="D55" s="66">
        <v>1129</v>
      </c>
      <c r="E55" s="66">
        <v>2192</v>
      </c>
    </row>
    <row r="56" spans="2:5">
      <c r="B56" s="272"/>
      <c r="C56" s="66"/>
      <c r="D56" s="66"/>
      <c r="E56" s="66"/>
    </row>
    <row r="57" spans="2:5">
      <c r="B57" s="273" t="s">
        <v>655</v>
      </c>
      <c r="C57" s="66"/>
      <c r="D57" s="257"/>
      <c r="E57" s="257"/>
    </row>
    <row r="58" spans="2:5">
      <c r="B58" s="273" t="s">
        <v>508</v>
      </c>
      <c r="C58" s="298" t="str">
        <f>IF(C59*0.1&lt;C57,"Exceed 10% Rule","")</f>
        <v/>
      </c>
      <c r="D58" s="262" t="str">
        <f>IF(D59*0.1&lt;D57,"Exceed 10% Rule","")</f>
        <v/>
      </c>
      <c r="E58" s="262" t="str">
        <f>IF(E59*0.1&lt;E57,"Exceed 10% Rule","")</f>
        <v/>
      </c>
    </row>
    <row r="59" spans="2:5">
      <c r="B59" s="263" t="s">
        <v>4</v>
      </c>
      <c r="C59" s="266">
        <f>SUM(C49:C57)</f>
        <v>36779</v>
      </c>
      <c r="D59" s="266">
        <f>SUM(D49:D57)</f>
        <v>950556</v>
      </c>
      <c r="E59" s="266">
        <f>SUM(E49:E57)</f>
        <v>86251</v>
      </c>
    </row>
    <row r="60" spans="2:5">
      <c r="B60" s="149" t="s">
        <v>111</v>
      </c>
      <c r="C60" s="81">
        <f>C47-C59</f>
        <v>32192</v>
      </c>
      <c r="D60" s="81">
        <f>D47-D59</f>
        <v>36251</v>
      </c>
      <c r="E60" s="81">
        <f>E47-E59</f>
        <v>0</v>
      </c>
    </row>
    <row r="61" spans="2:5">
      <c r="B61" s="135" t="str">
        <f>CONCATENATE("",E1-2,"/",E1-1," Budget Authority Amount:")</f>
        <v>2012/2013 Budget Authority Amount:</v>
      </c>
      <c r="C61" s="240">
        <f ca="1">inputOth!B76</f>
        <v>36826</v>
      </c>
      <c r="D61" s="240">
        <f ca="1">inputPrYr!D37</f>
        <v>968311</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v>11</v>
      </c>
      <c r="D65" s="46"/>
      <c r="E65" s="46"/>
    </row>
  </sheetData>
  <sheetProtection sheet="1"/>
  <phoneticPr fontId="0" type="noConversion"/>
  <conditionalFormatting sqref="C13">
    <cfRule type="cellIs" dxfId="169" priority="3" stopIfTrue="1" operator="greaterThan">
      <formula>$C$15*0.1</formula>
    </cfRule>
  </conditionalFormatting>
  <conditionalFormatting sqref="D13">
    <cfRule type="cellIs" dxfId="168" priority="4" stopIfTrue="1" operator="greaterThan">
      <formula>$D$15*0.1</formula>
    </cfRule>
  </conditionalFormatting>
  <conditionalFormatting sqref="E13">
    <cfRule type="cellIs" dxfId="167" priority="5" stopIfTrue="1" operator="greaterThan">
      <formula>$E$15*0.1</formula>
    </cfRule>
  </conditionalFormatting>
  <conditionalFormatting sqref="C26">
    <cfRule type="cellIs" dxfId="166" priority="6" stopIfTrue="1" operator="greaterThan">
      <formula>$C$28*0.1</formula>
    </cfRule>
  </conditionalFormatting>
  <conditionalFormatting sqref="D26">
    <cfRule type="cellIs" dxfId="165" priority="7" stopIfTrue="1" operator="greaterThan">
      <formula>$D$28*0.1</formula>
    </cfRule>
  </conditionalFormatting>
  <conditionalFormatting sqref="E26">
    <cfRule type="cellIs" dxfId="164" priority="8" stopIfTrue="1" operator="greaterThan">
      <formula>$E$28*0.1</formula>
    </cfRule>
  </conditionalFormatting>
  <conditionalFormatting sqref="C44">
    <cfRule type="cellIs" dxfId="163" priority="9" stopIfTrue="1" operator="greaterThan">
      <formula>$C$46*0.1</formula>
    </cfRule>
  </conditionalFormatting>
  <conditionalFormatting sqref="D44">
    <cfRule type="cellIs" dxfId="162" priority="10" stopIfTrue="1" operator="greaterThan">
      <formula>$D$46*0.1</formula>
    </cfRule>
  </conditionalFormatting>
  <conditionalFormatting sqref="E44">
    <cfRule type="cellIs" dxfId="161" priority="11" stopIfTrue="1" operator="greaterThan">
      <formula>$E$46*0.1</formula>
    </cfRule>
  </conditionalFormatting>
  <conditionalFormatting sqref="C57">
    <cfRule type="cellIs" dxfId="160" priority="12" stopIfTrue="1" operator="greaterThan">
      <formula>$C$59*0.1</formula>
    </cfRule>
  </conditionalFormatting>
  <conditionalFormatting sqref="D57">
    <cfRule type="cellIs" dxfId="159" priority="13" stopIfTrue="1" operator="greaterThan">
      <formula>$D$59*0.1</formula>
    </cfRule>
  </conditionalFormatting>
  <conditionalFormatting sqref="E57">
    <cfRule type="cellIs" dxfId="158" priority="14" stopIfTrue="1" operator="greaterThan">
      <formula>$E$59*0.1</formula>
    </cfRule>
  </conditionalFormatting>
  <conditionalFormatting sqref="D59">
    <cfRule type="cellIs" dxfId="157" priority="15" stopIfTrue="1" operator="greaterThan">
      <formula>$D$61</formula>
    </cfRule>
  </conditionalFormatting>
  <conditionalFormatting sqref="C59">
    <cfRule type="cellIs" dxfId="156" priority="16" stopIfTrue="1" operator="greaterThan">
      <formula>$C$61</formula>
    </cfRule>
  </conditionalFormatting>
  <conditionalFormatting sqref="C60 E60 C29 E29">
    <cfRule type="cellIs" dxfId="155" priority="17" stopIfTrue="1" operator="lessThan">
      <formula>0</formula>
    </cfRule>
  </conditionalFormatting>
  <conditionalFormatting sqref="D28">
    <cfRule type="cellIs" dxfId="154" priority="18" stopIfTrue="1" operator="greaterThan">
      <formula>$D$30</formula>
    </cfRule>
  </conditionalFormatting>
  <conditionalFormatting sqref="C28">
    <cfRule type="cellIs" dxfId="153" priority="19" stopIfTrue="1" operator="greaterThan">
      <formula>$C$30</formula>
    </cfRule>
  </conditionalFormatting>
  <conditionalFormatting sqref="D60">
    <cfRule type="cellIs" dxfId="152" priority="2" stopIfTrue="1" operator="lessThan">
      <formula>0</formula>
    </cfRule>
  </conditionalFormatting>
  <conditionalFormatting sqref="D29">
    <cfRule type="cellIs" dxfId="151"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topLeftCell="A6" zoomScale="75" zoomScaleNormal="75" workbookViewId="0">
      <selection activeCell="D6" sqref="D1:D65536"/>
    </sheetView>
  </sheetViews>
  <sheetFormatPr defaultRowHeight="15.75"/>
  <cols>
    <col min="1" max="1" width="2.44140625" style="44" customWidth="1"/>
    <col min="2" max="2" width="31.109375" style="44" customWidth="1"/>
    <col min="3" max="4" width="15.77734375" style="44" customWidth="1"/>
    <col min="5" max="5" width="16.109375" style="44" customWidth="1"/>
    <col min="6" max="16384" width="8.88671875" style="44"/>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t="str">
        <f ca="1">(inputPrYr!B38)</f>
        <v>Park &amp; Recreation</v>
      </c>
      <c r="C5" s="224" t="str">
        <f>CONCATENATE("Actual for ",E1-2,"")</f>
        <v>Actual for 2012</v>
      </c>
      <c r="D5" s="224" t="str">
        <f>CONCATENATE("Estimate for ",E1-1,"")</f>
        <v>Estimate for 2013</v>
      </c>
      <c r="E5" s="207" t="str">
        <f>CONCATENATE("Year for ",E1,"")</f>
        <v>Year for 2014</v>
      </c>
    </row>
    <row r="6" spans="2:5">
      <c r="B6" s="251" t="s">
        <v>110</v>
      </c>
      <c r="C6" s="66">
        <v>66</v>
      </c>
      <c r="D6" s="227">
        <f>C29</f>
        <v>66</v>
      </c>
      <c r="E6" s="227">
        <f>D29</f>
        <v>0</v>
      </c>
    </row>
    <row r="7" spans="2:5">
      <c r="B7" s="255" t="s">
        <v>112</v>
      </c>
      <c r="C7" s="86"/>
      <c r="D7" s="86"/>
      <c r="E7" s="86"/>
    </row>
    <row r="8" spans="2:5">
      <c r="B8" s="272"/>
      <c r="C8" s="66"/>
      <c r="D8" s="66">
        <v>200</v>
      </c>
      <c r="E8" s="66">
        <v>200</v>
      </c>
    </row>
    <row r="9" spans="2:5">
      <c r="B9" s="272"/>
      <c r="C9" s="66"/>
      <c r="D9" s="66"/>
      <c r="E9" s="66"/>
    </row>
    <row r="10" spans="2:5">
      <c r="B10" s="272"/>
      <c r="C10" s="66"/>
      <c r="D10" s="66"/>
      <c r="E10" s="66"/>
    </row>
    <row r="11" spans="2:5">
      <c r="B11" s="272"/>
      <c r="C11" s="66"/>
      <c r="D11" s="66"/>
      <c r="E11" s="66"/>
    </row>
    <row r="12" spans="2:5">
      <c r="B12" s="260" t="s">
        <v>753</v>
      </c>
      <c r="C12" s="66"/>
      <c r="D12" s="66"/>
      <c r="E12" s="66"/>
    </row>
    <row r="13" spans="2:5">
      <c r="B13" s="158" t="s">
        <v>655</v>
      </c>
      <c r="C13" s="66"/>
      <c r="D13" s="257"/>
      <c r="E13" s="257"/>
    </row>
    <row r="14" spans="2:5">
      <c r="B14" s="251" t="s">
        <v>507</v>
      </c>
      <c r="C14" s="298" t="str">
        <f>IF(C15*0.1&lt;C13,"Exceed 10% Rule","")</f>
        <v/>
      </c>
      <c r="D14" s="262" t="str">
        <f>IF(D15*0.1&lt;D13,"Exceed 10% Rule","")</f>
        <v/>
      </c>
      <c r="E14" s="262" t="str">
        <f>IF(E15*0.1&lt;E13,"Exceed 10% Rule","")</f>
        <v/>
      </c>
    </row>
    <row r="15" spans="2:5">
      <c r="B15" s="263" t="s">
        <v>754</v>
      </c>
      <c r="C15" s="266">
        <f>SUM(C8:C13)</f>
        <v>0</v>
      </c>
      <c r="D15" s="266">
        <f>SUM(D8:D13)</f>
        <v>200</v>
      </c>
      <c r="E15" s="266">
        <f>SUM(E8:E13)</f>
        <v>200</v>
      </c>
    </row>
    <row r="16" spans="2:5">
      <c r="B16" s="263" t="s">
        <v>755</v>
      </c>
      <c r="C16" s="266">
        <f>C6+C15</f>
        <v>66</v>
      </c>
      <c r="D16" s="266">
        <f>D6+D15</f>
        <v>266</v>
      </c>
      <c r="E16" s="266">
        <f>E6+E15</f>
        <v>200</v>
      </c>
    </row>
    <row r="17" spans="2:5">
      <c r="B17" s="149" t="s">
        <v>0</v>
      </c>
      <c r="C17" s="227"/>
      <c r="D17" s="227"/>
      <c r="E17" s="227"/>
    </row>
    <row r="18" spans="2:5">
      <c r="B18" s="272" t="s">
        <v>894</v>
      </c>
      <c r="C18" s="66"/>
      <c r="D18" s="66">
        <v>266</v>
      </c>
      <c r="E18" s="66">
        <v>200</v>
      </c>
    </row>
    <row r="19" spans="2:5">
      <c r="B19" s="272"/>
      <c r="C19" s="66"/>
      <c r="D19" s="66"/>
      <c r="E19" s="66"/>
    </row>
    <row r="20" spans="2:5">
      <c r="B20" s="272"/>
      <c r="C20" s="66"/>
      <c r="D20" s="66"/>
      <c r="E20" s="66"/>
    </row>
    <row r="21" spans="2:5">
      <c r="B21" s="272"/>
      <c r="C21" s="66"/>
      <c r="D21" s="66"/>
      <c r="E21" s="66"/>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508</v>
      </c>
      <c r="C27" s="298" t="str">
        <f>IF(C28*0.1&lt;C26,"Exceed 10% Rule","")</f>
        <v/>
      </c>
      <c r="D27" s="262" t="str">
        <f>IF(D28*0.1&lt;D26,"Exceed 10% Rule","")</f>
        <v/>
      </c>
      <c r="E27" s="262" t="str">
        <f>IF(E28*0.1&lt;E26,"Exceed 10% Rule","")</f>
        <v/>
      </c>
    </row>
    <row r="28" spans="2:5">
      <c r="B28" s="263" t="s">
        <v>4</v>
      </c>
      <c r="C28" s="266">
        <f>SUM(C18:C26)</f>
        <v>0</v>
      </c>
      <c r="D28" s="266">
        <f>SUM(D18:D26)</f>
        <v>266</v>
      </c>
      <c r="E28" s="266">
        <f>SUM(E18:E26)</f>
        <v>200</v>
      </c>
    </row>
    <row r="29" spans="2:5">
      <c r="B29" s="149" t="s">
        <v>111</v>
      </c>
      <c r="C29" s="81">
        <f>C16-C28</f>
        <v>66</v>
      </c>
      <c r="D29" s="81">
        <f>D16-D28</f>
        <v>0</v>
      </c>
      <c r="E29" s="81">
        <f>E16-E28</f>
        <v>0</v>
      </c>
    </row>
    <row r="30" spans="2:5">
      <c r="B30" s="135" t="str">
        <f>CONCATENATE("",E1-2,"/",E1-1," Budget Authority Amount:")</f>
        <v>2012/2013 Budget Authority Amount:</v>
      </c>
      <c r="C30" s="240">
        <f ca="1">inputOth!B77</f>
        <v>216</v>
      </c>
      <c r="D30" s="240">
        <f ca="1">inputPrYr!D38</f>
        <v>266</v>
      </c>
      <c r="E30" s="378" t="str">
        <f>IF(E29&lt;0,"See Tab E","")</f>
        <v/>
      </c>
    </row>
    <row r="31" spans="2:5">
      <c r="B31" s="135"/>
      <c r="C31" s="276" t="str">
        <f>IF(C28&gt;C30,"See Tab A","")</f>
        <v/>
      </c>
      <c r="D31" s="276" t="str">
        <f>IF(D28&gt;D30,"See Tab C","")</f>
        <v/>
      </c>
      <c r="E31" s="96"/>
    </row>
    <row r="32" spans="2:5">
      <c r="B32" s="135"/>
      <c r="C32" s="276" t="str">
        <f>IF(C29&lt;0,"See Tab B","")</f>
        <v/>
      </c>
      <c r="D32" s="276" t="str">
        <f>IF(D29&lt;0,"See Tab D","")</f>
        <v/>
      </c>
      <c r="E32" s="96"/>
    </row>
    <row r="33" spans="2:5">
      <c r="B33" s="46"/>
      <c r="C33" s="96"/>
      <c r="D33" s="96"/>
      <c r="E33" s="96"/>
    </row>
    <row r="34" spans="2:5">
      <c r="B34" s="51" t="s">
        <v>747</v>
      </c>
      <c r="C34" s="293"/>
      <c r="D34" s="293"/>
      <c r="E34" s="293"/>
    </row>
    <row r="35" spans="2:5">
      <c r="B35" s="46"/>
      <c r="C35" s="710" t="s">
        <v>789</v>
      </c>
      <c r="D35" s="711" t="s">
        <v>790</v>
      </c>
      <c r="E35" s="143" t="s">
        <v>791</v>
      </c>
    </row>
    <row r="36" spans="2:5">
      <c r="B36" s="532">
        <f ca="1">(inputPrYr!B39)</f>
        <v>0</v>
      </c>
      <c r="C36" s="224" t="str">
        <f>CONCATENATE("Actual for ",$E$1-2,"")</f>
        <v>Actual for 2012</v>
      </c>
      <c r="D36" s="224" t="str">
        <f>CONCATENATE("Estimate for ",$E$1-1,"")</f>
        <v>Estimate for 2013</v>
      </c>
      <c r="E36" s="207" t="str">
        <f>CONCATENATE("Year for ",$E$1,"")</f>
        <v>Year for 2014</v>
      </c>
    </row>
    <row r="37" spans="2:5">
      <c r="B37" s="251" t="s">
        <v>110</v>
      </c>
      <c r="C37" s="66"/>
      <c r="D37" s="227">
        <f>C60</f>
        <v>0</v>
      </c>
      <c r="E37" s="227">
        <f>D60</f>
        <v>0</v>
      </c>
    </row>
    <row r="38" spans="2:5">
      <c r="B38" s="255" t="s">
        <v>112</v>
      </c>
      <c r="C38" s="86"/>
      <c r="D38" s="86"/>
      <c r="E38" s="86"/>
    </row>
    <row r="39" spans="2:5">
      <c r="B39" s="272"/>
      <c r="C39" s="66"/>
      <c r="D39" s="66"/>
      <c r="E39" s="66"/>
    </row>
    <row r="40" spans="2:5">
      <c r="B40" s="272"/>
      <c r="C40" s="66"/>
      <c r="D40" s="66"/>
      <c r="E40" s="66"/>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0</v>
      </c>
      <c r="D46" s="266">
        <f>SUM(D39:D44)</f>
        <v>0</v>
      </c>
      <c r="E46" s="266">
        <f>SUM(E39:E44)</f>
        <v>0</v>
      </c>
    </row>
    <row r="47" spans="2:5">
      <c r="B47" s="263" t="s">
        <v>755</v>
      </c>
      <c r="C47" s="266">
        <f>C37+C46</f>
        <v>0</v>
      </c>
      <c r="D47" s="266">
        <f>D37+D46</f>
        <v>0</v>
      </c>
      <c r="E47" s="266">
        <f>E37+E46</f>
        <v>0</v>
      </c>
    </row>
    <row r="48" spans="2:5">
      <c r="B48" s="149" t="s">
        <v>0</v>
      </c>
      <c r="C48" s="227"/>
      <c r="D48" s="227"/>
      <c r="E48" s="227"/>
    </row>
    <row r="49" spans="2:5">
      <c r="B49" s="272"/>
      <c r="C49" s="66"/>
      <c r="D49" s="66"/>
      <c r="E49" s="66"/>
    </row>
    <row r="50" spans="2:5">
      <c r="B50" s="272"/>
      <c r="C50" s="66"/>
      <c r="D50" s="66"/>
      <c r="E50" s="66"/>
    </row>
    <row r="51" spans="2:5">
      <c r="B51" s="272"/>
      <c r="C51" s="66"/>
      <c r="D51" s="66"/>
      <c r="E51" s="66"/>
    </row>
    <row r="52" spans="2:5">
      <c r="B52" s="272"/>
      <c r="C52" s="66"/>
      <c r="D52" s="66"/>
      <c r="E52" s="66"/>
    </row>
    <row r="53" spans="2:5">
      <c r="B53" s="272"/>
      <c r="C53" s="66"/>
      <c r="D53" s="66"/>
      <c r="E53" s="66"/>
    </row>
    <row r="54" spans="2:5">
      <c r="B54" s="272"/>
      <c r="C54" s="66"/>
      <c r="D54" s="66"/>
      <c r="E54" s="66"/>
    </row>
    <row r="55" spans="2:5">
      <c r="B55" s="272"/>
      <c r="C55" s="66"/>
      <c r="D55" s="66"/>
      <c r="E55" s="66"/>
    </row>
    <row r="56" spans="2:5">
      <c r="B56" s="272"/>
      <c r="C56" s="66"/>
      <c r="D56" s="66"/>
      <c r="E56" s="66"/>
    </row>
    <row r="57" spans="2:5">
      <c r="B57" s="273" t="s">
        <v>655</v>
      </c>
      <c r="C57" s="66"/>
      <c r="D57" s="257"/>
      <c r="E57" s="257"/>
    </row>
    <row r="58" spans="2:5">
      <c r="B58" s="294" t="s">
        <v>508</v>
      </c>
      <c r="C58" s="298" t="str">
        <f>IF(C59*0.1&lt;C57,"Exceed 10% Rule","")</f>
        <v/>
      </c>
      <c r="D58" s="262" t="str">
        <f>IF(D59*0.1&lt;D57,"Exceed 10% Rule","")</f>
        <v/>
      </c>
      <c r="E58" s="262" t="str">
        <f>IF(E59*0.1&lt;E57,"Exceed 10% Rule","")</f>
        <v/>
      </c>
    </row>
    <row r="59" spans="2:5">
      <c r="B59" s="263" t="s">
        <v>4</v>
      </c>
      <c r="C59" s="266">
        <f>SUM(C49:C57)</f>
        <v>0</v>
      </c>
      <c r="D59" s="266">
        <f>SUM(D49:D57)</f>
        <v>0</v>
      </c>
      <c r="E59" s="266">
        <f>SUM(E49:E57)</f>
        <v>0</v>
      </c>
    </row>
    <row r="60" spans="2:5">
      <c r="B60" s="149" t="s">
        <v>111</v>
      </c>
      <c r="C60" s="81">
        <f>C47-C59</f>
        <v>0</v>
      </c>
      <c r="D60" s="81">
        <f>D47-D59</f>
        <v>0</v>
      </c>
      <c r="E60" s="81">
        <f>E47-E59</f>
        <v>0</v>
      </c>
    </row>
    <row r="61" spans="2:5">
      <c r="B61" s="135" t="str">
        <f>CONCATENATE("",E1-2,"/",E1-1," Budget Authority Amount:")</f>
        <v>2012/2013 Budget Authority Amount:</v>
      </c>
      <c r="C61" s="240">
        <f ca="1">inputOth!B78</f>
        <v>0</v>
      </c>
      <c r="D61" s="240">
        <f ca="1">inputPrYr!D39</f>
        <v>0</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v>12</v>
      </c>
      <c r="D65" s="46"/>
      <c r="E65" s="46"/>
    </row>
  </sheetData>
  <sheetProtection sheet="1"/>
  <phoneticPr fontId="0" type="noConversion"/>
  <conditionalFormatting sqref="C13">
    <cfRule type="cellIs" dxfId="150" priority="3" stopIfTrue="1" operator="greaterThan">
      <formula>$C$15*0.1</formula>
    </cfRule>
  </conditionalFormatting>
  <conditionalFormatting sqref="D13">
    <cfRule type="cellIs" dxfId="149" priority="4" stopIfTrue="1" operator="greaterThan">
      <formula>$D$15*0.1</formula>
    </cfRule>
  </conditionalFormatting>
  <conditionalFormatting sqref="E13">
    <cfRule type="cellIs" dxfId="148" priority="5" stopIfTrue="1" operator="greaterThan">
      <formula>$E$15*0.1</formula>
    </cfRule>
  </conditionalFormatting>
  <conditionalFormatting sqref="C26">
    <cfRule type="cellIs" dxfId="147" priority="6" stopIfTrue="1" operator="greaterThan">
      <formula>$C$28*0.1</formula>
    </cfRule>
  </conditionalFormatting>
  <conditionalFormatting sqref="D26">
    <cfRule type="cellIs" dxfId="146" priority="7" stopIfTrue="1" operator="greaterThan">
      <formula>$D$28*0.1</formula>
    </cfRule>
  </conditionalFormatting>
  <conditionalFormatting sqref="E26">
    <cfRule type="cellIs" dxfId="145" priority="8" stopIfTrue="1" operator="greaterThan">
      <formula>$E$28*0.1</formula>
    </cfRule>
  </conditionalFormatting>
  <conditionalFormatting sqref="C44">
    <cfRule type="cellIs" dxfId="144" priority="9" stopIfTrue="1" operator="greaterThan">
      <formula>$C$46*0.1</formula>
    </cfRule>
  </conditionalFormatting>
  <conditionalFormatting sqref="D44">
    <cfRule type="cellIs" dxfId="143" priority="10" stopIfTrue="1" operator="greaterThan">
      <formula>$D$46*0.1</formula>
    </cfRule>
  </conditionalFormatting>
  <conditionalFormatting sqref="E44">
    <cfRule type="cellIs" dxfId="142" priority="11" stopIfTrue="1" operator="greaterThan">
      <formula>$E$46*0.1</formula>
    </cfRule>
  </conditionalFormatting>
  <conditionalFormatting sqref="C57">
    <cfRule type="cellIs" dxfId="141" priority="12" stopIfTrue="1" operator="greaterThan">
      <formula>$C$59*0.1</formula>
    </cfRule>
  </conditionalFormatting>
  <conditionalFormatting sqref="D57">
    <cfRule type="cellIs" dxfId="140" priority="13" stopIfTrue="1" operator="greaterThan">
      <formula>$D$59*0.1</formula>
    </cfRule>
  </conditionalFormatting>
  <conditionalFormatting sqref="E57">
    <cfRule type="cellIs" dxfId="139" priority="14" stopIfTrue="1" operator="greaterThan">
      <formula>$E$59*0.1</formula>
    </cfRule>
  </conditionalFormatting>
  <conditionalFormatting sqref="D59">
    <cfRule type="cellIs" dxfId="138" priority="15" stopIfTrue="1" operator="greaterThan">
      <formula>$D$61</formula>
    </cfRule>
  </conditionalFormatting>
  <conditionalFormatting sqref="C59">
    <cfRule type="cellIs" dxfId="137" priority="16" stopIfTrue="1" operator="greaterThan">
      <formula>$C$61</formula>
    </cfRule>
  </conditionalFormatting>
  <conditionalFormatting sqref="C60 E60 C29 E29">
    <cfRule type="cellIs" dxfId="136" priority="17" stopIfTrue="1" operator="lessThan">
      <formula>0</formula>
    </cfRule>
  </conditionalFormatting>
  <conditionalFormatting sqref="D28">
    <cfRule type="cellIs" dxfId="135" priority="18" stopIfTrue="1" operator="greaterThan">
      <formula>$D$30</formula>
    </cfRule>
  </conditionalFormatting>
  <conditionalFormatting sqref="C28">
    <cfRule type="cellIs" dxfId="134" priority="19" stopIfTrue="1" operator="greaterThan">
      <formula>$C$30</formula>
    </cfRule>
  </conditionalFormatting>
  <conditionalFormatting sqref="D60">
    <cfRule type="cellIs" dxfId="133" priority="2" stopIfTrue="1" operator="lessThan">
      <formula>0</formula>
    </cfRule>
  </conditionalFormatting>
  <conditionalFormatting sqref="D29">
    <cfRule type="cellIs" dxfId="132" priority="1" stopIfTrue="1" operator="lessThan">
      <formula>0</formula>
    </cfRule>
  </conditionalFormatting>
  <pageMargins left="0.5" right="0.5" top="1" bottom="0.5" header="0.5" footer="0.5"/>
  <pageSetup scale="67" orientation="portrait" blackAndWhite="1" horizontalDpi="120" verticalDpi="14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topLeftCell="A31" workbookViewId="0">
      <selection activeCell="C65" sqref="C65"/>
    </sheetView>
  </sheetViews>
  <sheetFormatPr defaultRowHeight="15.75"/>
  <cols>
    <col min="1" max="1" width="2.44140625" style="44" customWidth="1"/>
    <col min="2" max="2" width="31.109375" style="44" customWidth="1"/>
    <col min="3" max="4" width="15.77734375" style="44" customWidth="1"/>
    <col min="5" max="5" width="16.21875" style="44" customWidth="1"/>
    <col min="6" max="16384" width="8.88671875" style="44"/>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f ca="1">inputPrYr!B40</f>
        <v>0</v>
      </c>
      <c r="C5" s="224" t="str">
        <f>CONCATENATE("Actual for ",E1-2,"")</f>
        <v>Actual for 2012</v>
      </c>
      <c r="D5" s="224" t="str">
        <f>CONCATENATE("Estimate for ",E1-1,"")</f>
        <v>Estimate for 2013</v>
      </c>
      <c r="E5" s="207" t="str">
        <f>CONCATENATE("Year for ",E1,"")</f>
        <v>Year for 2014</v>
      </c>
    </row>
    <row r="6" spans="2:5">
      <c r="B6" s="251" t="s">
        <v>110</v>
      </c>
      <c r="C6" s="66"/>
      <c r="D6" s="227">
        <f>C29</f>
        <v>0</v>
      </c>
      <c r="E6" s="227">
        <f>D29</f>
        <v>0</v>
      </c>
    </row>
    <row r="7" spans="2:5">
      <c r="B7" s="255" t="s">
        <v>112</v>
      </c>
      <c r="C7" s="86"/>
      <c r="D7" s="86"/>
      <c r="E7" s="86"/>
    </row>
    <row r="8" spans="2:5">
      <c r="B8" s="272"/>
      <c r="C8" s="66"/>
      <c r="D8" s="66"/>
      <c r="E8" s="66"/>
    </row>
    <row r="9" spans="2:5">
      <c r="B9" s="272"/>
      <c r="C9" s="66"/>
      <c r="D9" s="66"/>
      <c r="E9" s="66"/>
    </row>
    <row r="10" spans="2:5">
      <c r="B10" s="272"/>
      <c r="C10" s="66"/>
      <c r="D10" s="66"/>
      <c r="E10" s="66"/>
    </row>
    <row r="11" spans="2:5">
      <c r="B11" s="272"/>
      <c r="C11" s="66"/>
      <c r="D11" s="66"/>
      <c r="E11" s="66"/>
    </row>
    <row r="12" spans="2:5">
      <c r="B12" s="260" t="s">
        <v>753</v>
      </c>
      <c r="C12" s="66"/>
      <c r="D12" s="66"/>
      <c r="E12" s="66"/>
    </row>
    <row r="13" spans="2:5">
      <c r="B13" s="158" t="s">
        <v>655</v>
      </c>
      <c r="C13" s="66"/>
      <c r="D13" s="257"/>
      <c r="E13" s="257"/>
    </row>
    <row r="14" spans="2:5">
      <c r="B14" s="251" t="s">
        <v>507</v>
      </c>
      <c r="C14" s="298" t="str">
        <f>IF(C15*0.1&lt;C13,"Exceed 10% Rule","")</f>
        <v/>
      </c>
      <c r="D14" s="262" t="str">
        <f>IF(D15*0.1&lt;D13,"Exceed 10% Rule","")</f>
        <v/>
      </c>
      <c r="E14" s="262" t="str">
        <f>IF(E15*0.1&lt;E13,"Exceed 10% Rule","")</f>
        <v/>
      </c>
    </row>
    <row r="15" spans="2:5">
      <c r="B15" s="263" t="s">
        <v>754</v>
      </c>
      <c r="C15" s="266">
        <f>SUM(C8:C13)</f>
        <v>0</v>
      </c>
      <c r="D15" s="266">
        <f>SUM(D8:D13)</f>
        <v>0</v>
      </c>
      <c r="E15" s="266">
        <f>SUM(E8:E13)</f>
        <v>0</v>
      </c>
    </row>
    <row r="16" spans="2:5">
      <c r="B16" s="263" t="s">
        <v>755</v>
      </c>
      <c r="C16" s="266">
        <f>C6+C15</f>
        <v>0</v>
      </c>
      <c r="D16" s="266">
        <f>D6+D15</f>
        <v>0</v>
      </c>
      <c r="E16" s="266">
        <f>E6+E15</f>
        <v>0</v>
      </c>
    </row>
    <row r="17" spans="2:5">
      <c r="B17" s="149" t="s">
        <v>0</v>
      </c>
      <c r="C17" s="227"/>
      <c r="D17" s="227"/>
      <c r="E17" s="227"/>
    </row>
    <row r="18" spans="2:5">
      <c r="B18" s="272"/>
      <c r="C18" s="66"/>
      <c r="D18" s="66"/>
      <c r="E18" s="66"/>
    </row>
    <row r="19" spans="2:5">
      <c r="B19" s="272"/>
      <c r="C19" s="66"/>
      <c r="D19" s="66"/>
      <c r="E19" s="66"/>
    </row>
    <row r="20" spans="2:5">
      <c r="B20" s="272"/>
      <c r="C20" s="66"/>
      <c r="D20" s="66"/>
      <c r="E20" s="66"/>
    </row>
    <row r="21" spans="2:5">
      <c r="B21" s="272"/>
      <c r="C21" s="66"/>
      <c r="D21" s="66"/>
      <c r="E21" s="66"/>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508</v>
      </c>
      <c r="C27" s="298" t="str">
        <f>IF(C28*0.1&lt;C26,"Exceed 10% Rule","")</f>
        <v/>
      </c>
      <c r="D27" s="262" t="str">
        <f>IF(D28*0.1&lt;D26,"Exceed 10% Rule","")</f>
        <v/>
      </c>
      <c r="E27" s="262" t="str">
        <f>IF(E28*0.1&lt;E26,"Exceed 10% Rule","")</f>
        <v/>
      </c>
    </row>
    <row r="28" spans="2:5">
      <c r="B28" s="263" t="s">
        <v>4</v>
      </c>
      <c r="C28" s="266">
        <f>SUM(C18:C26)</f>
        <v>0</v>
      </c>
      <c r="D28" s="266">
        <f>SUM(D18:D26)</f>
        <v>0</v>
      </c>
      <c r="E28" s="266">
        <f>SUM(E18:E26)</f>
        <v>0</v>
      </c>
    </row>
    <row r="29" spans="2:5">
      <c r="B29" s="149" t="s">
        <v>111</v>
      </c>
      <c r="C29" s="81">
        <f>C16-C28</f>
        <v>0</v>
      </c>
      <c r="D29" s="81">
        <f>D16-D28</f>
        <v>0</v>
      </c>
      <c r="E29" s="81">
        <f>E16-E28</f>
        <v>0</v>
      </c>
    </row>
    <row r="30" spans="2:5">
      <c r="B30" s="135" t="str">
        <f>CONCATENATE("",E1-2,"/",E1-1," Budget Authority Amount:")</f>
        <v>2012/2013 Budget Authority Amount:</v>
      </c>
      <c r="C30" s="240">
        <f ca="1">inputOth!B79</f>
        <v>0</v>
      </c>
      <c r="D30" s="240">
        <f ca="1">inputPrYr!D40</f>
        <v>0</v>
      </c>
      <c r="E30" s="378" t="str">
        <f>IF(E29&lt;0,"See Tab E","")</f>
        <v/>
      </c>
    </row>
    <row r="31" spans="2:5">
      <c r="B31" s="135"/>
      <c r="C31" s="276" t="str">
        <f>IF(C28&gt;C30,"See Tab A","")</f>
        <v/>
      </c>
      <c r="D31" s="276" t="str">
        <f>IF(D28&gt;D30,"See Tab C","")</f>
        <v/>
      </c>
      <c r="E31" s="96"/>
    </row>
    <row r="32" spans="2:5">
      <c r="B32" s="135"/>
      <c r="C32" s="276" t="str">
        <f>IF(C29&lt;0,"See Tab B","")</f>
        <v/>
      </c>
      <c r="D32" s="276" t="str">
        <f>IF(D29&lt;0,"See Tab D","")</f>
        <v/>
      </c>
      <c r="E32" s="96"/>
    </row>
    <row r="33" spans="2:5">
      <c r="B33" s="46"/>
      <c r="C33" s="96"/>
      <c r="D33" s="96"/>
      <c r="E33" s="96"/>
    </row>
    <row r="34" spans="2:5">
      <c r="B34" s="51" t="s">
        <v>747</v>
      </c>
      <c r="C34" s="293"/>
      <c r="D34" s="293"/>
      <c r="E34" s="293"/>
    </row>
    <row r="35" spans="2:5">
      <c r="B35" s="46"/>
      <c r="C35" s="710" t="s">
        <v>789</v>
      </c>
      <c r="D35" s="711" t="s">
        <v>790</v>
      </c>
      <c r="E35" s="143" t="s">
        <v>791</v>
      </c>
    </row>
    <row r="36" spans="2:5">
      <c r="B36" s="532">
        <f ca="1">inputPrYr!B41</f>
        <v>0</v>
      </c>
      <c r="C36" s="224" t="str">
        <f>CONCATENATE("Actual for ",$E$1-2,"")</f>
        <v>Actual for 2012</v>
      </c>
      <c r="D36" s="224" t="str">
        <f>CONCATENATE("Estimate for ",$E$1-1,"")</f>
        <v>Estimate for 2013</v>
      </c>
      <c r="E36" s="207" t="str">
        <f>CONCATENATE("Year for ",$E$1,"")</f>
        <v>Year for 2014</v>
      </c>
    </row>
    <row r="37" spans="2:5">
      <c r="B37" s="251" t="s">
        <v>110</v>
      </c>
      <c r="C37" s="66"/>
      <c r="D37" s="227">
        <f>C60</f>
        <v>0</v>
      </c>
      <c r="E37" s="227">
        <f>D60</f>
        <v>0</v>
      </c>
    </row>
    <row r="38" spans="2:5">
      <c r="B38" s="255" t="s">
        <v>112</v>
      </c>
      <c r="C38" s="86"/>
      <c r="D38" s="86"/>
      <c r="E38" s="86"/>
    </row>
    <row r="39" spans="2:5">
      <c r="B39" s="272"/>
      <c r="C39" s="66"/>
      <c r="D39" s="66"/>
      <c r="E39" s="66"/>
    </row>
    <row r="40" spans="2:5">
      <c r="B40" s="272"/>
      <c r="C40" s="66"/>
      <c r="D40" s="66"/>
      <c r="E40" s="66"/>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0</v>
      </c>
      <c r="D46" s="266">
        <f>SUM(D39:D44)</f>
        <v>0</v>
      </c>
      <c r="E46" s="266">
        <f>SUM(E39:E44)</f>
        <v>0</v>
      </c>
    </row>
    <row r="47" spans="2:5">
      <c r="B47" s="263" t="s">
        <v>755</v>
      </c>
      <c r="C47" s="266">
        <f>C37+C46</f>
        <v>0</v>
      </c>
      <c r="D47" s="266">
        <f>D37+D46</f>
        <v>0</v>
      </c>
      <c r="E47" s="266">
        <f>E37+E46</f>
        <v>0</v>
      </c>
    </row>
    <row r="48" spans="2:5">
      <c r="B48" s="149" t="s">
        <v>0</v>
      </c>
      <c r="C48" s="227"/>
      <c r="D48" s="227"/>
      <c r="E48" s="227"/>
    </row>
    <row r="49" spans="2:5">
      <c r="B49" s="272"/>
      <c r="C49" s="66"/>
      <c r="D49" s="66"/>
      <c r="E49" s="66"/>
    </row>
    <row r="50" spans="2:5">
      <c r="B50" s="272"/>
      <c r="C50" s="66"/>
      <c r="D50" s="66"/>
      <c r="E50" s="66"/>
    </row>
    <row r="51" spans="2:5">
      <c r="B51" s="272"/>
      <c r="C51" s="66"/>
      <c r="D51" s="66"/>
      <c r="E51" s="66"/>
    </row>
    <row r="52" spans="2:5">
      <c r="B52" s="272"/>
      <c r="C52" s="66"/>
      <c r="D52" s="66"/>
      <c r="E52" s="66"/>
    </row>
    <row r="53" spans="2:5">
      <c r="B53" s="272"/>
      <c r="C53" s="66"/>
      <c r="D53" s="66"/>
      <c r="E53" s="66"/>
    </row>
    <row r="54" spans="2:5">
      <c r="B54" s="272"/>
      <c r="C54" s="66"/>
      <c r="D54" s="66"/>
      <c r="E54" s="66"/>
    </row>
    <row r="55" spans="2:5">
      <c r="B55" s="272"/>
      <c r="C55" s="66"/>
      <c r="D55" s="66"/>
      <c r="E55" s="66"/>
    </row>
    <row r="56" spans="2:5">
      <c r="B56" s="272"/>
      <c r="C56" s="66"/>
      <c r="D56" s="66"/>
      <c r="E56" s="66"/>
    </row>
    <row r="57" spans="2:5">
      <c r="B57" s="273" t="s">
        <v>655</v>
      </c>
      <c r="C57" s="66"/>
      <c r="D57" s="257"/>
      <c r="E57" s="257"/>
    </row>
    <row r="58" spans="2:5">
      <c r="B58" s="273" t="s">
        <v>508</v>
      </c>
      <c r="C58" s="298" t="str">
        <f>IF(C59*0.1&lt;C57,"Exceed 10% Rule","")</f>
        <v/>
      </c>
      <c r="D58" s="262" t="str">
        <f>IF(D59*0.1&lt;D57,"Exceed 10% Rule","")</f>
        <v/>
      </c>
      <c r="E58" s="262" t="str">
        <f>IF(E59*0.1&lt;E57,"Exceed 10% Rule","")</f>
        <v/>
      </c>
    </row>
    <row r="59" spans="2:5">
      <c r="B59" s="263" t="s">
        <v>4</v>
      </c>
      <c r="C59" s="266">
        <f>SUM(C49:C57)</f>
        <v>0</v>
      </c>
      <c r="D59" s="266">
        <f>SUM(D49:D57)</f>
        <v>0</v>
      </c>
      <c r="E59" s="266">
        <f>SUM(E49:E57)</f>
        <v>0</v>
      </c>
    </row>
    <row r="60" spans="2:5">
      <c r="B60" s="149" t="s">
        <v>111</v>
      </c>
      <c r="C60" s="81">
        <f>C47-C59</f>
        <v>0</v>
      </c>
      <c r="D60" s="81">
        <f>D47-D59</f>
        <v>0</v>
      </c>
      <c r="E60" s="81">
        <f>E47-E59</f>
        <v>0</v>
      </c>
    </row>
    <row r="61" spans="2:5">
      <c r="B61" s="135" t="str">
        <f>CONCATENATE("",E1-2,"/",E1-1," Budget Authority Amount:")</f>
        <v>2012/2013 Budget Authority Amount:</v>
      </c>
      <c r="C61" s="240">
        <f ca="1">inputOth!B80</f>
        <v>0</v>
      </c>
      <c r="D61" s="240">
        <f ca="1">inputPrYr!D41</f>
        <v>0</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c r="D65" s="46"/>
      <c r="E65" s="46"/>
    </row>
  </sheetData>
  <sheetProtection sheet="1"/>
  <phoneticPr fontId="0" type="noConversion"/>
  <conditionalFormatting sqref="C13">
    <cfRule type="cellIs" dxfId="131" priority="3" stopIfTrue="1" operator="greaterThan">
      <formula>$C$15*0.1</formula>
    </cfRule>
  </conditionalFormatting>
  <conditionalFormatting sqref="D13">
    <cfRule type="cellIs" dxfId="130" priority="4" stopIfTrue="1" operator="greaterThan">
      <formula>$D$15*0.1</formula>
    </cfRule>
  </conditionalFormatting>
  <conditionalFormatting sqref="E13">
    <cfRule type="cellIs" dxfId="129" priority="5" stopIfTrue="1" operator="greaterThan">
      <formula>$E$15*0.1</formula>
    </cfRule>
  </conditionalFormatting>
  <conditionalFormatting sqref="C26">
    <cfRule type="cellIs" dxfId="128" priority="6" stopIfTrue="1" operator="greaterThan">
      <formula>$C$28*0.1</formula>
    </cfRule>
  </conditionalFormatting>
  <conditionalFormatting sqref="D26">
    <cfRule type="cellIs" dxfId="127" priority="7" stopIfTrue="1" operator="greaterThan">
      <formula>$D$28*0.1</formula>
    </cfRule>
  </conditionalFormatting>
  <conditionalFormatting sqref="E26">
    <cfRule type="cellIs" dxfId="126" priority="8" stopIfTrue="1" operator="greaterThan">
      <formula>$E$28*0.1</formula>
    </cfRule>
  </conditionalFormatting>
  <conditionalFormatting sqref="C44">
    <cfRule type="cellIs" dxfId="125" priority="9" stopIfTrue="1" operator="greaterThan">
      <formula>$C$46*0.1</formula>
    </cfRule>
  </conditionalFormatting>
  <conditionalFormatting sqref="D44">
    <cfRule type="cellIs" dxfId="124" priority="10" stopIfTrue="1" operator="greaterThan">
      <formula>$D$46*0.1</formula>
    </cfRule>
  </conditionalFormatting>
  <conditionalFormatting sqref="E44">
    <cfRule type="cellIs" dxfId="123" priority="11" stopIfTrue="1" operator="greaterThan">
      <formula>$E$46*0.1</formula>
    </cfRule>
  </conditionalFormatting>
  <conditionalFormatting sqref="C57">
    <cfRule type="cellIs" dxfId="122" priority="12" stopIfTrue="1" operator="greaterThan">
      <formula>$C$59*0.1</formula>
    </cfRule>
  </conditionalFormatting>
  <conditionalFormatting sqref="D57">
    <cfRule type="cellIs" dxfId="121" priority="13" stopIfTrue="1" operator="greaterThan">
      <formula>$D$59*0.1</formula>
    </cfRule>
  </conditionalFormatting>
  <conditionalFormatting sqref="E57">
    <cfRule type="cellIs" dxfId="120" priority="14" stopIfTrue="1" operator="greaterThan">
      <formula>$E$59*0.1</formula>
    </cfRule>
  </conditionalFormatting>
  <conditionalFormatting sqref="D59">
    <cfRule type="cellIs" dxfId="119" priority="15" stopIfTrue="1" operator="greaterThan">
      <formula>$D$61</formula>
    </cfRule>
  </conditionalFormatting>
  <conditionalFormatting sqref="C59">
    <cfRule type="cellIs" dxfId="118" priority="16" stopIfTrue="1" operator="greaterThan">
      <formula>$C$61</formula>
    </cfRule>
  </conditionalFormatting>
  <conditionalFormatting sqref="C60 E60 C29 E29">
    <cfRule type="cellIs" dxfId="117" priority="17" stopIfTrue="1" operator="lessThan">
      <formula>0</formula>
    </cfRule>
  </conditionalFormatting>
  <conditionalFormatting sqref="D28">
    <cfRule type="cellIs" dxfId="116" priority="18" stopIfTrue="1" operator="greaterThan">
      <formula>$D$30</formula>
    </cfRule>
  </conditionalFormatting>
  <conditionalFormatting sqref="C28">
    <cfRule type="cellIs" dxfId="115" priority="19" stopIfTrue="1" operator="greaterThan">
      <formula>$C$30</formula>
    </cfRule>
  </conditionalFormatting>
  <conditionalFormatting sqref="D60">
    <cfRule type="cellIs" dxfId="114" priority="2" stopIfTrue="1" operator="lessThan">
      <formula>0</formula>
    </cfRule>
  </conditionalFormatting>
  <conditionalFormatting sqref="D29">
    <cfRule type="cellIs" dxfId="113"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workbookViewId="0">
      <selection activeCell="D57" sqref="D57"/>
    </sheetView>
  </sheetViews>
  <sheetFormatPr defaultRowHeight="15.75"/>
  <cols>
    <col min="1" max="1" width="2.44140625" style="44" customWidth="1"/>
    <col min="2" max="2" width="31.109375" style="44" customWidth="1"/>
    <col min="3" max="4" width="15.77734375" style="44" customWidth="1"/>
    <col min="5" max="5" width="16.109375" style="44" customWidth="1"/>
    <col min="6" max="16384" width="8.88671875" style="44"/>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f ca="1">inputPrYr!B42</f>
        <v>0</v>
      </c>
      <c r="C5" s="224" t="str">
        <f>CONCATENATE("Actual for ",E1-2,"")</f>
        <v>Actual for 2012</v>
      </c>
      <c r="D5" s="224" t="str">
        <f>CONCATENATE("Estimate for ",E1-1,"")</f>
        <v>Estimate for 2013</v>
      </c>
      <c r="E5" s="207" t="str">
        <f>CONCATENATE("Year for ",E1,"")</f>
        <v>Year for 2014</v>
      </c>
    </row>
    <row r="6" spans="2:5">
      <c r="B6" s="251" t="s">
        <v>110</v>
      </c>
      <c r="C6" s="66"/>
      <c r="D6" s="227">
        <f>C29</f>
        <v>0</v>
      </c>
      <c r="E6" s="227">
        <f>D29</f>
        <v>0</v>
      </c>
    </row>
    <row r="7" spans="2:5">
      <c r="B7" s="255" t="s">
        <v>112</v>
      </c>
      <c r="C7" s="86"/>
      <c r="D7" s="86"/>
      <c r="E7" s="86"/>
    </row>
    <row r="8" spans="2:5">
      <c r="B8" s="272"/>
      <c r="C8" s="66"/>
      <c r="D8" s="66"/>
      <c r="E8" s="66"/>
    </row>
    <row r="9" spans="2:5">
      <c r="B9" s="272"/>
      <c r="C9" s="66"/>
      <c r="D9" s="66"/>
      <c r="E9" s="66"/>
    </row>
    <row r="10" spans="2:5">
      <c r="B10" s="272"/>
      <c r="C10" s="66"/>
      <c r="D10" s="66"/>
      <c r="E10" s="66"/>
    </row>
    <row r="11" spans="2:5">
      <c r="B11" s="272"/>
      <c r="C11" s="66"/>
      <c r="D11" s="66"/>
      <c r="E11" s="66"/>
    </row>
    <row r="12" spans="2:5">
      <c r="B12" s="260" t="s">
        <v>753</v>
      </c>
      <c r="C12" s="66"/>
      <c r="D12" s="66"/>
      <c r="E12" s="66"/>
    </row>
    <row r="13" spans="2:5">
      <c r="B13" s="158" t="s">
        <v>655</v>
      </c>
      <c r="C13" s="211"/>
      <c r="D13" s="211"/>
      <c r="E13" s="211"/>
    </row>
    <row r="14" spans="2:5">
      <c r="B14" s="251" t="s">
        <v>507</v>
      </c>
      <c r="C14" s="298" t="str">
        <f>IF(C15*0.1&lt;C13,"Exceed 10% Rule","")</f>
        <v/>
      </c>
      <c r="D14" s="262" t="str">
        <f>IF(D15*0.1&lt;D13,"Exceed 10% Rule","")</f>
        <v/>
      </c>
      <c r="E14" s="262" t="str">
        <f>IF(E15*0.1&lt;E13,"Exceed 10% Rule","")</f>
        <v/>
      </c>
    </row>
    <row r="15" spans="2:5">
      <c r="B15" s="263" t="s">
        <v>754</v>
      </c>
      <c r="C15" s="266">
        <f>SUM(C8:C13)</f>
        <v>0</v>
      </c>
      <c r="D15" s="266">
        <f>SUM(D8:D13)</f>
        <v>0</v>
      </c>
      <c r="E15" s="266">
        <f>SUM(E8:E13)</f>
        <v>0</v>
      </c>
    </row>
    <row r="16" spans="2:5">
      <c r="B16" s="263" t="s">
        <v>755</v>
      </c>
      <c r="C16" s="266">
        <f>C6+C15</f>
        <v>0</v>
      </c>
      <c r="D16" s="266">
        <f>D6+D15</f>
        <v>0</v>
      </c>
      <c r="E16" s="266">
        <f>E6+E15</f>
        <v>0</v>
      </c>
    </row>
    <row r="17" spans="2:5">
      <c r="B17" s="149" t="s">
        <v>0</v>
      </c>
      <c r="C17" s="227"/>
      <c r="D17" s="227"/>
      <c r="E17" s="227"/>
    </row>
    <row r="18" spans="2:5">
      <c r="B18" s="272"/>
      <c r="C18" s="66"/>
      <c r="D18" s="66"/>
      <c r="E18" s="66"/>
    </row>
    <row r="19" spans="2:5">
      <c r="B19" s="272"/>
      <c r="C19" s="66"/>
      <c r="D19" s="66"/>
      <c r="E19" s="66"/>
    </row>
    <row r="20" spans="2:5">
      <c r="B20" s="272"/>
      <c r="C20" s="66"/>
      <c r="D20" s="66"/>
      <c r="E20" s="66"/>
    </row>
    <row r="21" spans="2:5">
      <c r="B21" s="272"/>
      <c r="C21" s="66"/>
      <c r="D21" s="66"/>
      <c r="E21" s="66"/>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508</v>
      </c>
      <c r="C27" s="298" t="str">
        <f>IF(C28*0.1&lt;C26,"Exceed 10% Rule","")</f>
        <v/>
      </c>
      <c r="D27" s="262" t="str">
        <f>IF(D28*0.1&lt;D26,"Exceed 10% Rule","")</f>
        <v/>
      </c>
      <c r="E27" s="262" t="str">
        <f>IF(E28*0.1&lt;E26,"Exceed 10% Rule","")</f>
        <v/>
      </c>
    </row>
    <row r="28" spans="2:5">
      <c r="B28" s="263" t="s">
        <v>4</v>
      </c>
      <c r="C28" s="266">
        <f>SUM(C18:C26)</f>
        <v>0</v>
      </c>
      <c r="D28" s="266">
        <f>SUM(D18:D26)</f>
        <v>0</v>
      </c>
      <c r="E28" s="266">
        <f>SUM(E18:E26)</f>
        <v>0</v>
      </c>
    </row>
    <row r="29" spans="2:5">
      <c r="B29" s="149" t="s">
        <v>111</v>
      </c>
      <c r="C29" s="81">
        <f>C16-C28</f>
        <v>0</v>
      </c>
      <c r="D29" s="81">
        <f>D16-D28</f>
        <v>0</v>
      </c>
      <c r="E29" s="81">
        <f>E16-E28</f>
        <v>0</v>
      </c>
    </row>
    <row r="30" spans="2:5">
      <c r="B30" s="135" t="str">
        <f>CONCATENATE("",E1-2,"/",E1-1," Budget Authority Amount:")</f>
        <v>2012/2013 Budget Authority Amount:</v>
      </c>
      <c r="C30" s="240">
        <f ca="1">inputOth!B81</f>
        <v>0</v>
      </c>
      <c r="D30" s="240">
        <f ca="1">inputPrYr!D42</f>
        <v>0</v>
      </c>
      <c r="E30" s="378" t="str">
        <f>IF(E29&lt;0,"See Tab E","")</f>
        <v/>
      </c>
    </row>
    <row r="31" spans="2:5">
      <c r="B31" s="135"/>
      <c r="C31" s="276" t="str">
        <f>IF(C28&gt;C30,"See Tab A","")</f>
        <v/>
      </c>
      <c r="D31" s="276" t="str">
        <f>IF(D28&gt;D30,"See Tab C","")</f>
        <v/>
      </c>
      <c r="E31" s="96"/>
    </row>
    <row r="32" spans="2:5">
      <c r="B32" s="135"/>
      <c r="C32" s="276" t="str">
        <f>IF(C29&lt;0,"See Tab B","")</f>
        <v/>
      </c>
      <c r="D32" s="276" t="str">
        <f>IF(D29&lt;0,"See Tab D","")</f>
        <v/>
      </c>
      <c r="E32" s="96"/>
    </row>
    <row r="33" spans="2:5">
      <c r="B33" s="46"/>
      <c r="C33" s="96"/>
      <c r="D33" s="96"/>
      <c r="E33" s="96"/>
    </row>
    <row r="34" spans="2:5">
      <c r="B34" s="51" t="s">
        <v>747</v>
      </c>
      <c r="C34" s="293"/>
      <c r="D34" s="293"/>
      <c r="E34" s="293"/>
    </row>
    <row r="35" spans="2:5">
      <c r="B35" s="46"/>
      <c r="C35" s="710" t="s">
        <v>789</v>
      </c>
      <c r="D35" s="711" t="s">
        <v>790</v>
      </c>
      <c r="E35" s="143" t="s">
        <v>791</v>
      </c>
    </row>
    <row r="36" spans="2:5">
      <c r="B36" s="532">
        <f ca="1">inputPrYr!B43</f>
        <v>0</v>
      </c>
      <c r="C36" s="224" t="str">
        <f>CONCATENATE("Actual for ",$E$1-2,"")</f>
        <v>Actual for 2012</v>
      </c>
      <c r="D36" s="224" t="str">
        <f>CONCATENATE("Estimate for ",$E$1-1,"")</f>
        <v>Estimate for 2013</v>
      </c>
      <c r="E36" s="207" t="str">
        <f>CONCATENATE("Year for ",$E$1,"")</f>
        <v>Year for 2014</v>
      </c>
    </row>
    <row r="37" spans="2:5">
      <c r="B37" s="251" t="s">
        <v>110</v>
      </c>
      <c r="C37" s="66"/>
      <c r="D37" s="227">
        <f>C60</f>
        <v>0</v>
      </c>
      <c r="E37" s="227">
        <f>D60</f>
        <v>0</v>
      </c>
    </row>
    <row r="38" spans="2:5">
      <c r="B38" s="255" t="s">
        <v>112</v>
      </c>
      <c r="C38" s="86"/>
      <c r="D38" s="86"/>
      <c r="E38" s="86"/>
    </row>
    <row r="39" spans="2:5">
      <c r="B39" s="272"/>
      <c r="C39" s="66"/>
      <c r="D39" s="66"/>
      <c r="E39" s="66"/>
    </row>
    <row r="40" spans="2:5">
      <c r="B40" s="272"/>
      <c r="C40" s="66"/>
      <c r="D40" s="66"/>
      <c r="E40" s="66"/>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0</v>
      </c>
      <c r="D46" s="266">
        <f>SUM(D39:D44)</f>
        <v>0</v>
      </c>
      <c r="E46" s="266">
        <f>SUM(E39:E44)</f>
        <v>0</v>
      </c>
    </row>
    <row r="47" spans="2:5">
      <c r="B47" s="263" t="s">
        <v>755</v>
      </c>
      <c r="C47" s="266">
        <f>C37+C46</f>
        <v>0</v>
      </c>
      <c r="D47" s="266">
        <f>D37+D46</f>
        <v>0</v>
      </c>
      <c r="E47" s="266">
        <f>E37+E46</f>
        <v>0</v>
      </c>
    </row>
    <row r="48" spans="2:5">
      <c r="B48" s="149" t="s">
        <v>0</v>
      </c>
      <c r="C48" s="227"/>
      <c r="D48" s="227"/>
      <c r="E48" s="227"/>
    </row>
    <row r="49" spans="2:5">
      <c r="B49" s="272"/>
      <c r="C49" s="66"/>
      <c r="D49" s="66"/>
      <c r="E49" s="66"/>
    </row>
    <row r="50" spans="2:5">
      <c r="B50" s="272"/>
      <c r="C50" s="66"/>
      <c r="D50" s="66"/>
      <c r="E50" s="66"/>
    </row>
    <row r="51" spans="2:5">
      <c r="B51" s="272"/>
      <c r="C51" s="66"/>
      <c r="D51" s="66"/>
      <c r="E51" s="66"/>
    </row>
    <row r="52" spans="2:5">
      <c r="B52" s="272"/>
      <c r="C52" s="66"/>
      <c r="D52" s="66"/>
      <c r="E52" s="66"/>
    </row>
    <row r="53" spans="2:5">
      <c r="B53" s="272"/>
      <c r="C53" s="66"/>
      <c r="D53" s="66"/>
      <c r="E53" s="66"/>
    </row>
    <row r="54" spans="2:5">
      <c r="B54" s="272"/>
      <c r="C54" s="66"/>
      <c r="D54" s="66"/>
      <c r="E54" s="66"/>
    </row>
    <row r="55" spans="2:5">
      <c r="B55" s="272"/>
      <c r="C55" s="66"/>
      <c r="D55" s="66"/>
      <c r="E55" s="66"/>
    </row>
    <row r="56" spans="2:5">
      <c r="B56" s="272"/>
      <c r="C56" s="66"/>
      <c r="D56" s="66"/>
      <c r="E56" s="66"/>
    </row>
    <row r="57" spans="2:5">
      <c r="B57" s="273" t="s">
        <v>655</v>
      </c>
      <c r="C57" s="66"/>
      <c r="D57" s="257"/>
      <c r="E57" s="257"/>
    </row>
    <row r="58" spans="2:5">
      <c r="B58" s="273" t="s">
        <v>508</v>
      </c>
      <c r="C58" s="298" t="str">
        <f>IF(C59*0.1&lt;C57,"Exceed 10% Rule","")</f>
        <v/>
      </c>
      <c r="D58" s="262" t="str">
        <f>IF(D59*0.1&lt;D57,"Exceed 10% Rule","")</f>
        <v/>
      </c>
      <c r="E58" s="262" t="str">
        <f>IF(E59*0.1&lt;E57,"Exceed 10% Rule","")</f>
        <v/>
      </c>
    </row>
    <row r="59" spans="2:5">
      <c r="B59" s="263" t="s">
        <v>4</v>
      </c>
      <c r="C59" s="266">
        <f>SUM(C49:C57)</f>
        <v>0</v>
      </c>
      <c r="D59" s="266">
        <f>SUM(D49:D57)</f>
        <v>0</v>
      </c>
      <c r="E59" s="266">
        <f>SUM(E49:E57)</f>
        <v>0</v>
      </c>
    </row>
    <row r="60" spans="2:5">
      <c r="B60" s="149" t="s">
        <v>111</v>
      </c>
      <c r="C60" s="81">
        <f>C47-C59</f>
        <v>0</v>
      </c>
      <c r="D60" s="81">
        <f>D47-D59</f>
        <v>0</v>
      </c>
      <c r="E60" s="81">
        <f>E47-E59</f>
        <v>0</v>
      </c>
    </row>
    <row r="61" spans="2:5">
      <c r="B61" s="135" t="str">
        <f>CONCATENATE("",E1-2,"/",E1-1," Budget Authority Amount:")</f>
        <v>2012/2013 Budget Authority Amount:</v>
      </c>
      <c r="C61" s="240">
        <f ca="1">inputOth!B82</f>
        <v>0</v>
      </c>
      <c r="D61" s="240">
        <f ca="1">inputPrYr!D43</f>
        <v>0</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c r="D65" s="46"/>
      <c r="E65" s="46"/>
    </row>
  </sheetData>
  <sheetProtection sheet="1"/>
  <phoneticPr fontId="0" type="noConversion"/>
  <conditionalFormatting sqref="C13">
    <cfRule type="cellIs" dxfId="112" priority="6" stopIfTrue="1" operator="greaterThan">
      <formula>$C$15*0.1</formula>
    </cfRule>
  </conditionalFormatting>
  <conditionalFormatting sqref="D13">
    <cfRule type="cellIs" dxfId="111" priority="7" stopIfTrue="1" operator="greaterThan">
      <formula>$D$15*0.1</formula>
    </cfRule>
  </conditionalFormatting>
  <conditionalFormatting sqref="E13">
    <cfRule type="cellIs" dxfId="110" priority="8" stopIfTrue="1" operator="greaterThan">
      <formula>$E$15*0.1</formula>
    </cfRule>
  </conditionalFormatting>
  <conditionalFormatting sqref="C26">
    <cfRule type="cellIs" dxfId="109" priority="9" stopIfTrue="1" operator="greaterThan">
      <formula>$C$28*0.1</formula>
    </cfRule>
  </conditionalFormatting>
  <conditionalFormatting sqref="D26">
    <cfRule type="cellIs" dxfId="108" priority="10" stopIfTrue="1" operator="greaterThan">
      <formula>$D$28*0.1</formula>
    </cfRule>
  </conditionalFormatting>
  <conditionalFormatting sqref="E26">
    <cfRule type="cellIs" dxfId="107" priority="11" stopIfTrue="1" operator="greaterThan">
      <formula>$E$28*0.1</formula>
    </cfRule>
  </conditionalFormatting>
  <conditionalFormatting sqref="C44">
    <cfRule type="cellIs" dxfId="106" priority="12" stopIfTrue="1" operator="greaterThan">
      <formula>$C$46*0.1</formula>
    </cfRule>
  </conditionalFormatting>
  <conditionalFormatting sqref="D44">
    <cfRule type="cellIs" dxfId="105" priority="13" stopIfTrue="1" operator="greaterThan">
      <formula>$D$46*0.1</formula>
    </cfRule>
  </conditionalFormatting>
  <conditionalFormatting sqref="E44">
    <cfRule type="cellIs" dxfId="104" priority="14" stopIfTrue="1" operator="greaterThan">
      <formula>$E$46*0.1</formula>
    </cfRule>
  </conditionalFormatting>
  <conditionalFormatting sqref="C57">
    <cfRule type="cellIs" dxfId="103" priority="15" stopIfTrue="1" operator="greaterThan">
      <formula>$C$59*0.1</formula>
    </cfRule>
  </conditionalFormatting>
  <conditionalFormatting sqref="D57">
    <cfRule type="cellIs" dxfId="102" priority="16" stopIfTrue="1" operator="greaterThan">
      <formula>$D$59*0.1</formula>
    </cfRule>
  </conditionalFormatting>
  <conditionalFormatting sqref="E57">
    <cfRule type="cellIs" dxfId="101" priority="17" stopIfTrue="1" operator="greaterThan">
      <formula>$E$59*0.1</formula>
    </cfRule>
  </conditionalFormatting>
  <conditionalFormatting sqref="D59">
    <cfRule type="cellIs" dxfId="100" priority="18" stopIfTrue="1" operator="greaterThan">
      <formula>$D$61</formula>
    </cfRule>
  </conditionalFormatting>
  <conditionalFormatting sqref="C59">
    <cfRule type="cellIs" dxfId="99" priority="19" stopIfTrue="1" operator="greaterThan">
      <formula>$C$61</formula>
    </cfRule>
  </conditionalFormatting>
  <conditionalFormatting sqref="C60 E60 C29 E29">
    <cfRule type="cellIs" dxfId="98" priority="20" stopIfTrue="1" operator="lessThan">
      <formula>0</formula>
    </cfRule>
  </conditionalFormatting>
  <conditionalFormatting sqref="C28">
    <cfRule type="cellIs" dxfId="97" priority="22" stopIfTrue="1" operator="greaterThan">
      <formula>$C$30</formula>
    </cfRule>
  </conditionalFormatting>
  <conditionalFormatting sqref="D60">
    <cfRule type="cellIs" dxfId="96" priority="5" stopIfTrue="1" operator="lessThan">
      <formula>0</formula>
    </cfRule>
  </conditionalFormatting>
  <conditionalFormatting sqref="D29">
    <cfRule type="cellIs" dxfId="95" priority="3" stopIfTrue="1" operator="lessThan">
      <formula>0</formula>
    </cfRule>
  </conditionalFormatting>
  <conditionalFormatting sqref="D28">
    <cfRule type="cellIs" dxfId="94" priority="1" stopIfTrue="1" operator="greaterThan">
      <formula>$D$30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workbookViewId="0">
      <selection activeCell="C65" sqref="C65"/>
    </sheetView>
  </sheetViews>
  <sheetFormatPr defaultRowHeight="15.75"/>
  <cols>
    <col min="1" max="1" width="2.44140625" style="32" customWidth="1"/>
    <col min="2" max="2" width="31.109375" style="32" customWidth="1"/>
    <col min="3" max="4" width="15.77734375" style="32" customWidth="1"/>
    <col min="5" max="5" width="16.109375" style="32" customWidth="1"/>
    <col min="6" max="16384" width="8.88671875" style="32"/>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f ca="1">inputPrYr!B44</f>
        <v>0</v>
      </c>
      <c r="C5" s="224" t="str">
        <f>CONCATENATE("Actual for ",E1-2,"")</f>
        <v>Actual for 2012</v>
      </c>
      <c r="D5" s="224" t="str">
        <f>CONCATENATE("Estimate for ",E1-1,"")</f>
        <v>Estimate for 2013</v>
      </c>
      <c r="E5" s="207" t="str">
        <f>CONCATENATE("Year for ",E1,"")</f>
        <v>Year for 2014</v>
      </c>
    </row>
    <row r="6" spans="2:5">
      <c r="B6" s="251" t="s">
        <v>110</v>
      </c>
      <c r="C6" s="66"/>
      <c r="D6" s="227">
        <f>C29</f>
        <v>0</v>
      </c>
      <c r="E6" s="227">
        <f>D29</f>
        <v>0</v>
      </c>
    </row>
    <row r="7" spans="2:5" s="44" customFormat="1">
      <c r="B7" s="255" t="s">
        <v>112</v>
      </c>
      <c r="C7" s="86"/>
      <c r="D7" s="86"/>
      <c r="E7" s="86"/>
    </row>
    <row r="8" spans="2:5">
      <c r="B8" s="272"/>
      <c r="C8" s="66"/>
      <c r="D8" s="66"/>
      <c r="E8" s="66"/>
    </row>
    <row r="9" spans="2:5">
      <c r="B9" s="272"/>
      <c r="C9" s="66"/>
      <c r="D9" s="66"/>
      <c r="E9" s="66"/>
    </row>
    <row r="10" spans="2:5">
      <c r="B10" s="272"/>
      <c r="C10" s="66"/>
      <c r="D10" s="66"/>
      <c r="E10" s="66"/>
    </row>
    <row r="11" spans="2:5">
      <c r="B11" s="272"/>
      <c r="C11" s="66"/>
      <c r="D11" s="66"/>
      <c r="E11" s="66"/>
    </row>
    <row r="12" spans="2:5">
      <c r="B12" s="260" t="s">
        <v>753</v>
      </c>
      <c r="C12" s="66"/>
      <c r="D12" s="66"/>
      <c r="E12" s="66"/>
    </row>
    <row r="13" spans="2:5">
      <c r="B13" s="158" t="s">
        <v>655</v>
      </c>
      <c r="C13" s="66"/>
      <c r="D13" s="257"/>
      <c r="E13" s="257"/>
    </row>
    <row r="14" spans="2:5">
      <c r="B14" s="251" t="s">
        <v>507</v>
      </c>
      <c r="C14" s="298" t="str">
        <f>IF(C15*0.1&lt;C13,"Exceed 10% Rule","")</f>
        <v/>
      </c>
      <c r="D14" s="262" t="str">
        <f>IF(D15*0.1&lt;D13,"Exceed 10% Rule","")</f>
        <v/>
      </c>
      <c r="E14" s="262" t="str">
        <f>IF(E15*0.1&lt;E13,"Exceed 10% Rule","")</f>
        <v/>
      </c>
    </row>
    <row r="15" spans="2:5">
      <c r="B15" s="263" t="s">
        <v>754</v>
      </c>
      <c r="C15" s="266">
        <f>SUM(C8:C13)</f>
        <v>0</v>
      </c>
      <c r="D15" s="266">
        <f>SUM(D8:D13)</f>
        <v>0</v>
      </c>
      <c r="E15" s="266">
        <f>SUM(E8:E13)</f>
        <v>0</v>
      </c>
    </row>
    <row r="16" spans="2:5">
      <c r="B16" s="263" t="s">
        <v>755</v>
      </c>
      <c r="C16" s="266">
        <f>C6+C15</f>
        <v>0</v>
      </c>
      <c r="D16" s="266">
        <f>D6+D15</f>
        <v>0</v>
      </c>
      <c r="E16" s="266">
        <f>E6+E15</f>
        <v>0</v>
      </c>
    </row>
    <row r="17" spans="2:5">
      <c r="B17" s="149" t="s">
        <v>0</v>
      </c>
      <c r="C17" s="227"/>
      <c r="D17" s="227"/>
      <c r="E17" s="227"/>
    </row>
    <row r="18" spans="2:5">
      <c r="B18" s="272"/>
      <c r="C18" s="66"/>
      <c r="D18" s="66"/>
      <c r="E18" s="66"/>
    </row>
    <row r="19" spans="2:5">
      <c r="B19" s="272"/>
      <c r="C19" s="66"/>
      <c r="D19" s="66"/>
      <c r="E19" s="66"/>
    </row>
    <row r="20" spans="2:5">
      <c r="B20" s="272"/>
      <c r="C20" s="66"/>
      <c r="D20" s="66"/>
      <c r="E20" s="66"/>
    </row>
    <row r="21" spans="2:5">
      <c r="B21" s="272"/>
      <c r="C21" s="66"/>
      <c r="D21" s="66"/>
      <c r="E21" s="66"/>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508</v>
      </c>
      <c r="C27" s="298" t="str">
        <f>IF(C28*0.1&lt;C26,"Exceed 10% Rule","")</f>
        <v/>
      </c>
      <c r="D27" s="262" t="str">
        <f>IF(D28*0.1&lt;D26,"Exceed 10% Rule","")</f>
        <v/>
      </c>
      <c r="E27" s="262" t="str">
        <f>IF(E28*0.1&lt;E26,"Exceed 10% Rule","")</f>
        <v/>
      </c>
    </row>
    <row r="28" spans="2:5">
      <c r="B28" s="263" t="s">
        <v>4</v>
      </c>
      <c r="C28" s="266">
        <f>SUM(C18:C26)</f>
        <v>0</v>
      </c>
      <c r="D28" s="266">
        <f>SUM(D18:D26)</f>
        <v>0</v>
      </c>
      <c r="E28" s="266">
        <f>SUM(E18:E26)</f>
        <v>0</v>
      </c>
    </row>
    <row r="29" spans="2:5">
      <c r="B29" s="149" t="s">
        <v>111</v>
      </c>
      <c r="C29" s="81">
        <f>C16-C28</f>
        <v>0</v>
      </c>
      <c r="D29" s="81">
        <f>D16-D28</f>
        <v>0</v>
      </c>
      <c r="E29" s="81">
        <f>E16-E28</f>
        <v>0</v>
      </c>
    </row>
    <row r="30" spans="2:5">
      <c r="B30" s="135" t="str">
        <f>CONCATENATE("",E1-2,"/",E1-1," Budget Authority Amount:")</f>
        <v>2012/2013 Budget Authority Amount:</v>
      </c>
      <c r="C30" s="240">
        <f ca="1">inputOth!B83</f>
        <v>0</v>
      </c>
      <c r="D30" s="240">
        <f ca="1">inputPrYr!D44</f>
        <v>0</v>
      </c>
      <c r="E30" s="378" t="str">
        <f>IF(E29&lt;0,"See Tab E","")</f>
        <v/>
      </c>
    </row>
    <row r="31" spans="2:5">
      <c r="B31" s="135"/>
      <c r="C31" s="276" t="str">
        <f>IF(C28&gt;C30,"See Tab A","")</f>
        <v/>
      </c>
      <c r="D31" s="276" t="str">
        <f>IF(D28&gt;D30,"See Tab C","")</f>
        <v/>
      </c>
      <c r="E31" s="96"/>
    </row>
    <row r="32" spans="2:5">
      <c r="B32" s="135"/>
      <c r="C32" s="276" t="str">
        <f>IF(C29&lt;0,"See Tab B","")</f>
        <v/>
      </c>
      <c r="D32" s="276" t="str">
        <f>IF(D29&lt;0,"See Tab D","")</f>
        <v/>
      </c>
      <c r="E32" s="96"/>
    </row>
    <row r="33" spans="2:5">
      <c r="B33" s="46"/>
      <c r="C33" s="96"/>
      <c r="D33" s="96"/>
      <c r="E33" s="96"/>
    </row>
    <row r="34" spans="2:5">
      <c r="B34" s="51" t="s">
        <v>747</v>
      </c>
      <c r="C34" s="293"/>
      <c r="D34" s="293"/>
      <c r="E34" s="293"/>
    </row>
    <row r="35" spans="2:5">
      <c r="B35" s="46"/>
      <c r="C35" s="710" t="s">
        <v>789</v>
      </c>
      <c r="D35" s="711" t="s">
        <v>790</v>
      </c>
      <c r="E35" s="143" t="s">
        <v>791</v>
      </c>
    </row>
    <row r="36" spans="2:5">
      <c r="B36" s="532">
        <f ca="1">inputPrYr!B45</f>
        <v>0</v>
      </c>
      <c r="C36" s="224" t="str">
        <f>CONCATENATE("Actual for ",$E$1-2,"")</f>
        <v>Actual for 2012</v>
      </c>
      <c r="D36" s="224" t="str">
        <f>CONCATENATE("Estimate for ",$E$1-1,"")</f>
        <v>Estimate for 2013</v>
      </c>
      <c r="E36" s="207" t="str">
        <f>CONCATENATE("Year for ",$E$1,"")</f>
        <v>Year for 2014</v>
      </c>
    </row>
    <row r="37" spans="2:5">
      <c r="B37" s="251" t="s">
        <v>110</v>
      </c>
      <c r="C37" s="66"/>
      <c r="D37" s="227">
        <f>C60</f>
        <v>0</v>
      </c>
      <c r="E37" s="227">
        <f>D60</f>
        <v>0</v>
      </c>
    </row>
    <row r="38" spans="2:5" s="44" customFormat="1">
      <c r="B38" s="255" t="s">
        <v>112</v>
      </c>
      <c r="C38" s="86"/>
      <c r="D38" s="86"/>
      <c r="E38" s="86"/>
    </row>
    <row r="39" spans="2:5">
      <c r="B39" s="272"/>
      <c r="C39" s="66"/>
      <c r="D39" s="66"/>
      <c r="E39" s="66"/>
    </row>
    <row r="40" spans="2:5">
      <c r="B40" s="272"/>
      <c r="C40" s="66"/>
      <c r="D40" s="66"/>
      <c r="E40" s="66"/>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0</v>
      </c>
      <c r="D46" s="266">
        <f>SUM(D39:D44)</f>
        <v>0</v>
      </c>
      <c r="E46" s="266">
        <f>SUM(E39:E44)</f>
        <v>0</v>
      </c>
    </row>
    <row r="47" spans="2:5">
      <c r="B47" s="263" t="s">
        <v>755</v>
      </c>
      <c r="C47" s="266">
        <f>C37+C46</f>
        <v>0</v>
      </c>
      <c r="D47" s="266">
        <f>D37+D46</f>
        <v>0</v>
      </c>
      <c r="E47" s="266">
        <f>E37+E46</f>
        <v>0</v>
      </c>
    </row>
    <row r="48" spans="2:5">
      <c r="B48" s="149" t="s">
        <v>0</v>
      </c>
      <c r="C48" s="227"/>
      <c r="D48" s="227"/>
      <c r="E48" s="227"/>
    </row>
    <row r="49" spans="2:5">
      <c r="B49" s="272"/>
      <c r="C49" s="66"/>
      <c r="D49" s="66"/>
      <c r="E49" s="66"/>
    </row>
    <row r="50" spans="2:5">
      <c r="B50" s="272"/>
      <c r="C50" s="66"/>
      <c r="D50" s="66"/>
      <c r="E50" s="66"/>
    </row>
    <row r="51" spans="2:5">
      <c r="B51" s="272"/>
      <c r="C51" s="66"/>
      <c r="D51" s="66"/>
      <c r="E51" s="66"/>
    </row>
    <row r="52" spans="2:5">
      <c r="B52" s="272"/>
      <c r="C52" s="66"/>
      <c r="D52" s="66"/>
      <c r="E52" s="66"/>
    </row>
    <row r="53" spans="2:5">
      <c r="B53" s="272"/>
      <c r="C53" s="66"/>
      <c r="D53" s="66"/>
      <c r="E53" s="66"/>
    </row>
    <row r="54" spans="2:5">
      <c r="B54" s="272"/>
      <c r="C54" s="66"/>
      <c r="D54" s="66"/>
      <c r="E54" s="66"/>
    </row>
    <row r="55" spans="2:5">
      <c r="B55" s="272"/>
      <c r="C55" s="66"/>
      <c r="D55" s="66"/>
      <c r="E55" s="66"/>
    </row>
    <row r="56" spans="2:5">
      <c r="B56" s="272"/>
      <c r="C56" s="66"/>
      <c r="D56" s="66"/>
      <c r="E56" s="66"/>
    </row>
    <row r="57" spans="2:5">
      <c r="B57" s="273" t="s">
        <v>655</v>
      </c>
      <c r="C57" s="66"/>
      <c r="D57" s="257"/>
      <c r="E57" s="257"/>
    </row>
    <row r="58" spans="2:5">
      <c r="B58" s="273" t="s">
        <v>508</v>
      </c>
      <c r="C58" s="298" t="str">
        <f>IF(C59*0.1&lt;C57,"Exceed 10% Rule","")</f>
        <v/>
      </c>
      <c r="D58" s="262" t="str">
        <f>IF(D59*0.1&lt;D57,"Exceed 10% Rule","")</f>
        <v/>
      </c>
      <c r="E58" s="262" t="str">
        <f>IF(E59*0.1&lt;E57,"Exceed 10% Rule","")</f>
        <v/>
      </c>
    </row>
    <row r="59" spans="2:5">
      <c r="B59" s="263" t="s">
        <v>4</v>
      </c>
      <c r="C59" s="266">
        <f>SUM(C49:C57)</f>
        <v>0</v>
      </c>
      <c r="D59" s="266">
        <f>SUM(D49:D57)</f>
        <v>0</v>
      </c>
      <c r="E59" s="266">
        <f>SUM(E49:E57)</f>
        <v>0</v>
      </c>
    </row>
    <row r="60" spans="2:5">
      <c r="B60" s="149" t="s">
        <v>111</v>
      </c>
      <c r="C60" s="81">
        <f>C47-C59</f>
        <v>0</v>
      </c>
      <c r="D60" s="81">
        <f>D47-D59</f>
        <v>0</v>
      </c>
      <c r="E60" s="81">
        <f>E47-E59</f>
        <v>0</v>
      </c>
    </row>
    <row r="61" spans="2:5">
      <c r="B61" s="135" t="str">
        <f>CONCATENATE("",E1-2,"/",E1-1," Budget Authority Amount:")</f>
        <v>2012/2013 Budget Authority Amount:</v>
      </c>
      <c r="C61" s="240">
        <f ca="1">inputOth!B84</f>
        <v>0</v>
      </c>
      <c r="D61" s="240">
        <f ca="1">inputPrYr!D45</f>
        <v>0</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c r="D65" s="46"/>
      <c r="E65" s="46"/>
    </row>
  </sheetData>
  <sheetProtection sheet="1"/>
  <phoneticPr fontId="0" type="noConversion"/>
  <conditionalFormatting sqref="C13">
    <cfRule type="cellIs" dxfId="93" priority="3" stopIfTrue="1" operator="greaterThan">
      <formula>$C$15*0.1</formula>
    </cfRule>
  </conditionalFormatting>
  <conditionalFormatting sqref="D13">
    <cfRule type="cellIs" dxfId="92" priority="4" stopIfTrue="1" operator="greaterThan">
      <formula>$D$15*0.1</formula>
    </cfRule>
  </conditionalFormatting>
  <conditionalFormatting sqref="E13">
    <cfRule type="cellIs" dxfId="91" priority="5" stopIfTrue="1" operator="greaterThan">
      <formula>$E$15*0.1</formula>
    </cfRule>
  </conditionalFormatting>
  <conditionalFormatting sqref="C26">
    <cfRule type="cellIs" dxfId="90" priority="6" stopIfTrue="1" operator="greaterThan">
      <formula>$C$28*0.1</formula>
    </cfRule>
  </conditionalFormatting>
  <conditionalFormatting sqref="D26">
    <cfRule type="cellIs" dxfId="89" priority="7" stopIfTrue="1" operator="greaterThan">
      <formula>$D$28*0.1</formula>
    </cfRule>
  </conditionalFormatting>
  <conditionalFormatting sqref="E26">
    <cfRule type="cellIs" dxfId="88" priority="8" stopIfTrue="1" operator="greaterThan">
      <formula>$E$28*0.1</formula>
    </cfRule>
  </conditionalFormatting>
  <conditionalFormatting sqref="C44">
    <cfRule type="cellIs" dxfId="87" priority="9" stopIfTrue="1" operator="greaterThan">
      <formula>$C$46*0.1</formula>
    </cfRule>
  </conditionalFormatting>
  <conditionalFormatting sqref="D44">
    <cfRule type="cellIs" dxfId="86" priority="10" stopIfTrue="1" operator="greaterThan">
      <formula>$D$46*0.1</formula>
    </cfRule>
  </conditionalFormatting>
  <conditionalFormatting sqref="E44">
    <cfRule type="cellIs" dxfId="85" priority="11" stopIfTrue="1" operator="greaterThan">
      <formula>$E$46*0.1</formula>
    </cfRule>
  </conditionalFormatting>
  <conditionalFormatting sqref="C57">
    <cfRule type="cellIs" dxfId="84" priority="12" stopIfTrue="1" operator="greaterThan">
      <formula>$C$59*0.1</formula>
    </cfRule>
  </conditionalFormatting>
  <conditionalFormatting sqref="D57">
    <cfRule type="cellIs" dxfId="83" priority="13" stopIfTrue="1" operator="greaterThan">
      <formula>$D$59*0.1</formula>
    </cfRule>
  </conditionalFormatting>
  <conditionalFormatting sqref="E57">
    <cfRule type="cellIs" dxfId="82" priority="14" stopIfTrue="1" operator="greaterThan">
      <formula>$E$59*0.1</formula>
    </cfRule>
  </conditionalFormatting>
  <conditionalFormatting sqref="C59:D59">
    <cfRule type="cellIs" dxfId="81" priority="15" stopIfTrue="1" operator="greaterThan">
      <formula>$D$61</formula>
    </cfRule>
  </conditionalFormatting>
  <conditionalFormatting sqref="C60 E60 C29 E29">
    <cfRule type="cellIs" dxfId="80" priority="16" stopIfTrue="1" operator="lessThan">
      <formula>0</formula>
    </cfRule>
  </conditionalFormatting>
  <conditionalFormatting sqref="D28">
    <cfRule type="cellIs" dxfId="79" priority="17" stopIfTrue="1" operator="greaterThan">
      <formula>$D$30</formula>
    </cfRule>
  </conditionalFormatting>
  <conditionalFormatting sqref="C28">
    <cfRule type="cellIs" dxfId="78" priority="18" stopIfTrue="1" operator="greaterThan">
      <formula>$C$30</formula>
    </cfRule>
  </conditionalFormatting>
  <conditionalFormatting sqref="D60">
    <cfRule type="cellIs" dxfId="77" priority="2" stopIfTrue="1" operator="lessThan">
      <formula>0</formula>
    </cfRule>
  </conditionalFormatting>
  <conditionalFormatting sqref="D29">
    <cfRule type="cellIs" dxfId="76" priority="1"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workbookViewId="0">
      <selection activeCell="D57" sqref="D57"/>
    </sheetView>
  </sheetViews>
  <sheetFormatPr defaultRowHeight="15.75"/>
  <cols>
    <col min="1" max="1" width="2.44140625" style="32" customWidth="1"/>
    <col min="2" max="2" width="31.109375" style="32" customWidth="1"/>
    <col min="3" max="4" width="15.77734375" style="32" customWidth="1"/>
    <col min="5" max="5" width="16.109375" style="32" customWidth="1"/>
    <col min="6" max="16384" width="8.88671875" style="32"/>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f ca="1">inputPrYr!B46</f>
        <v>0</v>
      </c>
      <c r="C5" s="224" t="str">
        <f>CONCATENATE("Actual for ",E1-2,"")</f>
        <v>Actual for 2012</v>
      </c>
      <c r="D5" s="224" t="str">
        <f>CONCATENATE("Estimate for ",E1-1,"")</f>
        <v>Estimate for 2013</v>
      </c>
      <c r="E5" s="207" t="str">
        <f>CONCATENATE("Year for ",E1,"")</f>
        <v>Year for 2014</v>
      </c>
    </row>
    <row r="6" spans="2:5">
      <c r="B6" s="251" t="s">
        <v>110</v>
      </c>
      <c r="C6" s="66"/>
      <c r="D6" s="227">
        <f>C29</f>
        <v>0</v>
      </c>
      <c r="E6" s="227">
        <f>D29</f>
        <v>0</v>
      </c>
    </row>
    <row r="7" spans="2:5" s="44" customFormat="1">
      <c r="B7" s="255" t="s">
        <v>112</v>
      </c>
      <c r="C7" s="86"/>
      <c r="D7" s="86"/>
      <c r="E7" s="86"/>
    </row>
    <row r="8" spans="2:5">
      <c r="B8" s="272"/>
      <c r="C8" s="66"/>
      <c r="D8" s="66"/>
      <c r="E8" s="66"/>
    </row>
    <row r="9" spans="2:5">
      <c r="B9" s="272"/>
      <c r="C9" s="66"/>
      <c r="D9" s="66"/>
      <c r="E9" s="66"/>
    </row>
    <row r="10" spans="2:5">
      <c r="B10" s="272"/>
      <c r="C10" s="66"/>
      <c r="D10" s="66"/>
      <c r="E10" s="66"/>
    </row>
    <row r="11" spans="2:5">
      <c r="B11" s="272"/>
      <c r="C11" s="66"/>
      <c r="D11" s="66"/>
      <c r="E11" s="66"/>
    </row>
    <row r="12" spans="2:5">
      <c r="B12" s="260" t="s">
        <v>753</v>
      </c>
      <c r="C12" s="66"/>
      <c r="D12" s="66"/>
      <c r="E12" s="66"/>
    </row>
    <row r="13" spans="2:5">
      <c r="B13" s="158" t="s">
        <v>655</v>
      </c>
      <c r="C13" s="66"/>
      <c r="D13" s="257"/>
      <c r="E13" s="257"/>
    </row>
    <row r="14" spans="2:5">
      <c r="B14" s="251" t="s">
        <v>507</v>
      </c>
      <c r="C14" s="298" t="str">
        <f>IF(C15*0.1&lt;C13,"Exceed 10% Rule","")</f>
        <v/>
      </c>
      <c r="D14" s="262" t="str">
        <f>IF(D15*0.1&lt;D13,"Exceed 10% Rule","")</f>
        <v/>
      </c>
      <c r="E14" s="262" t="str">
        <f>IF(E15*0.1&lt;E13,"Exceed 10% Rule","")</f>
        <v/>
      </c>
    </row>
    <row r="15" spans="2:5">
      <c r="B15" s="263" t="s">
        <v>754</v>
      </c>
      <c r="C15" s="266">
        <f>SUM(C8:C13)</f>
        <v>0</v>
      </c>
      <c r="D15" s="266">
        <f>SUM(D8:D13)</f>
        <v>0</v>
      </c>
      <c r="E15" s="266">
        <f>SUM(E8:E13)</f>
        <v>0</v>
      </c>
    </row>
    <row r="16" spans="2:5">
      <c r="B16" s="263" t="s">
        <v>755</v>
      </c>
      <c r="C16" s="266">
        <f>C6+C15</f>
        <v>0</v>
      </c>
      <c r="D16" s="266">
        <f>D6+D15</f>
        <v>0</v>
      </c>
      <c r="E16" s="266">
        <f>E6+E15</f>
        <v>0</v>
      </c>
    </row>
    <row r="17" spans="2:5">
      <c r="B17" s="149" t="s">
        <v>0</v>
      </c>
      <c r="C17" s="227"/>
      <c r="D17" s="227"/>
      <c r="E17" s="227"/>
    </row>
    <row r="18" spans="2:5">
      <c r="B18" s="272"/>
      <c r="C18" s="66"/>
      <c r="D18" s="66"/>
      <c r="E18" s="66"/>
    </row>
    <row r="19" spans="2:5">
      <c r="B19" s="272"/>
      <c r="C19" s="66"/>
      <c r="D19" s="66"/>
      <c r="E19" s="66"/>
    </row>
    <row r="20" spans="2:5">
      <c r="B20" s="272"/>
      <c r="C20" s="66"/>
      <c r="D20" s="66"/>
      <c r="E20" s="66"/>
    </row>
    <row r="21" spans="2:5">
      <c r="B21" s="272"/>
      <c r="C21" s="66"/>
      <c r="D21" s="66"/>
      <c r="E21" s="66"/>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508</v>
      </c>
      <c r="C27" s="298" t="str">
        <f>IF(C28*0.1&lt;C26,"Exceed 10% Rule","")</f>
        <v/>
      </c>
      <c r="D27" s="262" t="str">
        <f>IF(D28*0.1&lt;D26,"Exceed 10% Rule","")</f>
        <v/>
      </c>
      <c r="E27" s="262" t="str">
        <f>IF(E28*0.1&lt;E26,"Exceed 10% Rule","")</f>
        <v/>
      </c>
    </row>
    <row r="28" spans="2:5">
      <c r="B28" s="263" t="s">
        <v>4</v>
      </c>
      <c r="C28" s="266">
        <f>SUM(C18:C26)</f>
        <v>0</v>
      </c>
      <c r="D28" s="266">
        <f>SUM(D18:D26)</f>
        <v>0</v>
      </c>
      <c r="E28" s="266">
        <f>SUM(E18:E26)</f>
        <v>0</v>
      </c>
    </row>
    <row r="29" spans="2:5">
      <c r="B29" s="149" t="s">
        <v>111</v>
      </c>
      <c r="C29" s="81">
        <f>C16-C28</f>
        <v>0</v>
      </c>
      <c r="D29" s="81">
        <f>D16-D28</f>
        <v>0</v>
      </c>
      <c r="E29" s="81">
        <f>E16-E28</f>
        <v>0</v>
      </c>
    </row>
    <row r="30" spans="2:5">
      <c r="B30" s="135" t="str">
        <f>CONCATENATE("",E1-2,"/",E1-1," Budget Authority Amount:")</f>
        <v>2012/2013 Budget Authority Amount:</v>
      </c>
      <c r="C30" s="240">
        <f ca="1">inputOth!B85</f>
        <v>0</v>
      </c>
      <c r="D30" s="240">
        <f ca="1">inputPrYr!D46</f>
        <v>0</v>
      </c>
      <c r="E30" s="378" t="str">
        <f>IF(E29&lt;0,"See Tab E","")</f>
        <v/>
      </c>
    </row>
    <row r="31" spans="2:5">
      <c r="B31" s="135"/>
      <c r="C31" s="276" t="str">
        <f>IF(C28&gt;C30,"See Tab A","")</f>
        <v/>
      </c>
      <c r="D31" s="276" t="str">
        <f>IF(D28&gt;D30,"See Tab C","")</f>
        <v/>
      </c>
      <c r="E31" s="96"/>
    </row>
    <row r="32" spans="2:5">
      <c r="B32" s="135"/>
      <c r="C32" s="276" t="str">
        <f>IF(C29&lt;0,"See Tab B","")</f>
        <v/>
      </c>
      <c r="D32" s="276" t="str">
        <f>IF(D29&lt;0,"See Tab D","")</f>
        <v/>
      </c>
      <c r="E32" s="96"/>
    </row>
    <row r="33" spans="2:5">
      <c r="B33" s="46"/>
      <c r="C33" s="96"/>
      <c r="D33" s="96"/>
      <c r="E33" s="96"/>
    </row>
    <row r="34" spans="2:5">
      <c r="B34" s="51" t="s">
        <v>747</v>
      </c>
      <c r="C34" s="293"/>
      <c r="D34" s="293"/>
      <c r="E34" s="293"/>
    </row>
    <row r="35" spans="2:5">
      <c r="B35" s="46"/>
      <c r="C35" s="710" t="s">
        <v>789</v>
      </c>
      <c r="D35" s="711" t="s">
        <v>790</v>
      </c>
      <c r="E35" s="143" t="s">
        <v>791</v>
      </c>
    </row>
    <row r="36" spans="2:5">
      <c r="B36" s="532">
        <f ca="1">inputPrYr!B47</f>
        <v>0</v>
      </c>
      <c r="C36" s="224" t="str">
        <f>CONCATENATE("Actual for ",$E$1-2,"")</f>
        <v>Actual for 2012</v>
      </c>
      <c r="D36" s="224" t="str">
        <f>CONCATENATE("Estimate for ",$E$1-1,"")</f>
        <v>Estimate for 2013</v>
      </c>
      <c r="E36" s="207" t="str">
        <f>CONCATENATE("Year for ",$E$1,"")</f>
        <v>Year for 2014</v>
      </c>
    </row>
    <row r="37" spans="2:5">
      <c r="B37" s="251" t="s">
        <v>110</v>
      </c>
      <c r="C37" s="66"/>
      <c r="D37" s="227">
        <f>C60</f>
        <v>0</v>
      </c>
      <c r="E37" s="227">
        <f>D60</f>
        <v>0</v>
      </c>
    </row>
    <row r="38" spans="2:5" s="44" customFormat="1">
      <c r="B38" s="255" t="s">
        <v>112</v>
      </c>
      <c r="C38" s="86"/>
      <c r="D38" s="86"/>
      <c r="E38" s="86"/>
    </row>
    <row r="39" spans="2:5">
      <c r="B39" s="272"/>
      <c r="C39" s="66"/>
      <c r="D39" s="66"/>
      <c r="E39" s="66"/>
    </row>
    <row r="40" spans="2:5">
      <c r="B40" s="272"/>
      <c r="C40" s="66"/>
      <c r="D40" s="66"/>
      <c r="E40" s="66"/>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0</v>
      </c>
      <c r="D46" s="266">
        <f>SUM(D39:D44)</f>
        <v>0</v>
      </c>
      <c r="E46" s="266">
        <f>SUM(E39:E44)</f>
        <v>0</v>
      </c>
    </row>
    <row r="47" spans="2:5">
      <c r="B47" s="263" t="s">
        <v>755</v>
      </c>
      <c r="C47" s="266">
        <f>C37+C46</f>
        <v>0</v>
      </c>
      <c r="D47" s="266">
        <f>D37+D46</f>
        <v>0</v>
      </c>
      <c r="E47" s="266">
        <f>E37+E46</f>
        <v>0</v>
      </c>
    </row>
    <row r="48" spans="2:5">
      <c r="B48" s="149" t="s">
        <v>0</v>
      </c>
      <c r="C48" s="227"/>
      <c r="D48" s="227"/>
      <c r="E48" s="227"/>
    </row>
    <row r="49" spans="2:5">
      <c r="B49" s="272"/>
      <c r="C49" s="66"/>
      <c r="D49" s="66"/>
      <c r="E49" s="66"/>
    </row>
    <row r="50" spans="2:5">
      <c r="B50" s="272"/>
      <c r="C50" s="66"/>
      <c r="D50" s="66"/>
      <c r="E50" s="66"/>
    </row>
    <row r="51" spans="2:5">
      <c r="B51" s="272"/>
      <c r="C51" s="66"/>
      <c r="D51" s="66"/>
      <c r="E51" s="66"/>
    </row>
    <row r="52" spans="2:5">
      <c r="B52" s="272"/>
      <c r="C52" s="66"/>
      <c r="D52" s="66"/>
      <c r="E52" s="66"/>
    </row>
    <row r="53" spans="2:5">
      <c r="B53" s="272"/>
      <c r="C53" s="66"/>
      <c r="D53" s="66"/>
      <c r="E53" s="66"/>
    </row>
    <row r="54" spans="2:5">
      <c r="B54" s="272"/>
      <c r="C54" s="66"/>
      <c r="D54" s="66"/>
      <c r="E54" s="66"/>
    </row>
    <row r="55" spans="2:5">
      <c r="B55" s="272"/>
      <c r="C55" s="66"/>
      <c r="D55" s="66"/>
      <c r="E55" s="66"/>
    </row>
    <row r="56" spans="2:5">
      <c r="B56" s="272"/>
      <c r="C56" s="66"/>
      <c r="D56" s="66"/>
      <c r="E56" s="66"/>
    </row>
    <row r="57" spans="2:5">
      <c r="B57" s="273" t="s">
        <v>655</v>
      </c>
      <c r="C57" s="66"/>
      <c r="D57" s="257"/>
      <c r="E57" s="257"/>
    </row>
    <row r="58" spans="2:5">
      <c r="B58" s="273" t="s">
        <v>508</v>
      </c>
      <c r="C58" s="298" t="str">
        <f>IF(C59*0.1&lt;C57,"Exceed 10% Rule","")</f>
        <v/>
      </c>
      <c r="D58" s="262" t="str">
        <f>IF(D59*0.1&lt;D57,"Exceed 10% Rule","")</f>
        <v/>
      </c>
      <c r="E58" s="262" t="str">
        <f>IF(E59*0.1&lt;E57,"Exceed 10% Rule","")</f>
        <v/>
      </c>
    </row>
    <row r="59" spans="2:5">
      <c r="B59" s="263" t="s">
        <v>4</v>
      </c>
      <c r="C59" s="266">
        <f>SUM(C49:C57)</f>
        <v>0</v>
      </c>
      <c r="D59" s="266">
        <f>SUM(D49:D57)</f>
        <v>0</v>
      </c>
      <c r="E59" s="266">
        <f>SUM(E49:E57)</f>
        <v>0</v>
      </c>
    </row>
    <row r="60" spans="2:5">
      <c r="B60" s="149" t="s">
        <v>111</v>
      </c>
      <c r="C60" s="81">
        <f>C47-C59</f>
        <v>0</v>
      </c>
      <c r="D60" s="81">
        <f>D47-D59</f>
        <v>0</v>
      </c>
      <c r="E60" s="81">
        <f>E47-E59</f>
        <v>0</v>
      </c>
    </row>
    <row r="61" spans="2:5">
      <c r="B61" s="135" t="str">
        <f>CONCATENATE("",E1-2,"/",E1-1," Budget Authority Amount:")</f>
        <v>2012/2013 Budget Authority Amount:</v>
      </c>
      <c r="C61" s="240">
        <f ca="1">inputOth!B86</f>
        <v>0</v>
      </c>
      <c r="D61" s="240">
        <f ca="1">inputPrYr!D47</f>
        <v>0</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c r="D65" s="46"/>
      <c r="E65" s="46"/>
    </row>
  </sheetData>
  <sheetProtection sheet="1"/>
  <phoneticPr fontId="0" type="noConversion"/>
  <conditionalFormatting sqref="C13">
    <cfRule type="cellIs" dxfId="75" priority="18" stopIfTrue="1" operator="greaterThan">
      <formula>$C$15*0.1</formula>
    </cfRule>
  </conditionalFormatting>
  <conditionalFormatting sqref="D13">
    <cfRule type="cellIs" dxfId="74" priority="17" stopIfTrue="1" operator="greaterThan">
      <formula>$D$15*0.1</formula>
    </cfRule>
  </conditionalFormatting>
  <conditionalFormatting sqref="E13">
    <cfRule type="cellIs" dxfId="73" priority="16" stopIfTrue="1" operator="greaterThan">
      <formula>$E$15*0.1</formula>
    </cfRule>
  </conditionalFormatting>
  <conditionalFormatting sqref="C26">
    <cfRule type="cellIs" dxfId="72" priority="15" stopIfTrue="1" operator="greaterThan">
      <formula>$C$28*0.1</formula>
    </cfRule>
  </conditionalFormatting>
  <conditionalFormatting sqref="D26">
    <cfRule type="cellIs" dxfId="71" priority="14" stopIfTrue="1" operator="greaterThan">
      <formula>$D$28*0.1</formula>
    </cfRule>
  </conditionalFormatting>
  <conditionalFormatting sqref="E26">
    <cfRule type="cellIs" dxfId="70" priority="13" stopIfTrue="1" operator="greaterThan">
      <formula>$E$28*0.1</formula>
    </cfRule>
  </conditionalFormatting>
  <conditionalFormatting sqref="C44">
    <cfRule type="cellIs" dxfId="69" priority="12" stopIfTrue="1" operator="greaterThan">
      <formula>$C$46*0.1</formula>
    </cfRule>
  </conditionalFormatting>
  <conditionalFormatting sqref="D44">
    <cfRule type="cellIs" dxfId="68" priority="11" stopIfTrue="1" operator="greaterThan">
      <formula>$D$46*0.1</formula>
    </cfRule>
  </conditionalFormatting>
  <conditionalFormatting sqref="E44">
    <cfRule type="cellIs" dxfId="67" priority="10" stopIfTrue="1" operator="greaterThan">
      <formula>$E$46*0.1</formula>
    </cfRule>
  </conditionalFormatting>
  <conditionalFormatting sqref="C57">
    <cfRule type="cellIs" dxfId="66" priority="9" stopIfTrue="1" operator="greaterThan">
      <formula>$C$59*0.1</formula>
    </cfRule>
  </conditionalFormatting>
  <conditionalFormatting sqref="D57">
    <cfRule type="cellIs" dxfId="65" priority="8" stopIfTrue="1" operator="greaterThan">
      <formula>$D$59*0.1</formula>
    </cfRule>
  </conditionalFormatting>
  <conditionalFormatting sqref="E57">
    <cfRule type="cellIs" dxfId="64" priority="7" stopIfTrue="1" operator="greaterThan">
      <formula>$E$59*0.1</formula>
    </cfRule>
  </conditionalFormatting>
  <conditionalFormatting sqref="C59:D59">
    <cfRule type="cellIs" dxfId="63" priority="6" stopIfTrue="1" operator="greaterThan">
      <formula>$D$61</formula>
    </cfRule>
  </conditionalFormatting>
  <conditionalFormatting sqref="C60 E60 C29 E29">
    <cfRule type="cellIs" dxfId="62" priority="5" stopIfTrue="1" operator="lessThan">
      <formula>0</formula>
    </cfRule>
  </conditionalFormatting>
  <conditionalFormatting sqref="D28">
    <cfRule type="cellIs" dxfId="61" priority="4" stopIfTrue="1" operator="greaterThan">
      <formula>$D$30</formula>
    </cfRule>
  </conditionalFormatting>
  <conditionalFormatting sqref="C28">
    <cfRule type="cellIs" dxfId="60" priority="3" stopIfTrue="1" operator="greaterThan">
      <formula>$C$30</formula>
    </cfRule>
  </conditionalFormatting>
  <conditionalFormatting sqref="D60">
    <cfRule type="cellIs" dxfId="59" priority="2" stopIfTrue="1" operator="lessThan">
      <formula>0</formula>
    </cfRule>
  </conditionalFormatting>
  <conditionalFormatting sqref="D29">
    <cfRule type="cellIs" dxfId="58"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workbookViewId="0">
      <selection activeCell="C65" sqref="C65"/>
    </sheetView>
  </sheetViews>
  <sheetFormatPr defaultRowHeight="15.75"/>
  <cols>
    <col min="1" max="1" width="2.44140625" style="32" customWidth="1"/>
    <col min="2" max="2" width="31.109375" style="32" customWidth="1"/>
    <col min="3" max="4" width="15.77734375" style="32" customWidth="1"/>
    <col min="5" max="5" width="16.109375" style="32" customWidth="1"/>
    <col min="6" max="16384" width="8.88671875" style="32"/>
  </cols>
  <sheetData>
    <row r="1" spans="2:5">
      <c r="B1" s="196" t="str">
        <f ca="1">(inputPrYr!D2)</f>
        <v>City of Grainfield</v>
      </c>
      <c r="C1" s="46"/>
      <c r="D1" s="46"/>
      <c r="E1" s="247">
        <f ca="1">inputPrYr!C5</f>
        <v>2014</v>
      </c>
    </row>
    <row r="2" spans="2:5">
      <c r="B2" s="46"/>
      <c r="C2" s="46"/>
      <c r="D2" s="46"/>
      <c r="E2" s="168"/>
    </row>
    <row r="3" spans="2:5">
      <c r="B3" s="248" t="s">
        <v>56</v>
      </c>
      <c r="C3" s="288"/>
      <c r="D3" s="288"/>
      <c r="E3" s="288"/>
    </row>
    <row r="4" spans="2:5">
      <c r="B4" s="51" t="s">
        <v>747</v>
      </c>
      <c r="C4" s="710" t="s">
        <v>789</v>
      </c>
      <c r="D4" s="711" t="s">
        <v>790</v>
      </c>
      <c r="E4" s="143" t="s">
        <v>791</v>
      </c>
    </row>
    <row r="5" spans="2:5">
      <c r="B5" s="532">
        <f ca="1">inputPrYr!B48</f>
        <v>0</v>
      </c>
      <c r="C5" s="224" t="str">
        <f>CONCATENATE("Actual for ",E1-2,"")</f>
        <v>Actual for 2012</v>
      </c>
      <c r="D5" s="224" t="str">
        <f>CONCATENATE("Estimate for ",E1-1,"")</f>
        <v>Estimate for 2013</v>
      </c>
      <c r="E5" s="207" t="str">
        <f>CONCATENATE("Year for ",E1,"")</f>
        <v>Year for 2014</v>
      </c>
    </row>
    <row r="6" spans="2:5">
      <c r="B6" s="251" t="s">
        <v>110</v>
      </c>
      <c r="C6" s="66"/>
      <c r="D6" s="227">
        <f>C29</f>
        <v>0</v>
      </c>
      <c r="E6" s="227">
        <f>D29</f>
        <v>0</v>
      </c>
    </row>
    <row r="7" spans="2:5" s="44" customFormat="1">
      <c r="B7" s="255" t="s">
        <v>112</v>
      </c>
      <c r="C7" s="86"/>
      <c r="D7" s="86"/>
      <c r="E7" s="86"/>
    </row>
    <row r="8" spans="2:5">
      <c r="B8" s="272"/>
      <c r="C8" s="66"/>
      <c r="D8" s="66"/>
      <c r="E8" s="66"/>
    </row>
    <row r="9" spans="2:5">
      <c r="B9" s="272"/>
      <c r="C9" s="66"/>
      <c r="D9" s="66"/>
      <c r="E9" s="66"/>
    </row>
    <row r="10" spans="2:5">
      <c r="B10" s="272"/>
      <c r="C10" s="66"/>
      <c r="D10" s="66"/>
      <c r="E10" s="66"/>
    </row>
    <row r="11" spans="2:5">
      <c r="B11" s="272"/>
      <c r="C11" s="66"/>
      <c r="D11" s="66"/>
      <c r="E11" s="66"/>
    </row>
    <row r="12" spans="2:5">
      <c r="B12" s="260" t="s">
        <v>753</v>
      </c>
      <c r="C12" s="66"/>
      <c r="D12" s="66"/>
      <c r="E12" s="66"/>
    </row>
    <row r="13" spans="2:5">
      <c r="B13" s="158" t="s">
        <v>655</v>
      </c>
      <c r="C13" s="66"/>
      <c r="D13" s="257"/>
      <c r="E13" s="257"/>
    </row>
    <row r="14" spans="2:5">
      <c r="B14" s="251" t="s">
        <v>507</v>
      </c>
      <c r="C14" s="298" t="str">
        <f>IF(C15*0.1&lt;C13,"Exceed 10% Rule","")</f>
        <v/>
      </c>
      <c r="D14" s="262" t="str">
        <f>IF(D15*0.1&lt;D13,"Exceed 10% Rule","")</f>
        <v/>
      </c>
      <c r="E14" s="262" t="str">
        <f>IF(E15*0.1&lt;E13,"Exceed 10% Rule","")</f>
        <v/>
      </c>
    </row>
    <row r="15" spans="2:5">
      <c r="B15" s="263" t="s">
        <v>754</v>
      </c>
      <c r="C15" s="266">
        <f>SUM(C8:C13)</f>
        <v>0</v>
      </c>
      <c r="D15" s="266">
        <f>SUM(D8:D13)</f>
        <v>0</v>
      </c>
      <c r="E15" s="266">
        <f>SUM(E8:E13)</f>
        <v>0</v>
      </c>
    </row>
    <row r="16" spans="2:5">
      <c r="B16" s="263" t="s">
        <v>755</v>
      </c>
      <c r="C16" s="266">
        <f>C6+C15</f>
        <v>0</v>
      </c>
      <c r="D16" s="266">
        <f>D6+D15</f>
        <v>0</v>
      </c>
      <c r="E16" s="266">
        <f>E6+E15</f>
        <v>0</v>
      </c>
    </row>
    <row r="17" spans="2:5">
      <c r="B17" s="149" t="s">
        <v>0</v>
      </c>
      <c r="C17" s="227"/>
      <c r="D17" s="227"/>
      <c r="E17" s="227"/>
    </row>
    <row r="18" spans="2:5">
      <c r="B18" s="272"/>
      <c r="C18" s="66"/>
      <c r="D18" s="66"/>
      <c r="E18" s="66"/>
    </row>
    <row r="19" spans="2:5">
      <c r="B19" s="272"/>
      <c r="C19" s="66"/>
      <c r="D19" s="66"/>
      <c r="E19" s="66"/>
    </row>
    <row r="20" spans="2:5">
      <c r="B20" s="272"/>
      <c r="C20" s="66"/>
      <c r="D20" s="66"/>
      <c r="E20" s="66"/>
    </row>
    <row r="21" spans="2:5">
      <c r="B21" s="272"/>
      <c r="C21" s="66"/>
      <c r="D21" s="66"/>
      <c r="E21" s="66"/>
    </row>
    <row r="22" spans="2:5">
      <c r="B22" s="272"/>
      <c r="C22" s="66"/>
      <c r="D22" s="66"/>
      <c r="E22" s="66"/>
    </row>
    <row r="23" spans="2:5">
      <c r="B23" s="272"/>
      <c r="C23" s="66"/>
      <c r="D23" s="66"/>
      <c r="E23" s="66"/>
    </row>
    <row r="24" spans="2:5">
      <c r="B24" s="272"/>
      <c r="C24" s="66"/>
      <c r="D24" s="66"/>
      <c r="E24" s="66"/>
    </row>
    <row r="25" spans="2:5">
      <c r="B25" s="272"/>
      <c r="C25" s="66"/>
      <c r="D25" s="66"/>
      <c r="E25" s="66"/>
    </row>
    <row r="26" spans="2:5">
      <c r="B26" s="273" t="s">
        <v>655</v>
      </c>
      <c r="C26" s="66"/>
      <c r="D26" s="257"/>
      <c r="E26" s="257"/>
    </row>
    <row r="27" spans="2:5">
      <c r="B27" s="273" t="s">
        <v>510</v>
      </c>
      <c r="C27" s="298" t="str">
        <f>IF(C28*0.1&lt;C26,"Exceed 10% Rule","")</f>
        <v/>
      </c>
      <c r="D27" s="262" t="str">
        <f>IF(D28*0.1&lt;D26,"Exceed 10% Rule","")</f>
        <v/>
      </c>
      <c r="E27" s="262" t="str">
        <f>IF(E28*0.1&lt;E26,"Exceed 10% Rule","")</f>
        <v/>
      </c>
    </row>
    <row r="28" spans="2:5">
      <c r="B28" s="263" t="s">
        <v>4</v>
      </c>
      <c r="C28" s="266">
        <f>SUM(C18:C26)</f>
        <v>0</v>
      </c>
      <c r="D28" s="266">
        <f>SUM(D18:D26)</f>
        <v>0</v>
      </c>
      <c r="E28" s="266">
        <f>SUM(E18:E26)</f>
        <v>0</v>
      </c>
    </row>
    <row r="29" spans="2:5">
      <c r="B29" s="149" t="s">
        <v>111</v>
      </c>
      <c r="C29" s="81">
        <f>C16-C28</f>
        <v>0</v>
      </c>
      <c r="D29" s="81">
        <f>D16-D28</f>
        <v>0</v>
      </c>
      <c r="E29" s="81">
        <f>E16-E28</f>
        <v>0</v>
      </c>
    </row>
    <row r="30" spans="2:5">
      <c r="B30" s="135" t="str">
        <f>CONCATENATE("",E1-2,"/",E1-1," Budget Authority Amount:")</f>
        <v>2012/2013 Budget Authority Amount:</v>
      </c>
      <c r="C30" s="240">
        <f ca="1">inputOth!B87</f>
        <v>0</v>
      </c>
      <c r="D30" s="240">
        <f ca="1">inputPrYr!D48</f>
        <v>0</v>
      </c>
      <c r="E30" s="378" t="str">
        <f>IF(E29&lt;0,"See Tab E","")</f>
        <v/>
      </c>
    </row>
    <row r="31" spans="2:5">
      <c r="B31" s="135"/>
      <c r="C31" s="379" t="str">
        <f>IF(C28&gt;C30,"See Tab A","")</f>
        <v/>
      </c>
      <c r="D31" s="276" t="str">
        <f>IF(D28&gt;D30,"See Tab C","")</f>
        <v/>
      </c>
      <c r="E31" s="96"/>
    </row>
    <row r="32" spans="2:5">
      <c r="B32" s="135"/>
      <c r="C32" s="379" t="str">
        <f>IF(C29&lt;0,"See Tab B","")</f>
        <v/>
      </c>
      <c r="D32" s="276" t="str">
        <f>IF(D29&lt;0,"See Tab D","")</f>
        <v/>
      </c>
      <c r="E32" s="96"/>
    </row>
    <row r="33" spans="2:5">
      <c r="B33" s="46"/>
      <c r="C33" s="380"/>
      <c r="D33" s="96"/>
      <c r="E33" s="96"/>
    </row>
    <row r="34" spans="2:5">
      <c r="B34" s="51" t="s">
        <v>747</v>
      </c>
      <c r="C34" s="381"/>
      <c r="D34" s="293"/>
      <c r="E34" s="293"/>
    </row>
    <row r="35" spans="2:5">
      <c r="B35" s="46"/>
      <c r="C35" s="710" t="s">
        <v>789</v>
      </c>
      <c r="D35" s="711" t="s">
        <v>790</v>
      </c>
      <c r="E35" s="143" t="s">
        <v>791</v>
      </c>
    </row>
    <row r="36" spans="2:5">
      <c r="B36" s="532">
        <f ca="1">inputPrYr!B49</f>
        <v>0</v>
      </c>
      <c r="C36" s="224" t="str">
        <f>CONCATENATE("Actual for ",$E$1-2,"")</f>
        <v>Actual for 2012</v>
      </c>
      <c r="D36" s="224" t="str">
        <f>CONCATENATE("Estimate for ",$E$1-1,"")</f>
        <v>Estimate for 2013</v>
      </c>
      <c r="E36" s="207" t="str">
        <f>CONCATENATE("Year for ",$E$1,"")</f>
        <v>Year for 2014</v>
      </c>
    </row>
    <row r="37" spans="2:5">
      <c r="B37" s="251" t="s">
        <v>110</v>
      </c>
      <c r="C37" s="66"/>
      <c r="D37" s="227">
        <f>C60</f>
        <v>0</v>
      </c>
      <c r="E37" s="227">
        <f>D60</f>
        <v>0</v>
      </c>
    </row>
    <row r="38" spans="2:5" s="44" customFormat="1">
      <c r="B38" s="255" t="s">
        <v>112</v>
      </c>
      <c r="C38" s="86"/>
      <c r="D38" s="86"/>
      <c r="E38" s="86"/>
    </row>
    <row r="39" spans="2:5">
      <c r="B39" s="272"/>
      <c r="C39" s="66"/>
      <c r="D39" s="66"/>
      <c r="E39" s="66"/>
    </row>
    <row r="40" spans="2:5">
      <c r="B40" s="272"/>
      <c r="C40" s="66"/>
      <c r="D40" s="66"/>
      <c r="E40" s="66"/>
    </row>
    <row r="41" spans="2:5">
      <c r="B41" s="272"/>
      <c r="C41" s="66"/>
      <c r="D41" s="66"/>
      <c r="E41" s="66"/>
    </row>
    <row r="42" spans="2:5">
      <c r="B42" s="272"/>
      <c r="C42" s="66"/>
      <c r="D42" s="66"/>
      <c r="E42" s="66"/>
    </row>
    <row r="43" spans="2:5">
      <c r="B43" s="260" t="s">
        <v>753</v>
      </c>
      <c r="C43" s="66"/>
      <c r="D43" s="66"/>
      <c r="E43" s="66"/>
    </row>
    <row r="44" spans="2:5">
      <c r="B44" s="158" t="s">
        <v>655</v>
      </c>
      <c r="C44" s="66"/>
      <c r="D44" s="257"/>
      <c r="E44" s="257"/>
    </row>
    <row r="45" spans="2:5">
      <c r="B45" s="251" t="s">
        <v>507</v>
      </c>
      <c r="C45" s="298" t="str">
        <f>IF(C46*0.1&lt;C44,"Exceed 10% Rule","")</f>
        <v/>
      </c>
      <c r="D45" s="262" t="str">
        <f>IF(D46*0.1&lt;D44,"Exceed 10% Rule","")</f>
        <v/>
      </c>
      <c r="E45" s="262" t="str">
        <f>IF(E46*0.1&lt;E44,"Exceed 10% Rule","")</f>
        <v/>
      </c>
    </row>
    <row r="46" spans="2:5">
      <c r="B46" s="263" t="s">
        <v>754</v>
      </c>
      <c r="C46" s="266">
        <f>SUM(C39:C44)</f>
        <v>0</v>
      </c>
      <c r="D46" s="266">
        <f>SUM(D39:D44)</f>
        <v>0</v>
      </c>
      <c r="E46" s="266">
        <f>SUM(E39:E44)</f>
        <v>0</v>
      </c>
    </row>
    <row r="47" spans="2:5">
      <c r="B47" s="263" t="s">
        <v>755</v>
      </c>
      <c r="C47" s="266">
        <f>C37+C46</f>
        <v>0</v>
      </c>
      <c r="D47" s="266">
        <f>D37+D46</f>
        <v>0</v>
      </c>
      <c r="E47" s="266">
        <f>E37+E46</f>
        <v>0</v>
      </c>
    </row>
    <row r="48" spans="2:5">
      <c r="B48" s="149" t="s">
        <v>0</v>
      </c>
      <c r="C48" s="227"/>
      <c r="D48" s="227"/>
      <c r="E48" s="227"/>
    </row>
    <row r="49" spans="2:5">
      <c r="B49" s="272"/>
      <c r="C49" s="66"/>
      <c r="D49" s="66"/>
      <c r="E49" s="66"/>
    </row>
    <row r="50" spans="2:5">
      <c r="B50" s="272"/>
      <c r="C50" s="66"/>
      <c r="D50" s="66"/>
      <c r="E50" s="66"/>
    </row>
    <row r="51" spans="2:5">
      <c r="B51" s="272"/>
      <c r="C51" s="66"/>
      <c r="D51" s="66"/>
      <c r="E51" s="66"/>
    </row>
    <row r="52" spans="2:5">
      <c r="B52" s="272"/>
      <c r="C52" s="66"/>
      <c r="D52" s="66"/>
      <c r="E52" s="66"/>
    </row>
    <row r="53" spans="2:5">
      <c r="B53" s="272"/>
      <c r="C53" s="66"/>
      <c r="D53" s="66"/>
      <c r="E53" s="66"/>
    </row>
    <row r="54" spans="2:5">
      <c r="B54" s="272"/>
      <c r="C54" s="66"/>
      <c r="D54" s="66"/>
      <c r="E54" s="66"/>
    </row>
    <row r="55" spans="2:5">
      <c r="B55" s="272"/>
      <c r="C55" s="66"/>
      <c r="D55" s="66"/>
      <c r="E55" s="66"/>
    </row>
    <row r="56" spans="2:5">
      <c r="B56" s="272"/>
      <c r="C56" s="66"/>
      <c r="D56" s="66"/>
      <c r="E56" s="66"/>
    </row>
    <row r="57" spans="2:5">
      <c r="B57" s="273" t="s">
        <v>655</v>
      </c>
      <c r="C57" s="66"/>
      <c r="D57" s="257"/>
      <c r="E57" s="257"/>
    </row>
    <row r="58" spans="2:5">
      <c r="B58" s="273" t="s">
        <v>508</v>
      </c>
      <c r="C58" s="298" t="str">
        <f>IF(C59*0.1&lt;C57,"Exceed 10% Rule","")</f>
        <v/>
      </c>
      <c r="D58" s="262" t="str">
        <f>IF(D59*0.1&lt;D57,"Exceed 10% Rule","")</f>
        <v/>
      </c>
      <c r="E58" s="262" t="str">
        <f>IF(E59*0.1&lt;E57,"Exceed 10% Rule","")</f>
        <v/>
      </c>
    </row>
    <row r="59" spans="2:5">
      <c r="B59" s="263" t="s">
        <v>4</v>
      </c>
      <c r="C59" s="266">
        <f>SUM(C49:C57)</f>
        <v>0</v>
      </c>
      <c r="D59" s="266">
        <f>SUM(D49:D57)</f>
        <v>0</v>
      </c>
      <c r="E59" s="266">
        <f>SUM(E49:E57)</f>
        <v>0</v>
      </c>
    </row>
    <row r="60" spans="2:5">
      <c r="B60" s="149" t="s">
        <v>111</v>
      </c>
      <c r="C60" s="81">
        <f>C47-C59</f>
        <v>0</v>
      </c>
      <c r="D60" s="81">
        <f>D47-D59</f>
        <v>0</v>
      </c>
      <c r="E60" s="81">
        <f>E47-E59</f>
        <v>0</v>
      </c>
    </row>
    <row r="61" spans="2:5">
      <c r="B61" s="135" t="str">
        <f>CONCATENATE("",E1-2,"/",E1-1," Budget Authority Amount:")</f>
        <v>2012/2013 Budget Authority Amount:</v>
      </c>
      <c r="C61" s="240">
        <f ca="1">inputOth!B88</f>
        <v>0</v>
      </c>
      <c r="D61" s="240">
        <f ca="1">inputPrYr!D49</f>
        <v>0</v>
      </c>
      <c r="E61" s="378" t="str">
        <f>IF(E60&lt;0,"See Tab E","")</f>
        <v/>
      </c>
    </row>
    <row r="62" spans="2:5">
      <c r="B62" s="135"/>
      <c r="C62" s="276" t="str">
        <f>IF(C59&gt;C61,"See Tab A","")</f>
        <v/>
      </c>
      <c r="D62" s="276" t="str">
        <f>IF(D59&gt;D61,"See Tab C","")</f>
        <v/>
      </c>
      <c r="E62" s="46"/>
    </row>
    <row r="63" spans="2:5">
      <c r="B63" s="135"/>
      <c r="C63" s="276" t="str">
        <f>IF(C60&lt;0,"See Tab B","")</f>
        <v/>
      </c>
      <c r="D63" s="276" t="str">
        <f>IF(D60&lt;0,"See Tab D","")</f>
        <v/>
      </c>
      <c r="E63" s="46"/>
    </row>
    <row r="64" spans="2:5">
      <c r="B64" s="46"/>
      <c r="C64" s="46"/>
      <c r="D64" s="46"/>
      <c r="E64" s="46"/>
    </row>
    <row r="65" spans="2:5">
      <c r="B65" s="402" t="s">
        <v>7</v>
      </c>
      <c r="C65" s="281"/>
      <c r="D65" s="46"/>
      <c r="E65" s="46"/>
    </row>
  </sheetData>
  <sheetProtection sheet="1"/>
  <phoneticPr fontId="0" type="noConversion"/>
  <conditionalFormatting sqref="C13">
    <cfRule type="cellIs" dxfId="57" priority="18" stopIfTrue="1" operator="greaterThan">
      <formula>$C$15*0.1</formula>
    </cfRule>
  </conditionalFormatting>
  <conditionalFormatting sqref="D13">
    <cfRule type="cellIs" dxfId="56" priority="17" stopIfTrue="1" operator="greaterThan">
      <formula>$D$15*0.1</formula>
    </cfRule>
  </conditionalFormatting>
  <conditionalFormatting sqref="E13">
    <cfRule type="cellIs" dxfId="55" priority="16" stopIfTrue="1" operator="greaterThan">
      <formula>$E$15*0.1</formula>
    </cfRule>
  </conditionalFormatting>
  <conditionalFormatting sqref="C26">
    <cfRule type="cellIs" dxfId="54" priority="15" stopIfTrue="1" operator="greaterThan">
      <formula>$C$28*0.1</formula>
    </cfRule>
  </conditionalFormatting>
  <conditionalFormatting sqref="D26">
    <cfRule type="cellIs" dxfId="53" priority="14" stopIfTrue="1" operator="greaterThan">
      <formula>$D$28*0.1</formula>
    </cfRule>
  </conditionalFormatting>
  <conditionalFormatting sqref="E26">
    <cfRule type="cellIs" dxfId="52" priority="13" stopIfTrue="1" operator="greaterThan">
      <formula>$E$28*0.1</formula>
    </cfRule>
  </conditionalFormatting>
  <conditionalFormatting sqref="C44">
    <cfRule type="cellIs" dxfId="51" priority="12" stopIfTrue="1" operator="greaterThan">
      <formula>$C$46*0.1</formula>
    </cfRule>
  </conditionalFormatting>
  <conditionalFormatting sqref="D44">
    <cfRule type="cellIs" dxfId="50" priority="11" stopIfTrue="1" operator="greaterThan">
      <formula>$D$46*0.1</formula>
    </cfRule>
  </conditionalFormatting>
  <conditionalFormatting sqref="E44">
    <cfRule type="cellIs" dxfId="49" priority="10" stopIfTrue="1" operator="greaterThan">
      <formula>$E$46*0.1</formula>
    </cfRule>
  </conditionalFormatting>
  <conditionalFormatting sqref="C57">
    <cfRule type="cellIs" dxfId="48" priority="9" stopIfTrue="1" operator="greaterThan">
      <formula>$C$59*0.1</formula>
    </cfRule>
  </conditionalFormatting>
  <conditionalFormatting sqref="D57">
    <cfRule type="cellIs" dxfId="47" priority="8" stopIfTrue="1" operator="greaterThan">
      <formula>$D$59*0.1</formula>
    </cfRule>
  </conditionalFormatting>
  <conditionalFormatting sqref="E57">
    <cfRule type="cellIs" dxfId="46" priority="7" stopIfTrue="1" operator="greaterThan">
      <formula>$E$59*0.1</formula>
    </cfRule>
  </conditionalFormatting>
  <conditionalFormatting sqref="C59:D59">
    <cfRule type="cellIs" dxfId="45" priority="6" stopIfTrue="1" operator="greaterThan">
      <formula>$D$61</formula>
    </cfRule>
  </conditionalFormatting>
  <conditionalFormatting sqref="C60 E60 C29 E29">
    <cfRule type="cellIs" dxfId="44" priority="5" stopIfTrue="1" operator="lessThan">
      <formula>0</formula>
    </cfRule>
  </conditionalFormatting>
  <conditionalFormatting sqref="D28">
    <cfRule type="cellIs" dxfId="43" priority="4" stopIfTrue="1" operator="greaterThan">
      <formula>$D$30</formula>
    </cfRule>
  </conditionalFormatting>
  <conditionalFormatting sqref="C28">
    <cfRule type="cellIs" dxfId="42" priority="3" stopIfTrue="1" operator="greaterThan">
      <formula>$C$30</formula>
    </cfRule>
  </conditionalFormatting>
  <conditionalFormatting sqref="D60">
    <cfRule type="cellIs" dxfId="41" priority="2" stopIfTrue="1" operator="lessThan">
      <formula>0</formula>
    </cfRule>
  </conditionalFormatting>
  <conditionalFormatting sqref="D29">
    <cfRule type="cellIs" dxfId="40" priority="1" stopIfTrue="1" operator="lessThan">
      <formula>0</formula>
    </cfRule>
  </conditionalFormatting>
  <pageMargins left="0.7" right="0.7" top="0.75" bottom="0.75" header="0.3" footer="0.3"/>
  <pageSetup scale="72" orientation="portrait" blackAndWhite="1"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topLeftCell="A28" workbookViewId="0">
      <selection activeCell="F19" sqref="F19"/>
    </sheetView>
  </sheetViews>
  <sheetFormatPr defaultRowHeight="15"/>
  <cols>
    <col min="1" max="1" width="2.44140625" style="105" customWidth="1"/>
    <col min="2" max="2" width="31.109375" style="105" customWidth="1"/>
    <col min="3" max="4" width="15.77734375" style="105" customWidth="1"/>
    <col min="5" max="5" width="16.33203125" style="105" customWidth="1"/>
    <col min="6" max="16384" width="8.88671875" style="105"/>
  </cols>
  <sheetData>
    <row r="1" spans="2:5" ht="15.75">
      <c r="B1" s="196" t="str">
        <f ca="1">(inputPrYr!D2)</f>
        <v>City of Grainfield</v>
      </c>
      <c r="C1" s="46"/>
      <c r="D1" s="46"/>
      <c r="E1" s="218">
        <f ca="1">inputPrYr!$C$5</f>
        <v>2014</v>
      </c>
    </row>
    <row r="2" spans="2:5" ht="15.75">
      <c r="B2" s="46"/>
      <c r="C2" s="46"/>
      <c r="D2" s="46"/>
      <c r="E2" s="168"/>
    </row>
    <row r="3" spans="2:5" ht="15.75">
      <c r="B3" s="248" t="s">
        <v>56</v>
      </c>
      <c r="C3" s="295"/>
      <c r="D3" s="295"/>
      <c r="E3" s="296"/>
    </row>
    <row r="4" spans="2:5" ht="15.75">
      <c r="B4" s="51" t="s">
        <v>747</v>
      </c>
      <c r="C4" s="710" t="s">
        <v>789</v>
      </c>
      <c r="D4" s="711" t="s">
        <v>790</v>
      </c>
      <c r="E4" s="143" t="s">
        <v>791</v>
      </c>
    </row>
    <row r="5" spans="2:5" ht="15.75">
      <c r="B5" s="532">
        <f ca="1">(inputPrYr!B51)</f>
        <v>0</v>
      </c>
      <c r="C5" s="224" t="str">
        <f>CONCATENATE("Actual for ",E1-2,"")</f>
        <v>Actual for 2012</v>
      </c>
      <c r="D5" s="224" t="str">
        <f>CONCATENATE("Estimate for ",E1-1,"")</f>
        <v>Estimate for 2013</v>
      </c>
      <c r="E5" s="207" t="str">
        <f>CONCATENATE("Year for ",E1,"")</f>
        <v>Year for 2014</v>
      </c>
    </row>
    <row r="6" spans="2:5" ht="15.75">
      <c r="B6" s="149" t="s">
        <v>110</v>
      </c>
      <c r="C6" s="256"/>
      <c r="D6" s="254">
        <f>C48</f>
        <v>0</v>
      </c>
      <c r="E6" s="227">
        <f>D48</f>
        <v>0</v>
      </c>
    </row>
    <row r="7" spans="2:5" ht="15.75">
      <c r="B7" s="284" t="s">
        <v>112</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753</v>
      </c>
      <c r="C16" s="256"/>
      <c r="D16" s="256"/>
      <c r="E16" s="259"/>
    </row>
    <row r="17" spans="2:5" ht="15.75">
      <c r="B17" s="158" t="s">
        <v>655</v>
      </c>
      <c r="C17" s="256"/>
      <c r="D17" s="256"/>
      <c r="E17" s="259"/>
    </row>
    <row r="18" spans="2:5" ht="15.75">
      <c r="B18" s="251" t="s">
        <v>507</v>
      </c>
      <c r="C18" s="261" t="str">
        <f>IF(C19*0.1&lt;C17,"Exceed 10% Rule","")</f>
        <v/>
      </c>
      <c r="D18" s="261" t="str">
        <f>IF(D19*0.1&lt;D17,"Exceed 10% Rule","")</f>
        <v/>
      </c>
      <c r="E18" s="298" t="str">
        <f>IF(E19*0.1&lt;E17,"Exceed 10% Rule","")</f>
        <v/>
      </c>
    </row>
    <row r="19" spans="2:5" ht="15.75">
      <c r="B19" s="263" t="s">
        <v>754</v>
      </c>
      <c r="C19" s="265">
        <f>SUM(C8:C17)</f>
        <v>0</v>
      </c>
      <c r="D19" s="265">
        <f>SUM(D8:D17)</f>
        <v>0</v>
      </c>
      <c r="E19" s="266">
        <f>SUM(E8:E17)</f>
        <v>0</v>
      </c>
    </row>
    <row r="20" spans="2:5" ht="15.75">
      <c r="B20" s="263" t="s">
        <v>755</v>
      </c>
      <c r="C20" s="265">
        <f>C6+C19</f>
        <v>0</v>
      </c>
      <c r="D20" s="265">
        <f>D6+D19</f>
        <v>0</v>
      </c>
      <c r="E20" s="266">
        <f>E6+E19</f>
        <v>0</v>
      </c>
    </row>
    <row r="21" spans="2:5" ht="15.75">
      <c r="B21" s="149" t="s">
        <v>0</v>
      </c>
      <c r="C21" s="158"/>
      <c r="D21" s="158"/>
      <c r="E21" s="86"/>
    </row>
    <row r="22" spans="2:5" ht="15.75">
      <c r="B22" s="272" t="s">
        <v>159</v>
      </c>
      <c r="C22" s="256"/>
      <c r="D22" s="256"/>
      <c r="E22" s="259"/>
    </row>
    <row r="23" spans="2:5" ht="15.75">
      <c r="B23" s="272" t="s">
        <v>664</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655</v>
      </c>
      <c r="C45" s="256"/>
      <c r="D45" s="256"/>
      <c r="E45" s="259"/>
    </row>
    <row r="46" spans="2:5" ht="15.75">
      <c r="B46" s="273" t="s">
        <v>508</v>
      </c>
      <c r="C46" s="261" t="str">
        <f>IF(C47*0.1&lt;C45,"Exceed 10% Rule","")</f>
        <v/>
      </c>
      <c r="D46" s="261" t="str">
        <f>IF(D47*0.1&lt;D45,"Exceed 10% Rule","")</f>
        <v/>
      </c>
      <c r="E46" s="298" t="str">
        <f>IF(E47*0.1&lt;E45,"Exceed 10% Rule","")</f>
        <v/>
      </c>
    </row>
    <row r="47" spans="2:5" ht="15.75">
      <c r="B47" s="263" t="s">
        <v>4</v>
      </c>
      <c r="C47" s="265">
        <f>SUM(C22:C45)</f>
        <v>0</v>
      </c>
      <c r="D47" s="265">
        <f>SUM(D22:D45)</f>
        <v>0</v>
      </c>
      <c r="E47" s="266">
        <f>SUM(E22:E45)</f>
        <v>0</v>
      </c>
    </row>
    <row r="48" spans="2:5" ht="15.75">
      <c r="B48" s="149" t="s">
        <v>111</v>
      </c>
      <c r="C48" s="269">
        <f>C20-C47</f>
        <v>0</v>
      </c>
      <c r="D48" s="269">
        <f>D20-D47</f>
        <v>0</v>
      </c>
      <c r="E48" s="81">
        <f>E20-E47</f>
        <v>0</v>
      </c>
    </row>
    <row r="49" spans="2:5" ht="15.75">
      <c r="B49" s="135" t="str">
        <f>CONCATENATE("",E1-2," Budget Authority Limited Amount:")</f>
        <v>2012 Budget Authority Limited Amount:</v>
      </c>
      <c r="C49" s="240">
        <f ca="1">inputOth!B89</f>
        <v>0</v>
      </c>
      <c r="D49" s="240">
        <f ca="1">inputPrYr!D51</f>
        <v>0</v>
      </c>
      <c r="E49" s="378" t="str">
        <f>IF(E48&lt;0,"See Tab E","")</f>
        <v/>
      </c>
    </row>
    <row r="50" spans="2:5" ht="15.75">
      <c r="B50" s="135"/>
      <c r="C50" s="276" t="str">
        <f>IF(C47&gt;C49,"See Tab A","")</f>
        <v/>
      </c>
      <c r="D50" s="276" t="str">
        <f>IF(D47&gt;D49,"See Tab C","")</f>
        <v/>
      </c>
      <c r="E50" s="67"/>
    </row>
    <row r="51" spans="2:5" ht="15.75">
      <c r="B51" s="135"/>
      <c r="C51" s="276" t="str">
        <f>IF(C48&lt;0,"See Tab B","")</f>
        <v/>
      </c>
      <c r="D51" s="276" t="str">
        <f>IF(D48&lt;0,"See Tab D","")</f>
        <v/>
      </c>
      <c r="E51" s="67"/>
    </row>
    <row r="52" spans="2:5">
      <c r="B52" s="67"/>
      <c r="C52" s="67"/>
      <c r="D52" s="67"/>
      <c r="E52" s="67"/>
    </row>
    <row r="53" spans="2:5" ht="15.75">
      <c r="B53" s="402" t="s">
        <v>7</v>
      </c>
      <c r="C53" s="281"/>
      <c r="D53" s="67"/>
      <c r="E53" s="67"/>
    </row>
  </sheetData>
  <sheetProtection sheet="1"/>
  <phoneticPr fontId="9" type="noConversion"/>
  <conditionalFormatting sqref="E17">
    <cfRule type="cellIs" dxfId="39" priority="4" stopIfTrue="1" operator="greaterThan">
      <formula>$E$19*0.1</formula>
    </cfRule>
  </conditionalFormatting>
  <conditionalFormatting sqref="E45">
    <cfRule type="cellIs" dxfId="38" priority="5" stopIfTrue="1" operator="greaterThan">
      <formula>$E$47*0.1</formula>
    </cfRule>
  </conditionalFormatting>
  <conditionalFormatting sqref="C45">
    <cfRule type="cellIs" dxfId="37" priority="6" stopIfTrue="1" operator="greaterThan">
      <formula>$C$47*0.1</formula>
    </cfRule>
  </conditionalFormatting>
  <conditionalFormatting sqref="D45">
    <cfRule type="cellIs" dxfId="36" priority="7" stopIfTrue="1" operator="greaterThan">
      <formula>$D$47*0.1</formula>
    </cfRule>
  </conditionalFormatting>
  <conditionalFormatting sqref="D47">
    <cfRule type="cellIs" dxfId="35" priority="8" stopIfTrue="1" operator="greaterThan">
      <formula>$D$49</formula>
    </cfRule>
  </conditionalFormatting>
  <conditionalFormatting sqref="C47">
    <cfRule type="cellIs" dxfId="34" priority="9" stopIfTrue="1" operator="greaterThan">
      <formula>$C$49</formula>
    </cfRule>
  </conditionalFormatting>
  <conditionalFormatting sqref="C48 E48">
    <cfRule type="cellIs" dxfId="33" priority="10" stopIfTrue="1" operator="lessThan">
      <formula>0</formula>
    </cfRule>
  </conditionalFormatting>
  <conditionalFormatting sqref="D48">
    <cfRule type="cellIs" dxfId="32" priority="3" stopIfTrue="1" operator="lessThan">
      <formula>0</formula>
    </cfRule>
  </conditionalFormatting>
  <conditionalFormatting sqref="D17">
    <cfRule type="cellIs" dxfId="31" priority="2" stopIfTrue="1" operator="greaterThan">
      <formula>$D$19*0.1</formula>
    </cfRule>
  </conditionalFormatting>
  <conditionalFormatting sqref="C17">
    <cfRule type="cellIs" dxfId="30" priority="1" stopIfTrue="1" operator="greaterThan">
      <formula>$C$19*0.1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topLeftCell="A52" workbookViewId="0">
      <selection activeCell="B61" sqref="B61"/>
    </sheetView>
  </sheetViews>
  <sheetFormatPr defaultRowHeight="15"/>
  <cols>
    <col min="1" max="1" width="15.77734375" style="105" customWidth="1"/>
    <col min="2" max="2" width="20.77734375" style="105" customWidth="1"/>
    <col min="3" max="3" width="9.77734375" style="105" customWidth="1"/>
    <col min="4" max="4" width="15.109375" style="105" customWidth="1"/>
    <col min="5" max="5" width="15.77734375" style="105" customWidth="1"/>
    <col min="6" max="16384" width="8.88671875" style="105"/>
  </cols>
  <sheetData>
    <row r="1" spans="1:5" ht="15.75">
      <c r="A1" s="173" t="str">
        <f ca="1">inputPrYr!$D$2</f>
        <v>City of Grainfield</v>
      </c>
      <c r="B1" s="67"/>
      <c r="C1" s="67"/>
      <c r="D1" s="67"/>
      <c r="E1" s="172">
        <f ca="1">inputPrYr!C5</f>
        <v>2014</v>
      </c>
    </row>
    <row r="2" spans="1:5">
      <c r="A2" s="67"/>
      <c r="B2" s="67"/>
      <c r="C2" s="67"/>
      <c r="D2" s="67"/>
      <c r="E2" s="67"/>
    </row>
    <row r="3" spans="1:5" ht="16.5">
      <c r="A3" s="742" t="s">
        <v>214</v>
      </c>
      <c r="B3" s="743"/>
      <c r="C3" s="743"/>
      <c r="D3" s="743"/>
      <c r="E3" s="743"/>
    </row>
    <row r="4" spans="1:5">
      <c r="A4" s="67"/>
      <c r="B4" s="67"/>
      <c r="C4" s="67"/>
      <c r="D4" s="67"/>
      <c r="E4" s="67"/>
    </row>
    <row r="5" spans="1:5">
      <c r="A5" s="67"/>
      <c r="B5" s="67"/>
      <c r="C5" s="67"/>
      <c r="D5" s="67"/>
      <c r="E5" s="67"/>
    </row>
    <row r="6" spans="1:5" ht="15.75">
      <c r="A6" s="58" t="str">
        <f>CONCATENATE("From the County Clerks ",E1," Budget Information:")</f>
        <v>From the County Clerks 2014 Budget Information:</v>
      </c>
      <c r="B6" s="59"/>
      <c r="C6" s="46"/>
      <c r="D6" s="46"/>
      <c r="E6" s="96"/>
    </row>
    <row r="7" spans="1:5" ht="15.75">
      <c r="A7" s="106" t="str">
        <f>CONCATENATE("Total Assessed Valuation for ",E1-1,"")</f>
        <v>Total Assessed Valuation for 2013</v>
      </c>
      <c r="B7" s="71"/>
      <c r="C7" s="71"/>
      <c r="D7" s="71"/>
      <c r="E7" s="66">
        <v>1507063</v>
      </c>
    </row>
    <row r="8" spans="1:5" ht="15.75">
      <c r="A8" s="106" t="str">
        <f>CONCATENATE("New Improvements for ",E1-1,"")</f>
        <v>New Improvements for 2013</v>
      </c>
      <c r="B8" s="71"/>
      <c r="C8" s="71"/>
      <c r="D8" s="71"/>
      <c r="E8" s="107">
        <v>9524</v>
      </c>
    </row>
    <row r="9" spans="1:5" ht="15.75">
      <c r="A9" s="106" t="str">
        <f>CONCATENATE("Personal Property excluding oil, gas, mobile homes - ",E1-1,"")</f>
        <v>Personal Property excluding oil, gas, mobile homes - 2013</v>
      </c>
      <c r="B9" s="71"/>
      <c r="C9" s="71"/>
      <c r="D9" s="71"/>
      <c r="E9" s="107">
        <v>105672</v>
      </c>
    </row>
    <row r="10" spans="1:5" ht="15.75">
      <c r="A10" s="108" t="s">
        <v>145</v>
      </c>
      <c r="B10" s="71"/>
      <c r="C10" s="71"/>
      <c r="D10" s="71"/>
      <c r="E10" s="86"/>
    </row>
    <row r="11" spans="1:5" ht="15.75">
      <c r="A11" s="106" t="s">
        <v>103</v>
      </c>
      <c r="B11" s="71"/>
      <c r="C11" s="71"/>
      <c r="D11" s="71"/>
      <c r="E11" s="107"/>
    </row>
    <row r="12" spans="1:5" ht="15.75">
      <c r="A12" s="106" t="s">
        <v>104</v>
      </c>
      <c r="B12" s="71"/>
      <c r="C12" s="71"/>
      <c r="D12" s="71"/>
      <c r="E12" s="107"/>
    </row>
    <row r="13" spans="1:5" ht="15.75">
      <c r="A13" s="106" t="s">
        <v>105</v>
      </c>
      <c r="B13" s="71"/>
      <c r="C13" s="71"/>
      <c r="D13" s="71"/>
      <c r="E13" s="107"/>
    </row>
    <row r="14" spans="1:5" ht="15.75">
      <c r="A14" s="106" t="str">
        <f>CONCATENATE("Property that has changed in use for ",E1-1,"")</f>
        <v>Property that has changed in use for 2013</v>
      </c>
      <c r="B14" s="71"/>
      <c r="C14" s="71"/>
      <c r="D14" s="71"/>
      <c r="E14" s="107"/>
    </row>
    <row r="15" spans="1:5" ht="15.75">
      <c r="A15" s="106" t="str">
        <f>CONCATENATE("Personal Property  excluding oil, gas, mobile homes- ",E1-2,"")</f>
        <v>Personal Property  excluding oil, gas, mobile homes- 2012</v>
      </c>
      <c r="B15" s="71"/>
      <c r="C15" s="71"/>
      <c r="D15" s="71"/>
      <c r="E15" s="107">
        <v>85361</v>
      </c>
    </row>
    <row r="16" spans="1:5" ht="15.75">
      <c r="A16" s="106" t="str">
        <f>CONCATENATE("Gross earnings (intangible) tax estimate for ",E1,"")</f>
        <v>Gross earnings (intangible) tax estimate for 2014</v>
      </c>
      <c r="B16" s="71"/>
      <c r="C16" s="71"/>
      <c r="D16" s="92"/>
      <c r="E16" s="66">
        <v>5073</v>
      </c>
    </row>
    <row r="17" spans="1:5" ht="15.75">
      <c r="A17" s="106" t="s">
        <v>146</v>
      </c>
      <c r="B17" s="71"/>
      <c r="C17" s="71"/>
      <c r="D17" s="71"/>
      <c r="E17" s="102"/>
    </row>
    <row r="18" spans="1:5" ht="15.75">
      <c r="A18" s="74"/>
      <c r="B18" s="75"/>
      <c r="C18" s="75"/>
      <c r="D18" s="75"/>
      <c r="E18" s="83"/>
    </row>
    <row r="19" spans="1:5" ht="15.75">
      <c r="A19" s="74" t="str">
        <f>CONCATENATE("Actual Tax Rates for the ",E1-1," Budget:")</f>
        <v>Actual Tax Rates for the 2013 Budget:</v>
      </c>
      <c r="B19" s="75"/>
      <c r="C19" s="75"/>
      <c r="D19" s="75"/>
      <c r="E19" s="83"/>
    </row>
    <row r="20" spans="1:5" ht="15.75">
      <c r="A20" s="751" t="s">
        <v>733</v>
      </c>
      <c r="B20" s="752"/>
      <c r="C20" s="67"/>
      <c r="D20" s="109" t="s">
        <v>28</v>
      </c>
      <c r="E20" s="83"/>
    </row>
    <row r="21" spans="1:5" ht="15.75">
      <c r="A21" s="69" t="s">
        <v>717</v>
      </c>
      <c r="B21" s="70"/>
      <c r="C21" s="75"/>
      <c r="D21" s="110">
        <v>29.946000000000002</v>
      </c>
      <c r="E21" s="83"/>
    </row>
    <row r="22" spans="1:5" ht="15.75">
      <c r="A22" s="106" t="s">
        <v>688</v>
      </c>
      <c r="B22" s="71"/>
      <c r="C22" s="75"/>
      <c r="D22" s="111"/>
      <c r="E22" s="83"/>
    </row>
    <row r="23" spans="1:5" ht="15.75">
      <c r="A23" s="106" t="str">
        <f ca="1">IF(inputPrYr!B19&gt;" ",(inputPrYr!B19)," ")</f>
        <v>Library</v>
      </c>
      <c r="B23" s="71"/>
      <c r="C23" s="75"/>
      <c r="D23" s="111">
        <v>2.536</v>
      </c>
      <c r="E23" s="83"/>
    </row>
    <row r="24" spans="1:5" ht="15.75">
      <c r="A24" s="106" t="str">
        <f ca="1">IF(inputPrYr!B21&gt;" ",(inputPrYr!B21)," ")</f>
        <v xml:space="preserve"> </v>
      </c>
      <c r="B24" s="71"/>
      <c r="C24" s="75"/>
      <c r="D24" s="111"/>
      <c r="E24" s="83"/>
    </row>
    <row r="25" spans="1:5" ht="15.75">
      <c r="A25" s="106" t="str">
        <f ca="1">IF(inputPrYr!B22&gt;" ",(inputPrYr!B22)," ")</f>
        <v xml:space="preserve"> </v>
      </c>
      <c r="B25" s="71"/>
      <c r="C25" s="75"/>
      <c r="D25" s="111"/>
      <c r="E25" s="83"/>
    </row>
    <row r="26" spans="1:5" ht="15.75">
      <c r="A26" s="106" t="str">
        <f ca="1">IF(inputPrYr!B23&gt;" ",(inputPrYr!B23)," ")</f>
        <v xml:space="preserve"> </v>
      </c>
      <c r="B26" s="112"/>
      <c r="C26" s="75"/>
      <c r="D26" s="113"/>
      <c r="E26" s="83"/>
    </row>
    <row r="27" spans="1:5" ht="15.75">
      <c r="A27" s="106" t="str">
        <f ca="1">IF(inputPrYr!B24&gt;" ",(inputPrYr!B24)," ")</f>
        <v xml:space="preserve"> </v>
      </c>
      <c r="B27" s="112"/>
      <c r="C27" s="75"/>
      <c r="D27" s="113"/>
      <c r="E27" s="83"/>
    </row>
    <row r="28" spans="1:5" ht="15.75">
      <c r="A28" s="106" t="str">
        <f ca="1">IF(inputPrYr!B25&gt;" ",(inputPrYr!B25)," ")</f>
        <v xml:space="preserve"> </v>
      </c>
      <c r="B28" s="112"/>
      <c r="C28" s="75"/>
      <c r="D28" s="113"/>
      <c r="E28" s="83"/>
    </row>
    <row r="29" spans="1:5" ht="15.75">
      <c r="A29" s="106" t="str">
        <f ca="1">IF(inputPrYr!B26&gt;" ",(inputPrYr!B26)," ")</f>
        <v xml:space="preserve"> </v>
      </c>
      <c r="B29" s="112"/>
      <c r="C29" s="75"/>
      <c r="D29" s="113"/>
      <c r="E29" s="83"/>
    </row>
    <row r="30" spans="1:5" ht="15.75">
      <c r="A30" s="106" t="str">
        <f ca="1">IF(inputPrYr!B27&gt;" ",(inputPrYr!B27)," ")</f>
        <v xml:space="preserve"> </v>
      </c>
      <c r="B30" s="112"/>
      <c r="C30" s="75"/>
      <c r="D30" s="113"/>
      <c r="E30" s="83"/>
    </row>
    <row r="31" spans="1:5" ht="15.75">
      <c r="A31" s="106" t="str">
        <f ca="1">IF(inputPrYr!B28&gt;" ",(inputPrYr!B28)," ")</f>
        <v xml:space="preserve"> </v>
      </c>
      <c r="B31" s="112"/>
      <c r="C31" s="75"/>
      <c r="D31" s="113"/>
      <c r="E31" s="83"/>
    </row>
    <row r="32" spans="1:5" ht="15.75">
      <c r="A32" s="106" t="str">
        <f ca="1">IF(inputPrYr!B29&gt;" ",(inputPrYr!B29)," ")</f>
        <v xml:space="preserve"> </v>
      </c>
      <c r="B32" s="112"/>
      <c r="C32" s="75"/>
      <c r="D32" s="113"/>
      <c r="E32" s="83"/>
    </row>
    <row r="33" spans="1:5" ht="15.75">
      <c r="A33" s="106" t="str">
        <f ca="1">IF(inputPrYr!B30&gt;" ",(inputPrYr!B30)," ")</f>
        <v xml:space="preserve"> </v>
      </c>
      <c r="B33" s="71"/>
      <c r="C33" s="75"/>
      <c r="D33" s="113"/>
      <c r="E33" s="83"/>
    </row>
    <row r="34" spans="1:5" ht="15.75">
      <c r="A34" s="114"/>
      <c r="B34" s="75"/>
      <c r="C34" s="273" t="s">
        <v>719</v>
      </c>
      <c r="D34" s="610">
        <f>SUM(D21:D33)</f>
        <v>32.481999999999999</v>
      </c>
      <c r="E34" s="114"/>
    </row>
    <row r="35" spans="1:5">
      <c r="A35" s="114"/>
      <c r="B35" s="114"/>
      <c r="C35" s="114"/>
      <c r="D35" s="114"/>
      <c r="E35" s="114"/>
    </row>
    <row r="36" spans="1:5" ht="15.75">
      <c r="A36" s="70" t="str">
        <f>CONCATENATE("Final Assessed Valuation from the November 1, ",E1-2," Abstract")</f>
        <v>Final Assessed Valuation from the November 1, 2012 Abstract</v>
      </c>
      <c r="B36" s="115"/>
      <c r="C36" s="115"/>
      <c r="D36" s="115"/>
      <c r="E36" s="102">
        <v>1463795</v>
      </c>
    </row>
    <row r="37" spans="1:5">
      <c r="A37" s="114"/>
      <c r="B37" s="114"/>
      <c r="C37" s="114"/>
      <c r="D37" s="114"/>
      <c r="E37" s="114"/>
    </row>
    <row r="38" spans="1:5" ht="15.75">
      <c r="A38" s="116" t="str">
        <f>CONCATENATE("From the County Treasurer's Budget Information - ",E1," Budget Year Estimates:")</f>
        <v>From the County Treasurer's Budget Information - 2014 Budget Year Estimates:</v>
      </c>
      <c r="B38" s="57"/>
      <c r="C38" s="57"/>
      <c r="D38" s="117"/>
      <c r="E38" s="96"/>
    </row>
    <row r="39" spans="1:5" ht="15.75">
      <c r="A39" s="69" t="s">
        <v>720</v>
      </c>
      <c r="B39" s="70"/>
      <c r="C39" s="70"/>
      <c r="D39" s="118"/>
      <c r="E39" s="66">
        <v>8819.7999999999993</v>
      </c>
    </row>
    <row r="40" spans="1:5" ht="15.75">
      <c r="A40" s="106" t="s">
        <v>721</v>
      </c>
      <c r="B40" s="71"/>
      <c r="C40" s="71"/>
      <c r="D40" s="119"/>
      <c r="E40" s="66">
        <v>450.55</v>
      </c>
    </row>
    <row r="41" spans="1:5" ht="15.75">
      <c r="A41" s="106" t="s">
        <v>147</v>
      </c>
      <c r="B41" s="71"/>
      <c r="C41" s="71"/>
      <c r="D41" s="119"/>
      <c r="E41" s="66">
        <v>86.76</v>
      </c>
    </row>
    <row r="42" spans="1:5" ht="15.75">
      <c r="A42" s="106" t="s">
        <v>148</v>
      </c>
      <c r="B42" s="71"/>
      <c r="C42" s="71"/>
      <c r="D42" s="119"/>
      <c r="E42" s="66"/>
    </row>
    <row r="43" spans="1:5" ht="15.75">
      <c r="A43" s="106" t="s">
        <v>149</v>
      </c>
      <c r="B43" s="71"/>
      <c r="C43" s="71"/>
      <c r="D43" s="119"/>
      <c r="E43" s="66"/>
    </row>
    <row r="44" spans="1:5" ht="15.75">
      <c r="A44" s="46" t="s">
        <v>150</v>
      </c>
      <c r="B44" s="46"/>
      <c r="C44" s="46"/>
      <c r="D44" s="46"/>
      <c r="E44" s="46"/>
    </row>
    <row r="45" spans="1:5" ht="15.75">
      <c r="A45" s="45" t="s">
        <v>741</v>
      </c>
      <c r="B45" s="55"/>
      <c r="C45" s="55"/>
      <c r="D45" s="46"/>
      <c r="E45" s="46"/>
    </row>
    <row r="46" spans="1:5" ht="15.75">
      <c r="A46" s="69" t="str">
        <f>CONCATENATE("Actual Delinquency for ",E1-3," Tax - (rate .01213 = 1.213%, key in 1.2)")</f>
        <v>Actual Delinquency for 2011 Tax - (rate .01213 = 1.213%, key in 1.2)</v>
      </c>
      <c r="B46" s="70"/>
      <c r="C46" s="70"/>
      <c r="D46" s="80"/>
      <c r="E46" s="609">
        <v>0.01</v>
      </c>
    </row>
    <row r="47" spans="1:5" ht="15.75">
      <c r="A47" s="106" t="s">
        <v>598</v>
      </c>
      <c r="B47" s="106"/>
      <c r="C47" s="71"/>
      <c r="D47" s="71"/>
      <c r="E47" s="609">
        <v>0.01</v>
      </c>
    </row>
    <row r="48" spans="1:5" ht="15.75">
      <c r="A48" s="46"/>
      <c r="B48" s="46"/>
      <c r="C48" s="46"/>
      <c r="D48" s="46"/>
      <c r="E48" s="46"/>
    </row>
    <row r="49" spans="1:5" ht="16.5">
      <c r="A49" s="120" t="s">
        <v>645</v>
      </c>
      <c r="B49" s="121"/>
      <c r="C49" s="122"/>
      <c r="D49" s="122"/>
      <c r="E49" s="122"/>
    </row>
    <row r="50" spans="1:5" ht="15.75">
      <c r="A50" s="123" t="str">
        <f>CONCATENATE("",E1," State Distribution for Kansas Gas Tax")</f>
        <v>2014 State Distribution for Kansas Gas Tax</v>
      </c>
      <c r="B50" s="124"/>
      <c r="C50" s="124"/>
      <c r="D50" s="125"/>
      <c r="E50" s="102">
        <v>7190</v>
      </c>
    </row>
    <row r="51" spans="1:5" ht="15.75">
      <c r="A51" s="126" t="str">
        <f>CONCATENATE("",E1," County Transfers for Gas**")</f>
        <v>2014 County Transfers for Gas**</v>
      </c>
      <c r="B51" s="127"/>
      <c r="C51" s="127"/>
      <c r="D51" s="128"/>
      <c r="E51" s="102"/>
    </row>
    <row r="52" spans="1:5" ht="15.75">
      <c r="A52" s="126" t="str">
        <f>CONCATENATE("Adjusted ",E1-1," State Distribution for Kansas Gas Tax")</f>
        <v>Adjusted 2013 State Distribution for Kansas Gas Tax</v>
      </c>
      <c r="B52" s="127"/>
      <c r="C52" s="127"/>
      <c r="D52" s="128"/>
      <c r="E52" s="102">
        <v>6940</v>
      </c>
    </row>
    <row r="53" spans="1:5" ht="15.75">
      <c r="A53" s="126" t="str">
        <f>CONCATENATE("Adjusted ",E1-1," County Transfers for Gas**")</f>
        <v>Adjusted 2013 County Transfers for Gas**</v>
      </c>
      <c r="B53" s="127"/>
      <c r="C53" s="127"/>
      <c r="D53" s="128"/>
      <c r="E53" s="102"/>
    </row>
    <row r="54" spans="1:5">
      <c r="A54" s="753" t="s">
        <v>209</v>
      </c>
      <c r="B54" s="754"/>
      <c r="C54" s="754"/>
      <c r="D54" s="754"/>
      <c r="E54" s="754"/>
    </row>
    <row r="55" spans="1:5">
      <c r="A55" s="129" t="s">
        <v>210</v>
      </c>
      <c r="B55" s="129"/>
      <c r="C55" s="129"/>
      <c r="D55" s="129"/>
      <c r="E55" s="129"/>
    </row>
    <row r="56" spans="1:5">
      <c r="A56" s="67"/>
      <c r="B56" s="67"/>
      <c r="C56" s="67"/>
      <c r="D56" s="67"/>
      <c r="E56" s="67"/>
    </row>
    <row r="57" spans="1:5" ht="16.5">
      <c r="A57" s="755" t="str">
        <f>CONCATENATE("From the ",E1-2," Budget Certificate Page")</f>
        <v>From the 2012 Budget Certificate Page</v>
      </c>
      <c r="B57" s="756"/>
      <c r="C57" s="67"/>
      <c r="D57" s="67"/>
      <c r="E57" s="67"/>
    </row>
    <row r="58" spans="1:5" ht="15.75">
      <c r="A58" s="130"/>
      <c r="B58" s="130" t="str">
        <f>CONCATENATE("",E1-2," Expenditure Amounts")</f>
        <v>2012 Expenditure Amounts</v>
      </c>
      <c r="C58" s="749" t="str">
        <f>CONCATENATE("Note: If the ",E1-2," budget was amended, then the")</f>
        <v>Note: If the 2012 budget was amended, then the</v>
      </c>
      <c r="D58" s="750"/>
      <c r="E58" s="750"/>
    </row>
    <row r="59" spans="1:5" ht="15.75">
      <c r="A59" s="131" t="s">
        <v>650</v>
      </c>
      <c r="B59" s="131" t="s">
        <v>651</v>
      </c>
      <c r="C59" s="132" t="s">
        <v>652</v>
      </c>
      <c r="D59" s="133"/>
      <c r="E59" s="133"/>
    </row>
    <row r="60" spans="1:5" ht="15.75">
      <c r="A60" s="134" t="str">
        <f ca="1">inputPrYr!B17</f>
        <v>General</v>
      </c>
      <c r="B60" s="102">
        <v>125885</v>
      </c>
      <c r="C60" s="132" t="s">
        <v>653</v>
      </c>
      <c r="D60" s="133"/>
      <c r="E60" s="133"/>
    </row>
    <row r="61" spans="1:5" ht="15.75">
      <c r="A61" s="134" t="str">
        <f ca="1">inputPrYr!B18</f>
        <v>Debt Service</v>
      </c>
      <c r="B61" s="102"/>
      <c r="C61" s="132"/>
      <c r="D61" s="133"/>
      <c r="E61" s="133"/>
    </row>
    <row r="62" spans="1:5" ht="15.75">
      <c r="A62" s="134" t="str">
        <f ca="1">inputPrYr!B19</f>
        <v>Library</v>
      </c>
      <c r="B62" s="102">
        <v>3500</v>
      </c>
      <c r="C62" s="67"/>
      <c r="D62" s="67"/>
      <c r="E62" s="67"/>
    </row>
    <row r="63" spans="1:5" ht="15.75">
      <c r="A63" s="134">
        <f ca="1">inputPrYr!B21</f>
        <v>0</v>
      </c>
      <c r="B63" s="102"/>
      <c r="C63" s="67"/>
      <c r="D63" s="67"/>
      <c r="E63" s="67"/>
    </row>
    <row r="64" spans="1:5" ht="15.75">
      <c r="A64" s="134">
        <f ca="1">inputPrYr!B22</f>
        <v>0</v>
      </c>
      <c r="B64" s="102"/>
      <c r="C64" s="67"/>
      <c r="D64" s="67"/>
      <c r="E64" s="67"/>
    </row>
    <row r="65" spans="1:5" ht="15.75">
      <c r="A65" s="134">
        <f ca="1">inputPrYr!B23</f>
        <v>0</v>
      </c>
      <c r="B65" s="102"/>
      <c r="C65" s="67"/>
      <c r="D65" s="67"/>
      <c r="E65" s="67"/>
    </row>
    <row r="66" spans="1:5" ht="15.75">
      <c r="A66" s="134">
        <f ca="1">inputPrYr!B24</f>
        <v>0</v>
      </c>
      <c r="B66" s="102"/>
      <c r="C66" s="67"/>
      <c r="D66" s="67"/>
      <c r="E66" s="67"/>
    </row>
    <row r="67" spans="1:5" ht="15.75">
      <c r="A67" s="134">
        <f ca="1">inputPrYr!B25</f>
        <v>0</v>
      </c>
      <c r="B67" s="102"/>
      <c r="C67" s="67"/>
      <c r="D67" s="67"/>
      <c r="E67" s="67"/>
    </row>
    <row r="68" spans="1:5" ht="15.75">
      <c r="A68" s="134">
        <f ca="1">inputPrYr!B26</f>
        <v>0</v>
      </c>
      <c r="B68" s="102"/>
      <c r="C68" s="67"/>
      <c r="D68" s="67"/>
      <c r="E68" s="67"/>
    </row>
    <row r="69" spans="1:5" ht="15.75">
      <c r="A69" s="134">
        <f ca="1">inputPrYr!B27</f>
        <v>0</v>
      </c>
      <c r="B69" s="102"/>
      <c r="C69" s="67"/>
      <c r="D69" s="67"/>
      <c r="E69" s="67"/>
    </row>
    <row r="70" spans="1:5" ht="15.75">
      <c r="A70" s="134">
        <f ca="1">inputPrYr!B28</f>
        <v>0</v>
      </c>
      <c r="B70" s="102"/>
      <c r="C70" s="67"/>
      <c r="D70" s="67"/>
      <c r="E70" s="67"/>
    </row>
    <row r="71" spans="1:5" ht="15.75">
      <c r="A71" s="134">
        <f ca="1">inputPrYr!B29</f>
        <v>0</v>
      </c>
      <c r="B71" s="102"/>
      <c r="C71" s="67"/>
      <c r="D71" s="67"/>
      <c r="E71" s="67"/>
    </row>
    <row r="72" spans="1:5" ht="15.75">
      <c r="A72" s="134">
        <f ca="1">inputPrYr!B30</f>
        <v>0</v>
      </c>
      <c r="B72" s="102"/>
      <c r="C72" s="67"/>
      <c r="D72" s="67"/>
      <c r="E72" s="67"/>
    </row>
    <row r="73" spans="1:5" ht="15.75">
      <c r="A73" s="134" t="str">
        <f ca="1">inputPrYr!B34</f>
        <v>Special Highway</v>
      </c>
      <c r="B73" s="102">
        <v>13306</v>
      </c>
      <c r="C73" s="67"/>
      <c r="D73" s="67"/>
      <c r="E73" s="67"/>
    </row>
    <row r="74" spans="1:5" ht="15.75">
      <c r="A74" s="134" t="str">
        <f ca="1">inputPrYr!B35</f>
        <v>Water Utility</v>
      </c>
      <c r="B74" s="102">
        <v>74920</v>
      </c>
      <c r="C74" s="67"/>
      <c r="D74" s="67"/>
      <c r="E74" s="67"/>
    </row>
    <row r="75" spans="1:5" ht="15.75">
      <c r="A75" s="134" t="str">
        <f ca="1">inputPrYr!B36</f>
        <v>Fire Protection</v>
      </c>
      <c r="B75" s="102">
        <v>92416</v>
      </c>
      <c r="C75" s="67"/>
      <c r="D75" s="67"/>
      <c r="E75" s="67"/>
    </row>
    <row r="76" spans="1:5" ht="15.75">
      <c r="A76" s="134" t="str">
        <f ca="1">inputPrYr!B37</f>
        <v>Sewer Utility</v>
      </c>
      <c r="B76" s="102">
        <v>36826</v>
      </c>
      <c r="C76" s="67"/>
      <c r="D76" s="67"/>
      <c r="E76" s="67"/>
    </row>
    <row r="77" spans="1:5" ht="15.75">
      <c r="A77" s="134" t="str">
        <f ca="1">inputPrYr!B38</f>
        <v>Park &amp; Recreation</v>
      </c>
      <c r="B77" s="102">
        <v>216</v>
      </c>
      <c r="C77" s="67"/>
      <c r="D77" s="67"/>
      <c r="E77" s="67"/>
    </row>
    <row r="78" spans="1:5" ht="15.75">
      <c r="A78" s="134">
        <f ca="1">inputPrYr!B39</f>
        <v>0</v>
      </c>
      <c r="B78" s="102"/>
      <c r="C78" s="67"/>
      <c r="D78" s="67"/>
      <c r="E78" s="67"/>
    </row>
    <row r="79" spans="1:5" ht="15.75">
      <c r="A79" s="134">
        <f ca="1">inputPrYr!B40</f>
        <v>0</v>
      </c>
      <c r="B79" s="102"/>
      <c r="C79" s="67"/>
      <c r="D79" s="67"/>
      <c r="E79" s="67"/>
    </row>
    <row r="80" spans="1:5" ht="15.75">
      <c r="A80" s="134">
        <f ca="1">inputPrYr!B41</f>
        <v>0</v>
      </c>
      <c r="B80" s="102"/>
      <c r="C80" s="67"/>
      <c r="D80" s="67"/>
      <c r="E80" s="67"/>
    </row>
    <row r="81" spans="1:5" ht="15.75">
      <c r="A81" s="134">
        <f ca="1">inputPrYr!B42</f>
        <v>0</v>
      </c>
      <c r="B81" s="102"/>
      <c r="C81" s="67"/>
      <c r="D81" s="67"/>
      <c r="E81" s="67"/>
    </row>
    <row r="82" spans="1:5" ht="15.75">
      <c r="A82" s="134">
        <f ca="1">inputPrYr!B43</f>
        <v>0</v>
      </c>
      <c r="B82" s="102"/>
      <c r="C82" s="67"/>
      <c r="D82" s="67"/>
      <c r="E82" s="67"/>
    </row>
    <row r="83" spans="1:5" ht="15.75">
      <c r="A83" s="134">
        <f ca="1">inputPrYr!B44</f>
        <v>0</v>
      </c>
      <c r="B83" s="102"/>
      <c r="C83" s="67"/>
      <c r="D83" s="67"/>
      <c r="E83" s="67"/>
    </row>
    <row r="84" spans="1:5" ht="15.75">
      <c r="A84" s="134">
        <f ca="1">inputPrYr!B45</f>
        <v>0</v>
      </c>
      <c r="B84" s="102"/>
      <c r="C84" s="67"/>
      <c r="D84" s="67"/>
      <c r="E84" s="67"/>
    </row>
    <row r="85" spans="1:5" ht="15.75">
      <c r="A85" s="134">
        <f ca="1">inputPrYr!B46</f>
        <v>0</v>
      </c>
      <c r="B85" s="102"/>
      <c r="C85" s="67"/>
      <c r="D85" s="67"/>
      <c r="E85" s="67"/>
    </row>
    <row r="86" spans="1:5" ht="15.75">
      <c r="A86" s="134">
        <f ca="1">inputPrYr!B47</f>
        <v>0</v>
      </c>
      <c r="B86" s="102"/>
      <c r="C86" s="67"/>
      <c r="D86" s="67"/>
      <c r="E86" s="67"/>
    </row>
    <row r="87" spans="1:5" ht="15.75">
      <c r="A87" s="134">
        <f ca="1">inputPrYr!B48</f>
        <v>0</v>
      </c>
      <c r="B87" s="102"/>
      <c r="C87" s="67"/>
      <c r="D87" s="67"/>
      <c r="E87" s="67"/>
    </row>
    <row r="88" spans="1:5" ht="15.75">
      <c r="A88" s="134">
        <f ca="1">inputPrYr!B49</f>
        <v>0</v>
      </c>
      <c r="B88" s="102"/>
      <c r="C88" s="67"/>
      <c r="D88" s="67"/>
      <c r="E88" s="67"/>
    </row>
    <row r="89" spans="1:5" ht="15.75">
      <c r="A89" s="134">
        <f ca="1">inputPrYr!B51</f>
        <v>0</v>
      </c>
      <c r="B89" s="102"/>
      <c r="C89" s="67"/>
      <c r="D89" s="67"/>
      <c r="E89" s="67"/>
    </row>
    <row r="90" spans="1:5" ht="15.75">
      <c r="A90" s="134">
        <f ca="1">inputPrYr!B52</f>
        <v>0</v>
      </c>
      <c r="B90" s="102"/>
      <c r="C90" s="67"/>
      <c r="D90" s="67"/>
      <c r="E90" s="67"/>
    </row>
    <row r="91" spans="1:5" ht="15.75">
      <c r="A91" s="134">
        <f ca="1">inputPrYr!B53</f>
        <v>0</v>
      </c>
      <c r="B91" s="102"/>
      <c r="C91" s="67"/>
      <c r="D91" s="67"/>
      <c r="E91" s="67"/>
    </row>
    <row r="92" spans="1:5" ht="15.75">
      <c r="A92" s="134">
        <f ca="1">inputPrYr!B54</f>
        <v>0</v>
      </c>
      <c r="B92" s="102"/>
      <c r="C92" s="67"/>
      <c r="D92" s="67"/>
      <c r="E92" s="67"/>
    </row>
  </sheetData>
  <sheetProtection sheet="1"/>
  <mergeCells count="5">
    <mergeCell ref="C58:E58"/>
    <mergeCell ref="A20:B20"/>
    <mergeCell ref="A54:E54"/>
    <mergeCell ref="A3:E3"/>
    <mergeCell ref="A57:B57"/>
  </mergeCells>
  <phoneticPr fontId="9" type="noConversion"/>
  <pageMargins left="0.75" right="0.75" top="1" bottom="1" header="0.5" footer="0.5"/>
  <pageSetup scale="45"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workbookViewId="0">
      <selection activeCell="C13" sqref="C13:E13"/>
    </sheetView>
  </sheetViews>
  <sheetFormatPr defaultRowHeight="15"/>
  <cols>
    <col min="1" max="1" width="2.44140625" style="105" customWidth="1"/>
    <col min="2" max="2" width="31.109375" style="105" customWidth="1"/>
    <col min="3" max="4" width="15.77734375" style="105" customWidth="1"/>
    <col min="5" max="5" width="16.21875" style="105" customWidth="1"/>
    <col min="6" max="16384" width="8.88671875" style="105"/>
  </cols>
  <sheetData>
    <row r="1" spans="2:5" ht="15.75">
      <c r="B1" s="196" t="str">
        <f ca="1">(inputPrYr!D2)</f>
        <v>City of Grainfield</v>
      </c>
      <c r="C1" s="46"/>
      <c r="D1" s="46"/>
      <c r="E1" s="218">
        <f ca="1">inputPrYr!$C$5</f>
        <v>2014</v>
      </c>
    </row>
    <row r="2" spans="2:5" ht="15.75">
      <c r="B2" s="46"/>
      <c r="C2" s="46"/>
      <c r="D2" s="46"/>
      <c r="E2" s="168"/>
    </row>
    <row r="3" spans="2:5" ht="15.75">
      <c r="B3" s="248" t="s">
        <v>56</v>
      </c>
      <c r="C3" s="295"/>
      <c r="D3" s="295"/>
      <c r="E3" s="296"/>
    </row>
    <row r="4" spans="2:5" ht="15.75">
      <c r="B4" s="51" t="s">
        <v>747</v>
      </c>
      <c r="C4" s="710" t="s">
        <v>789</v>
      </c>
      <c r="D4" s="711" t="s">
        <v>790</v>
      </c>
      <c r="E4" s="143" t="s">
        <v>791</v>
      </c>
    </row>
    <row r="5" spans="2:5" ht="15.75">
      <c r="B5" s="532">
        <f ca="1">(inputPrYr!B52)</f>
        <v>0</v>
      </c>
      <c r="C5" s="224" t="str">
        <f>CONCATENATE("Actual for ",E1-2,"")</f>
        <v>Actual for 2012</v>
      </c>
      <c r="D5" s="224" t="str">
        <f>CONCATENATE("Estimate for ",E1-1,"")</f>
        <v>Estimate for 2013</v>
      </c>
      <c r="E5" s="207" t="str">
        <f>CONCATENATE("Year for ",E1,"")</f>
        <v>Year for 2014</v>
      </c>
    </row>
    <row r="6" spans="2:5" ht="15.75">
      <c r="B6" s="149" t="s">
        <v>110</v>
      </c>
      <c r="C6" s="66"/>
      <c r="D6" s="227">
        <f>C48</f>
        <v>0</v>
      </c>
      <c r="E6" s="227">
        <f>D48</f>
        <v>0</v>
      </c>
    </row>
    <row r="7" spans="2:5" ht="15.75">
      <c r="B7" s="284" t="s">
        <v>112</v>
      </c>
      <c r="C7" s="86"/>
      <c r="D7" s="86"/>
      <c r="E7" s="86"/>
    </row>
    <row r="8" spans="2:5" ht="15.75">
      <c r="B8" s="272"/>
      <c r="C8" s="259"/>
      <c r="D8" s="259"/>
      <c r="E8" s="259"/>
    </row>
    <row r="9" spans="2:5" ht="15.75">
      <c r="B9" s="272"/>
      <c r="C9" s="259"/>
      <c r="D9" s="259"/>
      <c r="E9" s="259"/>
    </row>
    <row r="10" spans="2:5" ht="15.75">
      <c r="B10" s="272"/>
      <c r="C10" s="259"/>
      <c r="D10" s="259"/>
      <c r="E10" s="259"/>
    </row>
    <row r="11" spans="2:5" ht="15.75">
      <c r="B11" s="272"/>
      <c r="C11" s="259"/>
      <c r="D11" s="259"/>
      <c r="E11" s="259"/>
    </row>
    <row r="12" spans="2:5" ht="15.75">
      <c r="B12" s="272"/>
      <c r="C12" s="259"/>
      <c r="D12" s="259"/>
      <c r="E12" s="259"/>
    </row>
    <row r="13" spans="2:5" ht="15.75">
      <c r="B13" s="272"/>
      <c r="C13" s="259"/>
      <c r="D13" s="259"/>
      <c r="E13" s="259"/>
    </row>
    <row r="14" spans="2:5" ht="15.75">
      <c r="B14" s="290"/>
      <c r="C14" s="107"/>
      <c r="D14" s="107"/>
      <c r="E14" s="107"/>
    </row>
    <row r="15" spans="2:5" ht="15.75">
      <c r="B15" s="272"/>
      <c r="C15" s="259"/>
      <c r="D15" s="259"/>
      <c r="E15" s="259"/>
    </row>
    <row r="16" spans="2:5" ht="15.75">
      <c r="B16" s="297" t="s">
        <v>753</v>
      </c>
      <c r="C16" s="259"/>
      <c r="D16" s="259"/>
      <c r="E16" s="259"/>
    </row>
    <row r="17" spans="2:5" ht="15.75">
      <c r="B17" s="158" t="s">
        <v>655</v>
      </c>
      <c r="C17" s="259"/>
      <c r="D17" s="253"/>
      <c r="E17" s="253"/>
    </row>
    <row r="18" spans="2:5" ht="15.75">
      <c r="B18" s="251" t="s">
        <v>507</v>
      </c>
      <c r="C18" s="298" t="str">
        <f>IF(C19*0.1&lt;C17,"Exceed 10% Rule","")</f>
        <v/>
      </c>
      <c r="D18" s="262" t="str">
        <f>IF(D19*0.1&lt;D17,"Exceed 10% Rule","")</f>
        <v/>
      </c>
      <c r="E18" s="262" t="str">
        <f>IF(E19*0.1&lt;E17,"Exceed 10% Rule","")</f>
        <v/>
      </c>
    </row>
    <row r="19" spans="2:5" ht="15.75">
      <c r="B19" s="263" t="s">
        <v>754</v>
      </c>
      <c r="C19" s="266">
        <f>SUM(C8:C17)</f>
        <v>0</v>
      </c>
      <c r="D19" s="266">
        <f>SUM(D8:D17)</f>
        <v>0</v>
      </c>
      <c r="E19" s="266">
        <f>SUM(E8:E17)</f>
        <v>0</v>
      </c>
    </row>
    <row r="20" spans="2:5" ht="15.75">
      <c r="B20" s="263" t="s">
        <v>755</v>
      </c>
      <c r="C20" s="266">
        <f>C6+C19</f>
        <v>0</v>
      </c>
      <c r="D20" s="266">
        <f>D6+D19</f>
        <v>0</v>
      </c>
      <c r="E20" s="266">
        <f>E6+E19</f>
        <v>0</v>
      </c>
    </row>
    <row r="21" spans="2:5" ht="15.75">
      <c r="B21" s="149" t="s">
        <v>0</v>
      </c>
      <c r="C21" s="86"/>
      <c r="D21" s="86"/>
      <c r="E21" s="86"/>
    </row>
    <row r="22" spans="2:5" ht="15.75">
      <c r="B22" s="272" t="s">
        <v>159</v>
      </c>
      <c r="C22" s="259"/>
      <c r="D22" s="259"/>
      <c r="E22" s="259"/>
    </row>
    <row r="23" spans="2:5" ht="15.75">
      <c r="B23" s="272" t="s">
        <v>665</v>
      </c>
      <c r="C23" s="259"/>
      <c r="D23" s="259"/>
      <c r="E23" s="259"/>
    </row>
    <row r="24" spans="2:5" ht="15.75">
      <c r="B24" s="272"/>
      <c r="C24" s="107"/>
      <c r="D24" s="107"/>
      <c r="E24" s="107"/>
    </row>
    <row r="25" spans="2:5" ht="15.75">
      <c r="B25" s="272"/>
      <c r="C25" s="107"/>
      <c r="D25" s="107"/>
      <c r="E25" s="107"/>
    </row>
    <row r="26" spans="2:5" ht="15.75">
      <c r="B26" s="272"/>
      <c r="C26" s="107"/>
      <c r="D26" s="107"/>
      <c r="E26" s="107"/>
    </row>
    <row r="27" spans="2:5" ht="15.75">
      <c r="B27" s="272"/>
      <c r="C27" s="107"/>
      <c r="D27" s="107"/>
      <c r="E27" s="107"/>
    </row>
    <row r="28" spans="2:5" ht="15.75">
      <c r="B28" s="272"/>
      <c r="C28" s="107"/>
      <c r="D28" s="107"/>
      <c r="E28" s="107"/>
    </row>
    <row r="29" spans="2:5" ht="15.75">
      <c r="B29" s="272"/>
      <c r="C29" s="107"/>
      <c r="D29" s="107"/>
      <c r="E29" s="107"/>
    </row>
    <row r="30" spans="2:5" ht="15.75">
      <c r="B30" s="272"/>
      <c r="C30" s="107"/>
      <c r="D30" s="107"/>
      <c r="E30" s="107"/>
    </row>
    <row r="31" spans="2:5" ht="15.75">
      <c r="B31" s="272"/>
      <c r="C31" s="107"/>
      <c r="D31" s="107"/>
      <c r="E31" s="107"/>
    </row>
    <row r="32" spans="2:5" ht="15.75">
      <c r="B32" s="272"/>
      <c r="C32" s="107"/>
      <c r="D32" s="107"/>
      <c r="E32" s="107"/>
    </row>
    <row r="33" spans="2:5" ht="15.75">
      <c r="B33" s="272"/>
      <c r="C33" s="107"/>
      <c r="D33" s="107"/>
      <c r="E33" s="107"/>
    </row>
    <row r="34" spans="2:5" ht="15.75">
      <c r="B34" s="272"/>
      <c r="C34" s="107"/>
      <c r="D34" s="107"/>
      <c r="E34" s="107"/>
    </row>
    <row r="35" spans="2:5" ht="15.75">
      <c r="B35" s="272"/>
      <c r="C35" s="259"/>
      <c r="D35" s="259"/>
      <c r="E35" s="259"/>
    </row>
    <row r="36" spans="2:5" ht="15.75">
      <c r="B36" s="272"/>
      <c r="C36" s="259"/>
      <c r="D36" s="259"/>
      <c r="E36" s="259"/>
    </row>
    <row r="37" spans="2:5" ht="15.75">
      <c r="B37" s="272"/>
      <c r="C37" s="259"/>
      <c r="D37" s="259"/>
      <c r="E37" s="259"/>
    </row>
    <row r="38" spans="2:5" ht="15.75">
      <c r="B38" s="272"/>
      <c r="C38" s="259"/>
      <c r="D38" s="259"/>
      <c r="E38" s="259"/>
    </row>
    <row r="39" spans="2:5" ht="15.75">
      <c r="B39" s="272"/>
      <c r="C39" s="259"/>
      <c r="D39" s="259"/>
      <c r="E39" s="259"/>
    </row>
    <row r="40" spans="2:5" ht="15.75">
      <c r="B40" s="272"/>
      <c r="C40" s="259"/>
      <c r="D40" s="259"/>
      <c r="E40" s="259"/>
    </row>
    <row r="41" spans="2:5" ht="15.75">
      <c r="B41" s="272"/>
      <c r="C41" s="259"/>
      <c r="D41" s="259"/>
      <c r="E41" s="259"/>
    </row>
    <row r="42" spans="2:5" ht="15.75">
      <c r="B42" s="272"/>
      <c r="C42" s="259"/>
      <c r="D42" s="259"/>
      <c r="E42" s="259"/>
    </row>
    <row r="43" spans="2:5" ht="15.75">
      <c r="B43" s="272"/>
      <c r="C43" s="259"/>
      <c r="D43" s="259"/>
      <c r="E43" s="259"/>
    </row>
    <row r="44" spans="2:5" ht="15.75">
      <c r="B44" s="272"/>
      <c r="C44" s="259"/>
      <c r="D44" s="259"/>
      <c r="E44" s="259"/>
    </row>
    <row r="45" spans="2:5" ht="15.75">
      <c r="B45" s="273" t="s">
        <v>655</v>
      </c>
      <c r="C45" s="259"/>
      <c r="D45" s="253"/>
      <c r="E45" s="253"/>
    </row>
    <row r="46" spans="2:5" ht="15.75">
      <c r="B46" s="273" t="s">
        <v>508</v>
      </c>
      <c r="C46" s="298" t="str">
        <f>IF(C47*0.1&lt;C45,"Exceed 10% Rule","")</f>
        <v/>
      </c>
      <c r="D46" s="262" t="str">
        <f>IF(D47*0.1&lt;D45,"Exceed 10% Rule","")</f>
        <v/>
      </c>
      <c r="E46" s="262" t="str">
        <f>IF(E47*0.1&lt;E45,"Exceed 10% Rule","")</f>
        <v/>
      </c>
    </row>
    <row r="47" spans="2:5" ht="15.75">
      <c r="B47" s="263" t="s">
        <v>4</v>
      </c>
      <c r="C47" s="266">
        <f>SUM(C22:C45)</f>
        <v>0</v>
      </c>
      <c r="D47" s="266">
        <f>SUM(D22:D45)</f>
        <v>0</v>
      </c>
      <c r="E47" s="266">
        <f>SUM(E22:E45)</f>
        <v>0</v>
      </c>
    </row>
    <row r="48" spans="2:5" ht="15.75">
      <c r="B48" s="149" t="s">
        <v>111</v>
      </c>
      <c r="C48" s="81">
        <f>C20-C47</f>
        <v>0</v>
      </c>
      <c r="D48" s="81">
        <f>D20-D47</f>
        <v>0</v>
      </c>
      <c r="E48" s="81">
        <f>E20-E47</f>
        <v>0</v>
      </c>
    </row>
    <row r="49" spans="2:5" ht="15.75">
      <c r="B49" s="135" t="str">
        <f>CONCATENATE("",E1-2," Budget Authority Limited Amount:")</f>
        <v>2012 Budget Authority Limited Amount:</v>
      </c>
      <c r="C49" s="240">
        <f ca="1">inputOth!B90</f>
        <v>0</v>
      </c>
      <c r="D49" s="240">
        <f ca="1">inputPrYr!D52</f>
        <v>0</v>
      </c>
      <c r="E49" s="378" t="str">
        <f>IF(E48&lt;0,"See Tab E","")</f>
        <v/>
      </c>
    </row>
    <row r="50" spans="2:5" ht="15.75">
      <c r="B50" s="135"/>
      <c r="C50" s="276" t="str">
        <f>IF(C47&gt;C49,"See Tab A","")</f>
        <v/>
      </c>
      <c r="D50" s="276" t="str">
        <f>IF(D47&gt;D49,"See Tab C","")</f>
        <v/>
      </c>
      <c r="E50" s="67"/>
    </row>
    <row r="51" spans="2:5" ht="15.75">
      <c r="B51" s="135"/>
      <c r="C51" s="276" t="str">
        <f>IF(C48&lt;0,"See Tab B","")</f>
        <v/>
      </c>
      <c r="D51" s="276" t="str">
        <f>IF(D48&lt;0,"See Tab D","")</f>
        <v/>
      </c>
      <c r="E51" s="67"/>
    </row>
    <row r="52" spans="2:5">
      <c r="B52" s="67"/>
      <c r="C52" s="67"/>
      <c r="D52" s="67"/>
      <c r="E52" s="67"/>
    </row>
    <row r="53" spans="2:5" ht="15.75">
      <c r="B53" s="402" t="s">
        <v>7</v>
      </c>
      <c r="C53" s="281"/>
      <c r="D53" s="67"/>
      <c r="E53" s="67"/>
    </row>
  </sheetData>
  <sheetProtection sheet="1"/>
  <phoneticPr fontId="9" type="noConversion"/>
  <conditionalFormatting sqref="E17">
    <cfRule type="cellIs" dxfId="29" priority="2" stopIfTrue="1" operator="greaterThan">
      <formula>$E$19*0.1</formula>
    </cfRule>
  </conditionalFormatting>
  <conditionalFormatting sqref="E45">
    <cfRule type="cellIs" dxfId="28" priority="3" stopIfTrue="1" operator="greaterThan">
      <formula>$E$47*0.1</formula>
    </cfRule>
  </conditionalFormatting>
  <conditionalFormatting sqref="D17">
    <cfRule type="cellIs" dxfId="27" priority="4" stopIfTrue="1" operator="greaterThan">
      <formula>$D$19*0.1</formula>
    </cfRule>
  </conditionalFormatting>
  <conditionalFormatting sqref="D45">
    <cfRule type="cellIs" dxfId="26" priority="5" stopIfTrue="1" operator="greaterThan">
      <formula>$D$47*0.1</formula>
    </cfRule>
  </conditionalFormatting>
  <conditionalFormatting sqref="C17">
    <cfRule type="cellIs" dxfId="25" priority="6" stopIfTrue="1" operator="greaterThan">
      <formula>$C$19*0.1</formula>
    </cfRule>
  </conditionalFormatting>
  <conditionalFormatting sqref="C45">
    <cfRule type="cellIs" dxfId="24" priority="7" stopIfTrue="1" operator="greaterThan">
      <formula>$C$47*0.1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82"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workbookViewId="0">
      <selection activeCell="G9" sqref="G9"/>
    </sheetView>
  </sheetViews>
  <sheetFormatPr defaultRowHeight="15"/>
  <cols>
    <col min="1" max="1" width="2.44140625" style="105" customWidth="1"/>
    <col min="2" max="2" width="31.109375" style="105" customWidth="1"/>
    <col min="3" max="4" width="15.77734375" style="105" customWidth="1"/>
    <col min="5" max="5" width="16.44140625" style="105" customWidth="1"/>
    <col min="6" max="16384" width="8.88671875" style="105"/>
  </cols>
  <sheetData>
    <row r="1" spans="2:5" ht="15.75">
      <c r="B1" s="196" t="str">
        <f ca="1">(inputPrYr!D2)</f>
        <v>City of Grainfield</v>
      </c>
      <c r="C1" s="46"/>
      <c r="D1" s="46"/>
      <c r="E1" s="218">
        <f ca="1">inputPrYr!$C$5</f>
        <v>2014</v>
      </c>
    </row>
    <row r="2" spans="2:5" ht="15.75">
      <c r="B2" s="46"/>
      <c r="C2" s="46"/>
      <c r="D2" s="46"/>
      <c r="E2" s="168"/>
    </row>
    <row r="3" spans="2:5" ht="15.75">
      <c r="B3" s="248" t="s">
        <v>56</v>
      </c>
      <c r="C3" s="295"/>
      <c r="D3" s="295"/>
      <c r="E3" s="296"/>
    </row>
    <row r="4" spans="2:5" ht="15.75">
      <c r="B4" s="51" t="s">
        <v>747</v>
      </c>
      <c r="C4" s="710" t="s">
        <v>789</v>
      </c>
      <c r="D4" s="711" t="s">
        <v>790</v>
      </c>
      <c r="E4" s="143" t="s">
        <v>791</v>
      </c>
    </row>
    <row r="5" spans="2:5" ht="15.75">
      <c r="B5" s="532">
        <f ca="1">(inputPrYr!B53)</f>
        <v>0</v>
      </c>
      <c r="C5" s="224" t="str">
        <f>CONCATENATE("Actual for ",E1-2,"")</f>
        <v>Actual for 2012</v>
      </c>
      <c r="D5" s="224" t="str">
        <f>CONCATENATE("Estimate for ",E1-1,"")</f>
        <v>Estimate for 2013</v>
      </c>
      <c r="E5" s="207" t="str">
        <f>CONCATENATE("Year for ",E1,"")</f>
        <v>Year for 2014</v>
      </c>
    </row>
    <row r="6" spans="2:5" ht="15.75">
      <c r="B6" s="149" t="s">
        <v>110</v>
      </c>
      <c r="C6" s="256"/>
      <c r="D6" s="254">
        <f>C48</f>
        <v>0</v>
      </c>
      <c r="E6" s="227">
        <f>D48</f>
        <v>0</v>
      </c>
    </row>
    <row r="7" spans="2:5" ht="15.75">
      <c r="B7" s="284" t="s">
        <v>112</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753</v>
      </c>
      <c r="C16" s="256"/>
      <c r="D16" s="256"/>
      <c r="E16" s="259"/>
    </row>
    <row r="17" spans="2:5" ht="15.75">
      <c r="B17" s="158" t="s">
        <v>655</v>
      </c>
      <c r="C17" s="256"/>
      <c r="D17" s="256"/>
      <c r="E17" s="259"/>
    </row>
    <row r="18" spans="2:5" ht="15.75">
      <c r="B18" s="251" t="s">
        <v>507</v>
      </c>
      <c r="C18" s="261" t="str">
        <f>IF(C19*0.1&lt;C17,"Exceed 10% Rule","")</f>
        <v/>
      </c>
      <c r="D18" s="261" t="str">
        <f>IF(D19*0.1&lt;D17,"Exceed 10% Rule","")</f>
        <v/>
      </c>
      <c r="E18" s="298" t="str">
        <f>IF(E19*0.1&lt;E17,"Exceed 10% Rule","")</f>
        <v/>
      </c>
    </row>
    <row r="19" spans="2:5" ht="15.75">
      <c r="B19" s="263" t="s">
        <v>754</v>
      </c>
      <c r="C19" s="265">
        <f>SUM(C8:C17)</f>
        <v>0</v>
      </c>
      <c r="D19" s="265">
        <f>SUM(D8:D17)</f>
        <v>0</v>
      </c>
      <c r="E19" s="266">
        <f>SUM(E8:E17)</f>
        <v>0</v>
      </c>
    </row>
    <row r="20" spans="2:5" ht="15.75">
      <c r="B20" s="263" t="s">
        <v>755</v>
      </c>
      <c r="C20" s="265">
        <f>C6+C19</f>
        <v>0</v>
      </c>
      <c r="D20" s="265">
        <f>D6+D19</f>
        <v>0</v>
      </c>
      <c r="E20" s="266">
        <f>E6+E19</f>
        <v>0</v>
      </c>
    </row>
    <row r="21" spans="2:5" ht="15.75">
      <c r="B21" s="149" t="s">
        <v>0</v>
      </c>
      <c r="C21" s="158"/>
      <c r="D21" s="158"/>
      <c r="E21" s="86"/>
    </row>
    <row r="22" spans="2:5" ht="15.75">
      <c r="B22" s="272" t="s">
        <v>159</v>
      </c>
      <c r="C22" s="256"/>
      <c r="D22" s="256"/>
      <c r="E22" s="259"/>
    </row>
    <row r="23" spans="2:5" ht="15.75">
      <c r="B23" s="272" t="s">
        <v>664</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655</v>
      </c>
      <c r="C45" s="256"/>
      <c r="D45" s="256"/>
      <c r="E45" s="259"/>
    </row>
    <row r="46" spans="2:5" ht="15.75">
      <c r="B46" s="273" t="s">
        <v>508</v>
      </c>
      <c r="C46" s="261" t="str">
        <f>IF(C47*0.1&lt;C45,"Exceed 10% Rule","")</f>
        <v/>
      </c>
      <c r="D46" s="261" t="str">
        <f>IF(D47*0.1&lt;D45,"Exceed 10% Rule","")</f>
        <v/>
      </c>
      <c r="E46" s="298" t="str">
        <f>IF(E47*0.1&lt;E45,"Exceed 10% Rule","")</f>
        <v/>
      </c>
    </row>
    <row r="47" spans="2:5" ht="15.75">
      <c r="B47" s="263" t="s">
        <v>4</v>
      </c>
      <c r="C47" s="265">
        <f>SUM(C22:C45)</f>
        <v>0</v>
      </c>
      <c r="D47" s="265">
        <f>SUM(D22:D45)</f>
        <v>0</v>
      </c>
      <c r="E47" s="266">
        <f>SUM(E22:E45)</f>
        <v>0</v>
      </c>
    </row>
    <row r="48" spans="2:5" ht="15.75">
      <c r="B48" s="149" t="s">
        <v>111</v>
      </c>
      <c r="C48" s="269">
        <f>C20-C47</f>
        <v>0</v>
      </c>
      <c r="D48" s="269">
        <f>D20-D47</f>
        <v>0</v>
      </c>
      <c r="E48" s="81">
        <f>E20-E47</f>
        <v>0</v>
      </c>
    </row>
    <row r="49" spans="2:5" ht="15.75">
      <c r="B49" s="135" t="str">
        <f>CONCATENATE("",E1-2,"/",E1-1," Budget Authority Amount:")</f>
        <v>2012/2013 Budget Authority Amount:</v>
      </c>
      <c r="C49" s="240">
        <f ca="1">inputOth!B91</f>
        <v>0</v>
      </c>
      <c r="D49" s="240">
        <f ca="1">inputPrYr!D53</f>
        <v>0</v>
      </c>
      <c r="E49" s="378" t="str">
        <f>IF(E48&lt;0,"See Tab E","")</f>
        <v/>
      </c>
    </row>
    <row r="50" spans="2:5" ht="15.75">
      <c r="B50" s="135"/>
      <c r="C50" s="276" t="str">
        <f>IF(C47&gt;C49,"See Tab A","")</f>
        <v/>
      </c>
      <c r="D50" s="276" t="str">
        <f>IF(D47&gt;D49,"See Tab C","")</f>
        <v/>
      </c>
      <c r="E50" s="67"/>
    </row>
    <row r="51" spans="2:5" ht="15.75">
      <c r="B51" s="135"/>
      <c r="C51" s="276" t="str">
        <f>IF(C48&lt;0,"See Tab B","")</f>
        <v/>
      </c>
      <c r="D51" s="276" t="str">
        <f>IF(D48&lt;0,"See Tab D","")</f>
        <v/>
      </c>
      <c r="E51" s="67"/>
    </row>
    <row r="52" spans="2:5">
      <c r="B52" s="67"/>
      <c r="C52" s="67"/>
      <c r="D52" s="67"/>
      <c r="E52" s="67"/>
    </row>
    <row r="53" spans="2:5" ht="15.75">
      <c r="B53" s="402" t="s">
        <v>7</v>
      </c>
      <c r="C53" s="281"/>
      <c r="D53" s="67"/>
      <c r="E53" s="67"/>
    </row>
  </sheetData>
  <sheetProtection sheet="1"/>
  <phoneticPr fontId="9" type="noConversion"/>
  <conditionalFormatting sqref="E17">
    <cfRule type="cellIs" dxfId="19" priority="4" stopIfTrue="1" operator="greaterThan">
      <formula>$E$19*0.1</formula>
    </cfRule>
  </conditionalFormatting>
  <conditionalFormatting sqref="E45">
    <cfRule type="cellIs" dxfId="18" priority="5" stopIfTrue="1" operator="greaterThan">
      <formula>$E$47*0.1</formula>
    </cfRule>
  </conditionalFormatting>
  <conditionalFormatting sqref="C45">
    <cfRule type="cellIs" dxfId="17" priority="6" stopIfTrue="1" operator="greaterThan">
      <formula>$C$47*0.1</formula>
    </cfRule>
  </conditionalFormatting>
  <conditionalFormatting sqref="D45">
    <cfRule type="cellIs" dxfId="16" priority="7" stopIfTrue="1" operator="greaterThan">
      <formula>$D$47*0.1</formula>
    </cfRule>
  </conditionalFormatting>
  <conditionalFormatting sqref="D47">
    <cfRule type="cellIs" dxfId="15" priority="8" stopIfTrue="1" operator="greaterThan">
      <formula>$D$49</formula>
    </cfRule>
  </conditionalFormatting>
  <conditionalFormatting sqref="C47">
    <cfRule type="cellIs" dxfId="14" priority="9" stopIfTrue="1" operator="greaterThan">
      <formula>$C$49</formula>
    </cfRule>
  </conditionalFormatting>
  <conditionalFormatting sqref="C48 E48">
    <cfRule type="cellIs" dxfId="13" priority="10" stopIfTrue="1" operator="lessThan">
      <formula>0</formula>
    </cfRule>
  </conditionalFormatting>
  <conditionalFormatting sqref="D48">
    <cfRule type="cellIs" dxfId="12" priority="3" stopIfTrue="1" operator="lessThan">
      <formula>0</formula>
    </cfRule>
  </conditionalFormatting>
  <conditionalFormatting sqref="D17">
    <cfRule type="cellIs" dxfId="11" priority="2" stopIfTrue="1" operator="greaterThan">
      <formula>$D$19*0.1</formula>
    </cfRule>
  </conditionalFormatting>
  <conditionalFormatting sqref="C17">
    <cfRule type="cellIs" dxfId="10" priority="1" stopIfTrue="1" operator="greaterThan">
      <formula>$C$19*0.1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workbookViewId="0">
      <selection activeCell="C13" sqref="C13:E13"/>
    </sheetView>
  </sheetViews>
  <sheetFormatPr defaultRowHeight="15"/>
  <cols>
    <col min="1" max="1" width="2.44140625" style="105" customWidth="1"/>
    <col min="2" max="2" width="31.109375" style="105" customWidth="1"/>
    <col min="3" max="4" width="15.77734375" style="105" customWidth="1"/>
    <col min="5" max="5" width="16.5546875" style="105" customWidth="1"/>
    <col min="6" max="16384" width="8.88671875" style="105"/>
  </cols>
  <sheetData>
    <row r="1" spans="2:5" ht="15.75">
      <c r="B1" s="196" t="str">
        <f ca="1">(inputPrYr!D2)</f>
        <v>City of Grainfield</v>
      </c>
      <c r="C1" s="46"/>
      <c r="D1" s="46"/>
      <c r="E1" s="218">
        <f ca="1">inputPrYr!$C$5</f>
        <v>2014</v>
      </c>
    </row>
    <row r="2" spans="2:5" ht="15.75">
      <c r="B2" s="46"/>
      <c r="C2" s="46"/>
      <c r="D2" s="46"/>
      <c r="E2" s="168"/>
    </row>
    <row r="3" spans="2:5" ht="15.75">
      <c r="B3" s="248" t="s">
        <v>56</v>
      </c>
      <c r="C3" s="295"/>
      <c r="D3" s="295"/>
      <c r="E3" s="296"/>
    </row>
    <row r="4" spans="2:5" ht="15.75">
      <c r="B4" s="51" t="s">
        <v>747</v>
      </c>
      <c r="C4" s="710" t="s">
        <v>789</v>
      </c>
      <c r="D4" s="711" t="s">
        <v>790</v>
      </c>
      <c r="E4" s="143" t="s">
        <v>791</v>
      </c>
    </row>
    <row r="5" spans="2:5" ht="15.75">
      <c r="B5" s="532">
        <f ca="1">(inputPrYr!B54)</f>
        <v>0</v>
      </c>
      <c r="C5" s="224" t="str">
        <f>CONCATENATE("Actual for ",E1-2,"")</f>
        <v>Actual for 2012</v>
      </c>
      <c r="D5" s="224" t="str">
        <f>CONCATENATE("Estimate for ",E1-1,"")</f>
        <v>Estimate for 2013</v>
      </c>
      <c r="E5" s="207" t="str">
        <f>CONCATENATE("Year for ",E1,"")</f>
        <v>Year for 2014</v>
      </c>
    </row>
    <row r="6" spans="2:5" ht="15.75">
      <c r="B6" s="149" t="s">
        <v>110</v>
      </c>
      <c r="C6" s="256"/>
      <c r="D6" s="254">
        <f>C48</f>
        <v>0</v>
      </c>
      <c r="E6" s="227">
        <f>D48</f>
        <v>0</v>
      </c>
    </row>
    <row r="7" spans="2:5" ht="15.75">
      <c r="B7" s="284" t="s">
        <v>112</v>
      </c>
      <c r="C7" s="158"/>
      <c r="D7" s="158"/>
      <c r="E7" s="86"/>
    </row>
    <row r="8" spans="2:5" ht="15.75">
      <c r="B8" s="272"/>
      <c r="C8" s="256"/>
      <c r="D8" s="256"/>
      <c r="E8" s="259"/>
    </row>
    <row r="9" spans="2:5" ht="15.75">
      <c r="B9" s="272"/>
      <c r="C9" s="256"/>
      <c r="D9" s="256"/>
      <c r="E9" s="259"/>
    </row>
    <row r="10" spans="2:5" ht="15.75">
      <c r="B10" s="272"/>
      <c r="C10" s="256"/>
      <c r="D10" s="256"/>
      <c r="E10" s="259"/>
    </row>
    <row r="11" spans="2:5" ht="15.75">
      <c r="B11" s="272"/>
      <c r="C11" s="256"/>
      <c r="D11" s="256"/>
      <c r="E11" s="259"/>
    </row>
    <row r="12" spans="2:5" ht="15.75">
      <c r="B12" s="272"/>
      <c r="C12" s="256"/>
      <c r="D12" s="256"/>
      <c r="E12" s="259"/>
    </row>
    <row r="13" spans="2:5" ht="15.75">
      <c r="B13" s="272"/>
      <c r="C13" s="256"/>
      <c r="D13" s="256"/>
      <c r="E13" s="259"/>
    </row>
    <row r="14" spans="2:5" ht="15.75">
      <c r="B14" s="290"/>
      <c r="C14" s="256"/>
      <c r="D14" s="256"/>
      <c r="E14" s="107"/>
    </row>
    <row r="15" spans="2:5" ht="15.75">
      <c r="B15" s="272"/>
      <c r="C15" s="256"/>
      <c r="D15" s="256"/>
      <c r="E15" s="259"/>
    </row>
    <row r="16" spans="2:5" ht="15.75">
      <c r="B16" s="297" t="s">
        <v>753</v>
      </c>
      <c r="C16" s="256"/>
      <c r="D16" s="256"/>
      <c r="E16" s="259"/>
    </row>
    <row r="17" spans="2:5" ht="15.75">
      <c r="B17" s="158" t="s">
        <v>655</v>
      </c>
      <c r="C17" s="256"/>
      <c r="D17" s="256"/>
      <c r="E17" s="259"/>
    </row>
    <row r="18" spans="2:5" ht="15.75">
      <c r="B18" s="251" t="s">
        <v>507</v>
      </c>
      <c r="C18" s="261" t="str">
        <f>IF(C19*0.1&lt;C17,"Exceed 10% Rule","")</f>
        <v/>
      </c>
      <c r="D18" s="261" t="str">
        <f>IF(D19*0.1&lt;D17,"Exceed 10% Rule","")</f>
        <v/>
      </c>
      <c r="E18" s="298" t="str">
        <f>IF(E19*0.1&lt;E17,"Exceed 10% Rule","")</f>
        <v/>
      </c>
    </row>
    <row r="19" spans="2:5" ht="15.75">
      <c r="B19" s="263" t="s">
        <v>754</v>
      </c>
      <c r="C19" s="265">
        <f>SUM(C8:C17)</f>
        <v>0</v>
      </c>
      <c r="D19" s="265">
        <f>SUM(D8:D17)</f>
        <v>0</v>
      </c>
      <c r="E19" s="266">
        <f>SUM(E8:E17)</f>
        <v>0</v>
      </c>
    </row>
    <row r="20" spans="2:5" ht="15.75">
      <c r="B20" s="263" t="s">
        <v>755</v>
      </c>
      <c r="C20" s="265">
        <f>C6+C19</f>
        <v>0</v>
      </c>
      <c r="D20" s="265">
        <f>D6+D19</f>
        <v>0</v>
      </c>
      <c r="E20" s="266">
        <f>E6+E19</f>
        <v>0</v>
      </c>
    </row>
    <row r="21" spans="2:5" ht="15.75">
      <c r="B21" s="149" t="s">
        <v>0</v>
      </c>
      <c r="C21" s="158"/>
      <c r="D21" s="158"/>
      <c r="E21" s="86"/>
    </row>
    <row r="22" spans="2:5" ht="15.75">
      <c r="B22" s="272" t="s">
        <v>159</v>
      </c>
      <c r="C22" s="256"/>
      <c r="D22" s="256"/>
      <c r="E22" s="259"/>
    </row>
    <row r="23" spans="2:5" ht="15.75">
      <c r="B23" s="272" t="s">
        <v>665</v>
      </c>
      <c r="C23" s="256"/>
      <c r="D23" s="256"/>
      <c r="E23" s="259"/>
    </row>
    <row r="24" spans="2:5" ht="15.75">
      <c r="B24" s="272"/>
      <c r="C24" s="256"/>
      <c r="D24" s="256"/>
      <c r="E24" s="107"/>
    </row>
    <row r="25" spans="2:5" ht="15.75">
      <c r="B25" s="272"/>
      <c r="C25" s="256"/>
      <c r="D25" s="256"/>
      <c r="E25" s="107"/>
    </row>
    <row r="26" spans="2:5" ht="15.75">
      <c r="B26" s="272"/>
      <c r="C26" s="256"/>
      <c r="D26" s="256"/>
      <c r="E26" s="107"/>
    </row>
    <row r="27" spans="2:5" ht="15.75">
      <c r="B27" s="272"/>
      <c r="C27" s="256"/>
      <c r="D27" s="256"/>
      <c r="E27" s="107"/>
    </row>
    <row r="28" spans="2:5" ht="15.75">
      <c r="B28" s="272"/>
      <c r="C28" s="256"/>
      <c r="D28" s="256"/>
      <c r="E28" s="107"/>
    </row>
    <row r="29" spans="2:5" ht="15.75">
      <c r="B29" s="272"/>
      <c r="C29" s="256"/>
      <c r="D29" s="256"/>
      <c r="E29" s="107"/>
    </row>
    <row r="30" spans="2:5" ht="15.75">
      <c r="B30" s="272"/>
      <c r="C30" s="256"/>
      <c r="D30" s="256"/>
      <c r="E30" s="107"/>
    </row>
    <row r="31" spans="2:5" ht="15.75">
      <c r="B31" s="272"/>
      <c r="C31" s="256"/>
      <c r="D31" s="256"/>
      <c r="E31" s="107"/>
    </row>
    <row r="32" spans="2:5" ht="15.75">
      <c r="B32" s="272"/>
      <c r="C32" s="256"/>
      <c r="D32" s="256"/>
      <c r="E32" s="107"/>
    </row>
    <row r="33" spans="2:5" ht="15.75">
      <c r="B33" s="272"/>
      <c r="C33" s="256"/>
      <c r="D33" s="256"/>
      <c r="E33" s="107"/>
    </row>
    <row r="34" spans="2:5" ht="15.75">
      <c r="B34" s="272"/>
      <c r="C34" s="256"/>
      <c r="D34" s="256"/>
      <c r="E34" s="107"/>
    </row>
    <row r="35" spans="2:5" ht="15.75">
      <c r="B35" s="272"/>
      <c r="C35" s="256"/>
      <c r="D35" s="256"/>
      <c r="E35" s="259"/>
    </row>
    <row r="36" spans="2:5" ht="15.75">
      <c r="B36" s="272"/>
      <c r="C36" s="256"/>
      <c r="D36" s="256"/>
      <c r="E36" s="259"/>
    </row>
    <row r="37" spans="2:5" ht="15.75">
      <c r="B37" s="272"/>
      <c r="C37" s="256"/>
      <c r="D37" s="256"/>
      <c r="E37" s="259"/>
    </row>
    <row r="38" spans="2:5" ht="15.75">
      <c r="B38" s="272"/>
      <c r="C38" s="256"/>
      <c r="D38" s="256"/>
      <c r="E38" s="259"/>
    </row>
    <row r="39" spans="2:5" ht="15.75">
      <c r="B39" s="272"/>
      <c r="C39" s="256"/>
      <c r="D39" s="256"/>
      <c r="E39" s="259"/>
    </row>
    <row r="40" spans="2:5" ht="15.75">
      <c r="B40" s="272"/>
      <c r="C40" s="256"/>
      <c r="D40" s="256"/>
      <c r="E40" s="259"/>
    </row>
    <row r="41" spans="2:5" ht="15.75">
      <c r="B41" s="272"/>
      <c r="C41" s="256"/>
      <c r="D41" s="256"/>
      <c r="E41" s="259"/>
    </row>
    <row r="42" spans="2:5" ht="15.75">
      <c r="B42" s="272"/>
      <c r="C42" s="256"/>
      <c r="D42" s="256"/>
      <c r="E42" s="259"/>
    </row>
    <row r="43" spans="2:5" ht="15.75">
      <c r="B43" s="272"/>
      <c r="C43" s="256"/>
      <c r="D43" s="256"/>
      <c r="E43" s="259"/>
    </row>
    <row r="44" spans="2:5" ht="15.75">
      <c r="B44" s="272"/>
      <c r="C44" s="256"/>
      <c r="D44" s="256"/>
      <c r="E44" s="259"/>
    </row>
    <row r="45" spans="2:5" ht="15.75">
      <c r="B45" s="273" t="s">
        <v>655</v>
      </c>
      <c r="C45" s="256"/>
      <c r="D45" s="256"/>
      <c r="E45" s="259"/>
    </row>
    <row r="46" spans="2:5" ht="15.75">
      <c r="B46" s="273" t="s">
        <v>508</v>
      </c>
      <c r="C46" s="261" t="str">
        <f>IF(C47*0.1&lt;C45,"Exceed 10% Rule","")</f>
        <v/>
      </c>
      <c r="D46" s="261" t="str">
        <f>IF(D47*0.1&lt;D45,"Exceed 10% Rule","")</f>
        <v/>
      </c>
      <c r="E46" s="298" t="str">
        <f>IF(E47*0.1&lt;E45,"Exceed 10% Rule","")</f>
        <v/>
      </c>
    </row>
    <row r="47" spans="2:5" ht="15.75">
      <c r="B47" s="263" t="s">
        <v>4</v>
      </c>
      <c r="C47" s="265">
        <f>SUM(C22:C45)</f>
        <v>0</v>
      </c>
      <c r="D47" s="265">
        <f>SUM(D22:D45)</f>
        <v>0</v>
      </c>
      <c r="E47" s="266">
        <f>SUM(E22:E45)</f>
        <v>0</v>
      </c>
    </row>
    <row r="48" spans="2:5" ht="15.75">
      <c r="B48" s="149" t="s">
        <v>111</v>
      </c>
      <c r="C48" s="269">
        <f>C20-C47</f>
        <v>0</v>
      </c>
      <c r="D48" s="269">
        <f>D20-D47</f>
        <v>0</v>
      </c>
      <c r="E48" s="81">
        <f>E20-E47</f>
        <v>0</v>
      </c>
    </row>
    <row r="49" spans="2:5" ht="15.75">
      <c r="B49" s="135" t="str">
        <f>CONCATENATE("",E1-2,"/",E1-1," Budget Authority Amount:")</f>
        <v>2012/2013 Budget Authority Amount:</v>
      </c>
      <c r="C49" s="240">
        <f ca="1">inputOth!B92</f>
        <v>0</v>
      </c>
      <c r="D49" s="240">
        <f ca="1">inputPrYr!D54</f>
        <v>0</v>
      </c>
      <c r="E49" s="378" t="str">
        <f>IF(E48&lt;0,"See Tab E","")</f>
        <v/>
      </c>
    </row>
    <row r="50" spans="2:5" ht="15.75">
      <c r="B50" s="135"/>
      <c r="C50" s="276" t="str">
        <f>IF(C47&gt;C49,"See Tab A","")</f>
        <v/>
      </c>
      <c r="D50" s="276" t="str">
        <f>IF(D47&gt;D49,"See Tab C","")</f>
        <v/>
      </c>
      <c r="E50" s="67"/>
    </row>
    <row r="51" spans="2:5" ht="15.75">
      <c r="B51" s="135"/>
      <c r="C51" s="276" t="str">
        <f>IF(C48&lt;0,"See Tab B","")</f>
        <v/>
      </c>
      <c r="D51" s="276" t="str">
        <f>IF(D48&lt;0,"See Tab D","")</f>
        <v/>
      </c>
      <c r="E51" s="67"/>
    </row>
    <row r="52" spans="2:5">
      <c r="B52" s="67"/>
      <c r="C52" s="67"/>
      <c r="D52" s="67"/>
      <c r="E52" s="67"/>
    </row>
    <row r="53" spans="2:5" ht="15.75">
      <c r="B53" s="402" t="s">
        <v>7</v>
      </c>
      <c r="C53" s="281"/>
      <c r="D53" s="67"/>
      <c r="E53" s="67"/>
    </row>
  </sheetData>
  <sheetProtection sheet="1"/>
  <phoneticPr fontId="9" type="noConversion"/>
  <conditionalFormatting sqref="E17">
    <cfRule type="cellIs" dxfId="9" priority="4" stopIfTrue="1" operator="greaterThan">
      <formula>$E$19*0.1</formula>
    </cfRule>
  </conditionalFormatting>
  <conditionalFormatting sqref="E45">
    <cfRule type="cellIs" dxfId="8" priority="5" stopIfTrue="1" operator="greaterThan">
      <formula>$E$47*0.1</formula>
    </cfRule>
  </conditionalFormatting>
  <conditionalFormatting sqref="E48 C48">
    <cfRule type="cellIs" dxfId="7" priority="6" stopIfTrue="1" operator="lessThan">
      <formula>0</formula>
    </cfRule>
  </conditionalFormatting>
  <conditionalFormatting sqref="D45">
    <cfRule type="cellIs" dxfId="6" priority="7" stopIfTrue="1" operator="greaterThan">
      <formula>$D$47*0.1</formula>
    </cfRule>
  </conditionalFormatting>
  <conditionalFormatting sqref="C45">
    <cfRule type="cellIs" dxfId="5" priority="8" stopIfTrue="1" operator="greaterThan">
      <formula>$C$47*0.1</formula>
    </cfRule>
  </conditionalFormatting>
  <conditionalFormatting sqref="D47">
    <cfRule type="cellIs" dxfId="4" priority="9" stopIfTrue="1" operator="greaterThan">
      <formula>$D$49</formula>
    </cfRule>
  </conditionalFormatting>
  <conditionalFormatting sqref="C47">
    <cfRule type="cellIs" dxfId="3" priority="10" stopIfTrue="1" operator="greaterThan">
      <formula>$C$49</formula>
    </cfRule>
  </conditionalFormatting>
  <conditionalFormatting sqref="D48">
    <cfRule type="cellIs" dxfId="2" priority="3" stopIfTrue="1" operator="lessThan">
      <formula>0</formula>
    </cfRule>
  </conditionalFormatting>
  <conditionalFormatting sqref="D17">
    <cfRule type="cellIs" dxfId="1" priority="2" stopIfTrue="1" operator="greaterThan">
      <formula>$D$198*0.1</formula>
    </cfRule>
  </conditionalFormatting>
  <conditionalFormatting sqref="C17">
    <cfRule type="cellIs" dxfId="0" priority="1" stopIfTrue="1" operator="greaterThan">
      <formula>$C$19*0.1</formula>
    </cfRule>
  </conditionalFormatting>
  <pageMargins left="0.75" right="0.75" top="1" bottom="1" header="0.5" footer="0.5"/>
  <pageSetup scale="84" orientation="portrait"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75" zoomScaleNormal="75" workbookViewId="0">
      <selection activeCell="D8" sqref="D8"/>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3" t="str">
        <f ca="1">inputPrYr!$D$2</f>
        <v>City of Grainfield</v>
      </c>
      <c r="B1" s="299"/>
      <c r="C1" s="172"/>
      <c r="D1" s="172"/>
      <c r="E1" s="172"/>
      <c r="F1" s="174" t="s">
        <v>134</v>
      </c>
      <c r="G1" s="172"/>
      <c r="H1" s="172"/>
      <c r="I1" s="172"/>
      <c r="J1" s="172"/>
      <c r="K1" s="172">
        <f ca="1">inputPrYr!$C$5</f>
        <v>2014</v>
      </c>
    </row>
    <row r="2" spans="1:11">
      <c r="A2" s="172"/>
      <c r="B2" s="172"/>
      <c r="C2" s="172"/>
      <c r="D2" s="172"/>
      <c r="E2" s="172"/>
      <c r="F2" s="300" t="str">
        <f>CONCATENATE("(Only the actual budget year for ",K1-2," is to be shown)")</f>
        <v>(Only the actual budget year for 2012 is to be shown)</v>
      </c>
      <c r="G2" s="172"/>
      <c r="H2" s="172"/>
      <c r="I2" s="172"/>
      <c r="J2" s="172"/>
      <c r="K2" s="172"/>
    </row>
    <row r="3" spans="1:11">
      <c r="A3" s="172" t="s">
        <v>182</v>
      </c>
      <c r="B3" s="172"/>
      <c r="C3" s="172"/>
      <c r="D3" s="172"/>
      <c r="E3" s="172"/>
      <c r="F3" s="301"/>
      <c r="G3" s="172"/>
      <c r="H3" s="172"/>
      <c r="I3" s="172"/>
      <c r="J3" s="172"/>
      <c r="K3" s="172"/>
    </row>
    <row r="4" spans="1:11">
      <c r="A4" s="172" t="s">
        <v>135</v>
      </c>
      <c r="B4" s="172"/>
      <c r="C4" s="172" t="s">
        <v>136</v>
      </c>
      <c r="D4" s="172"/>
      <c r="E4" s="172" t="s">
        <v>137</v>
      </c>
      <c r="F4" s="299"/>
      <c r="G4" s="172" t="s">
        <v>138</v>
      </c>
      <c r="H4" s="172"/>
      <c r="I4" s="172" t="s">
        <v>139</v>
      </c>
      <c r="J4" s="172"/>
      <c r="K4" s="172"/>
    </row>
    <row r="5" spans="1:11">
      <c r="A5" s="806" t="str">
        <f ca="1">IF(inputPrYr!B57&gt;" ",(inputPrYr!B57)," ")</f>
        <v>Revolving Loan</v>
      </c>
      <c r="B5" s="807"/>
      <c r="C5" s="806" t="str">
        <f ca="1">IF(inputPrYr!B58&gt;" ",(inputPrYr!B58)," ")</f>
        <v xml:space="preserve"> </v>
      </c>
      <c r="D5" s="807"/>
      <c r="E5" s="806" t="str">
        <f ca="1">IF(inputPrYr!B59&gt;" ",(inputPrYr!B59)," ")</f>
        <v xml:space="preserve"> </v>
      </c>
      <c r="F5" s="807"/>
      <c r="G5" s="806" t="str">
        <f ca="1">IF(inputPrYr!B60&gt;" ",(inputPrYr!B60)," ")</f>
        <v xml:space="preserve"> </v>
      </c>
      <c r="H5" s="807"/>
      <c r="I5" s="806" t="str">
        <f ca="1">IF(inputPrYr!B61&gt;" ",(inputPrYr!B61)," ")</f>
        <v xml:space="preserve"> </v>
      </c>
      <c r="J5" s="807"/>
      <c r="K5" s="123"/>
    </row>
    <row r="6" spans="1:11">
      <c r="A6" s="303" t="s">
        <v>140</v>
      </c>
      <c r="B6" s="304"/>
      <c r="C6" s="305" t="s">
        <v>140</v>
      </c>
      <c r="D6" s="306"/>
      <c r="E6" s="305" t="s">
        <v>140</v>
      </c>
      <c r="F6" s="302"/>
      <c r="G6" s="305" t="s">
        <v>140</v>
      </c>
      <c r="H6" s="307"/>
      <c r="I6" s="305" t="s">
        <v>140</v>
      </c>
      <c r="J6" s="172"/>
      <c r="K6" s="308" t="s">
        <v>719</v>
      </c>
    </row>
    <row r="7" spans="1:11">
      <c r="A7" s="309" t="s">
        <v>662</v>
      </c>
      <c r="B7" s="310">
        <v>47961</v>
      </c>
      <c r="C7" s="311" t="s">
        <v>662</v>
      </c>
      <c r="D7" s="310"/>
      <c r="E7" s="311" t="s">
        <v>662</v>
      </c>
      <c r="F7" s="310"/>
      <c r="G7" s="311" t="s">
        <v>662</v>
      </c>
      <c r="H7" s="310"/>
      <c r="I7" s="311" t="s">
        <v>662</v>
      </c>
      <c r="J7" s="310"/>
      <c r="K7" s="312">
        <f>SUM(B7+D7+F7+H7+J7)</f>
        <v>47961</v>
      </c>
    </row>
    <row r="8" spans="1:11">
      <c r="A8" s="313" t="s">
        <v>112</v>
      </c>
      <c r="B8" s="314"/>
      <c r="C8" s="313" t="s">
        <v>112</v>
      </c>
      <c r="D8" s="315"/>
      <c r="E8" s="313" t="s">
        <v>112</v>
      </c>
      <c r="F8" s="299"/>
      <c r="G8" s="313" t="s">
        <v>112</v>
      </c>
      <c r="H8" s="172"/>
      <c r="I8" s="313" t="s">
        <v>112</v>
      </c>
      <c r="J8" s="172"/>
      <c r="K8" s="299"/>
    </row>
    <row r="9" spans="1:11">
      <c r="A9" s="316" t="s">
        <v>896</v>
      </c>
      <c r="B9" s="310">
        <v>11410</v>
      </c>
      <c r="C9" s="316"/>
      <c r="D9" s="310"/>
      <c r="E9" s="316"/>
      <c r="F9" s="310"/>
      <c r="G9" s="316"/>
      <c r="H9" s="310"/>
      <c r="I9" s="316"/>
      <c r="J9" s="310"/>
      <c r="K9" s="299"/>
    </row>
    <row r="10" spans="1:11">
      <c r="A10" s="316" t="s">
        <v>753</v>
      </c>
      <c r="B10" s="310">
        <v>68</v>
      </c>
      <c r="C10" s="316"/>
      <c r="D10" s="310"/>
      <c r="E10" s="316"/>
      <c r="F10" s="310"/>
      <c r="G10" s="316"/>
      <c r="H10" s="310"/>
      <c r="I10" s="316"/>
      <c r="J10" s="310"/>
      <c r="K10" s="299"/>
    </row>
    <row r="11" spans="1:11">
      <c r="A11" s="316"/>
      <c r="B11" s="310"/>
      <c r="C11" s="317"/>
      <c r="D11" s="310"/>
      <c r="E11" s="317"/>
      <c r="F11" s="310"/>
      <c r="G11" s="317"/>
      <c r="H11" s="310"/>
      <c r="I11" s="318"/>
      <c r="J11" s="310"/>
      <c r="K11" s="299"/>
    </row>
    <row r="12" spans="1:11">
      <c r="A12" s="316"/>
      <c r="B12" s="310"/>
      <c r="C12" s="316"/>
      <c r="D12" s="310"/>
      <c r="E12" s="319"/>
      <c r="F12" s="310"/>
      <c r="G12" s="319"/>
      <c r="H12" s="310"/>
      <c r="I12" s="319"/>
      <c r="J12" s="310"/>
      <c r="K12" s="299"/>
    </row>
    <row r="13" spans="1:11">
      <c r="A13" s="320"/>
      <c r="B13" s="310"/>
      <c r="C13" s="321"/>
      <c r="D13" s="310"/>
      <c r="E13" s="321"/>
      <c r="F13" s="310"/>
      <c r="G13" s="321"/>
      <c r="H13" s="310"/>
      <c r="I13" s="318"/>
      <c r="J13" s="310"/>
      <c r="K13" s="299"/>
    </row>
    <row r="14" spans="1:11">
      <c r="A14" s="316"/>
      <c r="B14" s="310"/>
      <c r="C14" s="319"/>
      <c r="D14" s="310"/>
      <c r="E14" s="319"/>
      <c r="F14" s="310"/>
      <c r="G14" s="319"/>
      <c r="H14" s="310"/>
      <c r="I14" s="319"/>
      <c r="J14" s="310"/>
      <c r="K14" s="299"/>
    </row>
    <row r="15" spans="1:11">
      <c r="A15" s="316"/>
      <c r="B15" s="310"/>
      <c r="C15" s="319"/>
      <c r="D15" s="310"/>
      <c r="E15" s="319"/>
      <c r="F15" s="310"/>
      <c r="G15" s="319"/>
      <c r="H15" s="310"/>
      <c r="I15" s="319"/>
      <c r="J15" s="310"/>
      <c r="K15" s="299"/>
    </row>
    <row r="16" spans="1:11">
      <c r="A16" s="316"/>
      <c r="B16" s="310"/>
      <c r="C16" s="316"/>
      <c r="D16" s="310"/>
      <c r="E16" s="316"/>
      <c r="F16" s="310"/>
      <c r="G16" s="319"/>
      <c r="H16" s="310"/>
      <c r="I16" s="316"/>
      <c r="J16" s="310"/>
      <c r="K16" s="299"/>
    </row>
    <row r="17" spans="1:12">
      <c r="A17" s="313" t="s">
        <v>754</v>
      </c>
      <c r="B17" s="312">
        <f>SUM(B9:B16)</f>
        <v>11478</v>
      </c>
      <c r="C17" s="313" t="s">
        <v>754</v>
      </c>
      <c r="D17" s="312">
        <f>SUM(D9:D16)</f>
        <v>0</v>
      </c>
      <c r="E17" s="313" t="s">
        <v>754</v>
      </c>
      <c r="F17" s="376">
        <f>SUM(F9:F16)</f>
        <v>0</v>
      </c>
      <c r="G17" s="313" t="s">
        <v>754</v>
      </c>
      <c r="H17" s="312">
        <f>SUM(H9:H16)</f>
        <v>0</v>
      </c>
      <c r="I17" s="313" t="s">
        <v>754</v>
      </c>
      <c r="J17" s="312">
        <f>SUM(J9:J16)</f>
        <v>0</v>
      </c>
      <c r="K17" s="312">
        <f>SUM(B17+D17+F17+H17+J17)</f>
        <v>11478</v>
      </c>
    </row>
    <row r="18" spans="1:12">
      <c r="A18" s="313" t="s">
        <v>755</v>
      </c>
      <c r="B18" s="312">
        <f>SUM(B7+B17)</f>
        <v>59439</v>
      </c>
      <c r="C18" s="313" t="s">
        <v>755</v>
      </c>
      <c r="D18" s="312">
        <f>SUM(D7+D17)</f>
        <v>0</v>
      </c>
      <c r="E18" s="313" t="s">
        <v>755</v>
      </c>
      <c r="F18" s="312">
        <f>SUM(F7+F17)</f>
        <v>0</v>
      </c>
      <c r="G18" s="313" t="s">
        <v>755</v>
      </c>
      <c r="H18" s="312">
        <f>SUM(H7+H17)</f>
        <v>0</v>
      </c>
      <c r="I18" s="313" t="s">
        <v>755</v>
      </c>
      <c r="J18" s="312">
        <f>SUM(J7+J17)</f>
        <v>0</v>
      </c>
      <c r="K18" s="312">
        <f>SUM(B18+D18+F18+H18+J18)</f>
        <v>59439</v>
      </c>
    </row>
    <row r="19" spans="1:12">
      <c r="A19" s="313" t="s">
        <v>0</v>
      </c>
      <c r="B19" s="314"/>
      <c r="C19" s="313" t="s">
        <v>0</v>
      </c>
      <c r="D19" s="315"/>
      <c r="E19" s="313" t="s">
        <v>0</v>
      </c>
      <c r="F19" s="299"/>
      <c r="G19" s="313" t="s">
        <v>0</v>
      </c>
      <c r="H19" s="172"/>
      <c r="I19" s="313" t="s">
        <v>0</v>
      </c>
      <c r="J19" s="172"/>
      <c r="K19" s="299"/>
    </row>
    <row r="20" spans="1:12">
      <c r="A20" s="316" t="s">
        <v>897</v>
      </c>
      <c r="B20" s="310">
        <v>20003</v>
      </c>
      <c r="C20" s="319"/>
      <c r="D20" s="310"/>
      <c r="E20" s="319"/>
      <c r="F20" s="310"/>
      <c r="G20" s="319"/>
      <c r="H20" s="310"/>
      <c r="I20" s="319"/>
      <c r="J20" s="310"/>
      <c r="K20" s="299"/>
    </row>
    <row r="21" spans="1:12">
      <c r="A21" s="316"/>
      <c r="B21" s="310"/>
      <c r="C21" s="319"/>
      <c r="D21" s="310"/>
      <c r="E21" s="319"/>
      <c r="F21" s="310"/>
      <c r="G21" s="319"/>
      <c r="H21" s="310"/>
      <c r="I21" s="319"/>
      <c r="J21" s="310"/>
      <c r="K21" s="299"/>
    </row>
    <row r="22" spans="1:12">
      <c r="A22" s="316"/>
      <c r="B22" s="310"/>
      <c r="C22" s="321"/>
      <c r="D22" s="310"/>
      <c r="E22" s="321"/>
      <c r="F22" s="310"/>
      <c r="G22" s="321"/>
      <c r="H22" s="310"/>
      <c r="I22" s="318"/>
      <c r="J22" s="310"/>
      <c r="K22" s="299"/>
    </row>
    <row r="23" spans="1:12">
      <c r="A23" s="316"/>
      <c r="B23" s="310"/>
      <c r="C23" s="319"/>
      <c r="D23" s="310"/>
      <c r="E23" s="319"/>
      <c r="F23" s="310"/>
      <c r="G23" s="319"/>
      <c r="H23" s="310"/>
      <c r="I23" s="319"/>
      <c r="J23" s="310"/>
      <c r="K23" s="299"/>
    </row>
    <row r="24" spans="1:12">
      <c r="A24" s="316"/>
      <c r="B24" s="310"/>
      <c r="C24" s="321"/>
      <c r="D24" s="310"/>
      <c r="E24" s="321"/>
      <c r="F24" s="310"/>
      <c r="G24" s="321"/>
      <c r="H24" s="310"/>
      <c r="I24" s="318"/>
      <c r="J24" s="310"/>
      <c r="K24" s="299"/>
    </row>
    <row r="25" spans="1:12">
      <c r="A25" s="316"/>
      <c r="B25" s="310"/>
      <c r="C25" s="319"/>
      <c r="D25" s="310"/>
      <c r="E25" s="319"/>
      <c r="F25" s="310"/>
      <c r="G25" s="319"/>
      <c r="H25" s="310"/>
      <c r="I25" s="319"/>
      <c r="J25" s="310"/>
      <c r="K25" s="299"/>
    </row>
    <row r="26" spans="1:12">
      <c r="A26" s="316"/>
      <c r="B26" s="310"/>
      <c r="C26" s="319"/>
      <c r="D26" s="310"/>
      <c r="E26" s="319"/>
      <c r="F26" s="310"/>
      <c r="G26" s="319"/>
      <c r="H26" s="310"/>
      <c r="I26" s="319"/>
      <c r="J26" s="310"/>
      <c r="K26" s="299"/>
    </row>
    <row r="27" spans="1:12">
      <c r="A27" s="316"/>
      <c r="B27" s="310"/>
      <c r="C27" s="316"/>
      <c r="D27" s="310"/>
      <c r="E27" s="316"/>
      <c r="F27" s="310"/>
      <c r="G27" s="319"/>
      <c r="H27" s="310"/>
      <c r="I27" s="319"/>
      <c r="J27" s="310"/>
      <c r="K27" s="299"/>
    </row>
    <row r="28" spans="1:12">
      <c r="A28" s="313" t="s">
        <v>4</v>
      </c>
      <c r="B28" s="312">
        <f>SUM(B20:B27)</f>
        <v>20003</v>
      </c>
      <c r="C28" s="313" t="s">
        <v>4</v>
      </c>
      <c r="D28" s="312">
        <f>SUM(D20:D27)</f>
        <v>0</v>
      </c>
      <c r="E28" s="313" t="s">
        <v>4</v>
      </c>
      <c r="F28" s="376">
        <f>SUM(F20:F27)</f>
        <v>0</v>
      </c>
      <c r="G28" s="313" t="s">
        <v>4</v>
      </c>
      <c r="H28" s="376">
        <f>SUM(H20:H27)</f>
        <v>0</v>
      </c>
      <c r="I28" s="313" t="s">
        <v>4</v>
      </c>
      <c r="J28" s="312">
        <f>SUM(J20:J27)</f>
        <v>0</v>
      </c>
      <c r="K28" s="312">
        <f>SUM(B28+D28+F28+H28+J28)</f>
        <v>20003</v>
      </c>
    </row>
    <row r="29" spans="1:12">
      <c r="A29" s="313" t="s">
        <v>141</v>
      </c>
      <c r="B29" s="312">
        <f>SUM(B18-B28)</f>
        <v>39436</v>
      </c>
      <c r="C29" s="313" t="s">
        <v>141</v>
      </c>
      <c r="D29" s="312">
        <f>SUM(D18-D28)</f>
        <v>0</v>
      </c>
      <c r="E29" s="313" t="s">
        <v>141</v>
      </c>
      <c r="F29" s="312">
        <f>SUM(F18-F28)</f>
        <v>0</v>
      </c>
      <c r="G29" s="313" t="s">
        <v>141</v>
      </c>
      <c r="H29" s="312">
        <f>SUM(H18-H28)</f>
        <v>0</v>
      </c>
      <c r="I29" s="313" t="s">
        <v>141</v>
      </c>
      <c r="J29" s="312">
        <f>SUM(J18-J28)</f>
        <v>0</v>
      </c>
      <c r="K29" s="322">
        <f>SUM(B29+D29+F29+H29+J29)</f>
        <v>39436</v>
      </c>
      <c r="L29" s="32" t="s">
        <v>218</v>
      </c>
    </row>
    <row r="30" spans="1:12">
      <c r="A30" s="313"/>
      <c r="B30" s="346" t="str">
        <f>IF(B29&lt;0,"See Tab B","")</f>
        <v/>
      </c>
      <c r="C30" s="313"/>
      <c r="D30" s="346" t="str">
        <f>IF(D29&lt;0,"See Tab B","")</f>
        <v/>
      </c>
      <c r="E30" s="313"/>
      <c r="F30" s="346" t="str">
        <f>IF(F29&lt;0,"See Tab B","")</f>
        <v/>
      </c>
      <c r="G30" s="172"/>
      <c r="H30" s="346" t="str">
        <f>IF(H29&lt;0,"See Tab B","")</f>
        <v/>
      </c>
      <c r="I30" s="172"/>
      <c r="J30" s="346" t="str">
        <f>IF(J29&lt;0,"See Tab B","")</f>
        <v/>
      </c>
      <c r="K30" s="322">
        <f>SUM(K7+K17-K28)</f>
        <v>39436</v>
      </c>
      <c r="L30" s="32" t="s">
        <v>218</v>
      </c>
    </row>
    <row r="31" spans="1:12">
      <c r="A31" s="172"/>
      <c r="B31" s="177"/>
      <c r="C31" s="172"/>
      <c r="D31" s="299"/>
      <c r="E31" s="172"/>
      <c r="F31" s="172"/>
      <c r="G31" s="42" t="s">
        <v>220</v>
      </c>
      <c r="H31" s="42"/>
      <c r="I31" s="42"/>
      <c r="J31" s="42"/>
      <c r="K31" s="172"/>
    </row>
    <row r="32" spans="1:12">
      <c r="A32" s="172"/>
      <c r="B32" s="177"/>
      <c r="C32" s="172"/>
      <c r="D32" s="172"/>
      <c r="E32" s="172"/>
      <c r="F32" s="172"/>
      <c r="G32" s="172"/>
      <c r="H32" s="172"/>
      <c r="I32" s="172"/>
      <c r="J32" s="172"/>
      <c r="K32" s="172"/>
    </row>
    <row r="33" spans="1:11">
      <c r="A33" s="172"/>
      <c r="B33" s="177"/>
      <c r="C33" s="172"/>
      <c r="D33" s="172"/>
      <c r="E33" s="186" t="s">
        <v>7</v>
      </c>
      <c r="F33" s="281">
        <v>13</v>
      </c>
      <c r="G33" s="172"/>
      <c r="H33" s="172"/>
      <c r="I33" s="172"/>
      <c r="J33" s="172"/>
      <c r="K33" s="172"/>
    </row>
    <row r="34" spans="1:11">
      <c r="B34" s="323"/>
    </row>
    <row r="35" spans="1:11">
      <c r="B35" s="323"/>
    </row>
    <row r="36" spans="1:11">
      <c r="B36" s="323"/>
    </row>
    <row r="37" spans="1:11">
      <c r="B37" s="323"/>
    </row>
    <row r="38" spans="1:11">
      <c r="B38" s="323"/>
    </row>
    <row r="39" spans="1:11">
      <c r="B39" s="323"/>
    </row>
    <row r="40" spans="1:11">
      <c r="B40" s="323"/>
    </row>
    <row r="41" spans="1:11">
      <c r="B41" s="323"/>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workbookViewId="0">
      <selection activeCell="B7" sqref="B7"/>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3" t="str">
        <f ca="1">inputPrYr!$D$2</f>
        <v>City of Grainfield</v>
      </c>
      <c r="B1" s="299"/>
      <c r="C1" s="172"/>
      <c r="D1" s="172"/>
      <c r="E1" s="172"/>
      <c r="F1" s="174" t="s">
        <v>142</v>
      </c>
      <c r="G1" s="172"/>
      <c r="H1" s="172"/>
      <c r="I1" s="172"/>
      <c r="J1" s="172"/>
      <c r="K1" s="172">
        <f ca="1">inputPrYr!$C$5</f>
        <v>2014</v>
      </c>
    </row>
    <row r="2" spans="1:11">
      <c r="A2" s="172"/>
      <c r="B2" s="172"/>
      <c r="C2" s="172"/>
      <c r="D2" s="172"/>
      <c r="E2" s="172"/>
      <c r="F2" s="300" t="str">
        <f>CONCATENATE("(Only the actual budget year for ",K1-2," is to be shown)")</f>
        <v>(Only the actual budget year for 2012 is to be shown)</v>
      </c>
      <c r="G2" s="172"/>
      <c r="H2" s="172"/>
      <c r="I2" s="172"/>
      <c r="J2" s="172"/>
      <c r="K2" s="172"/>
    </row>
    <row r="3" spans="1:11">
      <c r="A3" s="172" t="s">
        <v>181</v>
      </c>
      <c r="B3" s="172"/>
      <c r="C3" s="172"/>
      <c r="D3" s="172"/>
      <c r="E3" s="172"/>
      <c r="F3" s="299"/>
      <c r="G3" s="172"/>
      <c r="H3" s="172"/>
      <c r="I3" s="172"/>
      <c r="J3" s="172"/>
      <c r="K3" s="172"/>
    </row>
    <row r="4" spans="1:11">
      <c r="A4" s="172" t="s">
        <v>135</v>
      </c>
      <c r="B4" s="172"/>
      <c r="C4" s="172" t="s">
        <v>136</v>
      </c>
      <c r="D4" s="172"/>
      <c r="E4" s="172" t="s">
        <v>137</v>
      </c>
      <c r="F4" s="299"/>
      <c r="G4" s="172" t="s">
        <v>138</v>
      </c>
      <c r="H4" s="172"/>
      <c r="I4" s="172" t="s">
        <v>139</v>
      </c>
      <c r="J4" s="172"/>
      <c r="K4" s="172"/>
    </row>
    <row r="5" spans="1:11">
      <c r="A5" s="806" t="str">
        <f ca="1">IF(inputPrYr!B63&gt;" ",(inputPrYr!B63)," ")</f>
        <v xml:space="preserve"> </v>
      </c>
      <c r="B5" s="807"/>
      <c r="C5" s="806" t="str">
        <f ca="1">IF(inputPrYr!B64&gt;" ",(inputPrYr!B64)," ")</f>
        <v xml:space="preserve"> </v>
      </c>
      <c r="D5" s="807"/>
      <c r="E5" s="806" t="str">
        <f ca="1">IF(inputPrYr!B65&gt;" ",(inputPrYr!B65)," ")</f>
        <v xml:space="preserve"> </v>
      </c>
      <c r="F5" s="807"/>
      <c r="G5" s="806" t="str">
        <f ca="1">IF(inputPrYr!B66&gt;" ",(inputPrYr!B66)," ")</f>
        <v xml:space="preserve"> </v>
      </c>
      <c r="H5" s="807"/>
      <c r="I5" s="806" t="str">
        <f ca="1">IF(inputPrYr!B67&gt;" ",(inputPrYr!B67)," ")</f>
        <v xml:space="preserve"> </v>
      </c>
      <c r="J5" s="807"/>
      <c r="K5" s="123"/>
    </row>
    <row r="6" spans="1:11">
      <c r="A6" s="303" t="s">
        <v>140</v>
      </c>
      <c r="B6" s="304"/>
      <c r="C6" s="305" t="s">
        <v>140</v>
      </c>
      <c r="D6" s="306"/>
      <c r="E6" s="305" t="s">
        <v>140</v>
      </c>
      <c r="F6" s="302"/>
      <c r="G6" s="305" t="s">
        <v>140</v>
      </c>
      <c r="H6" s="307"/>
      <c r="I6" s="305" t="s">
        <v>140</v>
      </c>
      <c r="J6" s="172"/>
      <c r="K6" s="308" t="s">
        <v>719</v>
      </c>
    </row>
    <row r="7" spans="1:11">
      <c r="A7" s="309" t="s">
        <v>662</v>
      </c>
      <c r="B7" s="310"/>
      <c r="C7" s="311" t="s">
        <v>662</v>
      </c>
      <c r="D7" s="310"/>
      <c r="E7" s="311" t="s">
        <v>662</v>
      </c>
      <c r="F7" s="310"/>
      <c r="G7" s="311" t="s">
        <v>662</v>
      </c>
      <c r="H7" s="310"/>
      <c r="I7" s="311" t="s">
        <v>662</v>
      </c>
      <c r="J7" s="310"/>
      <c r="K7" s="312">
        <f>SUM(B7+D7+F7+H7+J7)</f>
        <v>0</v>
      </c>
    </row>
    <row r="8" spans="1:11">
      <c r="A8" s="313" t="s">
        <v>112</v>
      </c>
      <c r="B8" s="314"/>
      <c r="C8" s="313" t="s">
        <v>112</v>
      </c>
      <c r="D8" s="315"/>
      <c r="E8" s="313" t="s">
        <v>112</v>
      </c>
      <c r="F8" s="299"/>
      <c r="G8" s="313" t="s">
        <v>112</v>
      </c>
      <c r="H8" s="172"/>
      <c r="I8" s="313" t="s">
        <v>112</v>
      </c>
      <c r="J8" s="172"/>
      <c r="K8" s="299"/>
    </row>
    <row r="9" spans="1:11">
      <c r="A9" s="316"/>
      <c r="B9" s="310"/>
      <c r="C9" s="316"/>
      <c r="D9" s="310"/>
      <c r="E9" s="316"/>
      <c r="F9" s="310"/>
      <c r="G9" s="316"/>
      <c r="H9" s="310"/>
      <c r="I9" s="316"/>
      <c r="J9" s="310"/>
      <c r="K9" s="299"/>
    </row>
    <row r="10" spans="1:11">
      <c r="A10" s="316"/>
      <c r="B10" s="310"/>
      <c r="C10" s="316"/>
      <c r="D10" s="310"/>
      <c r="E10" s="316"/>
      <c r="F10" s="310"/>
      <c r="G10" s="316"/>
      <c r="H10" s="310"/>
      <c r="I10" s="316"/>
      <c r="J10" s="310"/>
      <c r="K10" s="299"/>
    </row>
    <row r="11" spans="1:11">
      <c r="A11" s="316"/>
      <c r="B11" s="310"/>
      <c r="C11" s="317"/>
      <c r="D11" s="310"/>
      <c r="E11" s="317"/>
      <c r="F11" s="310"/>
      <c r="G11" s="317"/>
      <c r="H11" s="310"/>
      <c r="I11" s="318"/>
      <c r="J11" s="310"/>
      <c r="K11" s="299"/>
    </row>
    <row r="12" spans="1:11">
      <c r="A12" s="316"/>
      <c r="B12" s="310"/>
      <c r="C12" s="316"/>
      <c r="D12" s="310"/>
      <c r="E12" s="319"/>
      <c r="F12" s="310"/>
      <c r="G12" s="319"/>
      <c r="H12" s="310"/>
      <c r="I12" s="319"/>
      <c r="J12" s="310"/>
      <c r="K12" s="299"/>
    </row>
    <row r="13" spans="1:11">
      <c r="A13" s="320"/>
      <c r="B13" s="310"/>
      <c r="C13" s="321"/>
      <c r="D13" s="310"/>
      <c r="E13" s="321"/>
      <c r="F13" s="310"/>
      <c r="G13" s="321"/>
      <c r="H13" s="310"/>
      <c r="I13" s="318"/>
      <c r="J13" s="310"/>
      <c r="K13" s="299"/>
    </row>
    <row r="14" spans="1:11">
      <c r="A14" s="316"/>
      <c r="B14" s="310"/>
      <c r="C14" s="319"/>
      <c r="D14" s="310"/>
      <c r="E14" s="319"/>
      <c r="F14" s="310"/>
      <c r="G14" s="319"/>
      <c r="H14" s="310"/>
      <c r="I14" s="319"/>
      <c r="J14" s="310"/>
      <c r="K14" s="299"/>
    </row>
    <row r="15" spans="1:11">
      <c r="A15" s="316"/>
      <c r="B15" s="310"/>
      <c r="C15" s="319"/>
      <c r="D15" s="310"/>
      <c r="E15" s="319"/>
      <c r="F15" s="310"/>
      <c r="G15" s="319"/>
      <c r="H15" s="310"/>
      <c r="I15" s="319"/>
      <c r="J15" s="310"/>
      <c r="K15" s="299"/>
    </row>
    <row r="16" spans="1:11">
      <c r="A16" s="316"/>
      <c r="B16" s="310"/>
      <c r="C16" s="316"/>
      <c r="D16" s="310"/>
      <c r="E16" s="316"/>
      <c r="F16" s="310"/>
      <c r="G16" s="319"/>
      <c r="H16" s="310"/>
      <c r="I16" s="316"/>
      <c r="J16" s="310"/>
      <c r="K16" s="299"/>
    </row>
    <row r="17" spans="1:12">
      <c r="A17" s="313" t="s">
        <v>754</v>
      </c>
      <c r="B17" s="312">
        <f>SUM(B9:B16)</f>
        <v>0</v>
      </c>
      <c r="C17" s="313" t="s">
        <v>754</v>
      </c>
      <c r="D17" s="312">
        <f>SUM(D9:D16)</f>
        <v>0</v>
      </c>
      <c r="E17" s="313" t="s">
        <v>754</v>
      </c>
      <c r="F17" s="376">
        <f>SUM(F9:F16)</f>
        <v>0</v>
      </c>
      <c r="G17" s="313" t="s">
        <v>754</v>
      </c>
      <c r="H17" s="312">
        <f>SUM(H9:H16)</f>
        <v>0</v>
      </c>
      <c r="I17" s="313" t="s">
        <v>754</v>
      </c>
      <c r="J17" s="312">
        <f>SUM(J9:J16)</f>
        <v>0</v>
      </c>
      <c r="K17" s="312">
        <f>SUM(B17+D17+F17+H17+J17)</f>
        <v>0</v>
      </c>
    </row>
    <row r="18" spans="1:12">
      <c r="A18" s="313" t="s">
        <v>755</v>
      </c>
      <c r="B18" s="312">
        <f>SUM(B7+B17)</f>
        <v>0</v>
      </c>
      <c r="C18" s="313" t="s">
        <v>755</v>
      </c>
      <c r="D18" s="312">
        <f>SUM(D7+D17)</f>
        <v>0</v>
      </c>
      <c r="E18" s="313" t="s">
        <v>755</v>
      </c>
      <c r="F18" s="312">
        <f>SUM(F7+F17)</f>
        <v>0</v>
      </c>
      <c r="G18" s="313" t="s">
        <v>755</v>
      </c>
      <c r="H18" s="312">
        <f>SUM(H7+H17)</f>
        <v>0</v>
      </c>
      <c r="I18" s="313" t="s">
        <v>755</v>
      </c>
      <c r="J18" s="312">
        <f>SUM(J7+J17)</f>
        <v>0</v>
      </c>
      <c r="K18" s="312">
        <f>SUM(B18+D18+F18+H18+J18)</f>
        <v>0</v>
      </c>
    </row>
    <row r="19" spans="1:12">
      <c r="A19" s="313" t="s">
        <v>0</v>
      </c>
      <c r="B19" s="314"/>
      <c r="C19" s="313" t="s">
        <v>0</v>
      </c>
      <c r="D19" s="315"/>
      <c r="E19" s="313" t="s">
        <v>0</v>
      </c>
      <c r="F19" s="299"/>
      <c r="G19" s="313" t="s">
        <v>0</v>
      </c>
      <c r="H19" s="172"/>
      <c r="I19" s="313" t="s">
        <v>0</v>
      </c>
      <c r="J19" s="172"/>
      <c r="K19" s="299"/>
    </row>
    <row r="20" spans="1:12">
      <c r="A20" s="316"/>
      <c r="B20" s="310"/>
      <c r="C20" s="319"/>
      <c r="D20" s="310"/>
      <c r="E20" s="319"/>
      <c r="F20" s="310"/>
      <c r="G20" s="319"/>
      <c r="H20" s="310"/>
      <c r="I20" s="319"/>
      <c r="J20" s="310"/>
      <c r="K20" s="299"/>
    </row>
    <row r="21" spans="1:12">
      <c r="A21" s="316"/>
      <c r="B21" s="310"/>
      <c r="C21" s="319"/>
      <c r="D21" s="310"/>
      <c r="E21" s="319"/>
      <c r="F21" s="310"/>
      <c r="G21" s="319"/>
      <c r="H21" s="310"/>
      <c r="I21" s="319"/>
      <c r="J21" s="310"/>
      <c r="K21" s="299"/>
    </row>
    <row r="22" spans="1:12">
      <c r="A22" s="316"/>
      <c r="B22" s="310"/>
      <c r="C22" s="321"/>
      <c r="D22" s="310"/>
      <c r="E22" s="321"/>
      <c r="F22" s="310"/>
      <c r="G22" s="321"/>
      <c r="H22" s="310"/>
      <c r="I22" s="318"/>
      <c r="J22" s="310"/>
      <c r="K22" s="299"/>
    </row>
    <row r="23" spans="1:12">
      <c r="A23" s="316"/>
      <c r="B23" s="310"/>
      <c r="C23" s="319"/>
      <c r="D23" s="310"/>
      <c r="E23" s="319"/>
      <c r="F23" s="310"/>
      <c r="G23" s="319"/>
      <c r="H23" s="310"/>
      <c r="I23" s="319"/>
      <c r="J23" s="310"/>
      <c r="K23" s="299"/>
    </row>
    <row r="24" spans="1:12">
      <c r="A24" s="316"/>
      <c r="B24" s="310"/>
      <c r="C24" s="321"/>
      <c r="D24" s="310"/>
      <c r="E24" s="321"/>
      <c r="F24" s="310"/>
      <c r="G24" s="321"/>
      <c r="H24" s="310"/>
      <c r="I24" s="318"/>
      <c r="J24" s="310"/>
      <c r="K24" s="299"/>
    </row>
    <row r="25" spans="1:12">
      <c r="A25" s="316"/>
      <c r="B25" s="310"/>
      <c r="C25" s="319"/>
      <c r="D25" s="310"/>
      <c r="E25" s="319"/>
      <c r="F25" s="310"/>
      <c r="G25" s="319"/>
      <c r="H25" s="310"/>
      <c r="I25" s="319"/>
      <c r="J25" s="310"/>
      <c r="K25" s="299"/>
    </row>
    <row r="26" spans="1:12">
      <c r="A26" s="316"/>
      <c r="B26" s="310"/>
      <c r="C26" s="319"/>
      <c r="D26" s="310"/>
      <c r="E26" s="319"/>
      <c r="F26" s="310"/>
      <c r="G26" s="319"/>
      <c r="H26" s="310"/>
      <c r="I26" s="319"/>
      <c r="J26" s="310"/>
      <c r="K26" s="299"/>
    </row>
    <row r="27" spans="1:12">
      <c r="A27" s="316"/>
      <c r="B27" s="310"/>
      <c r="C27" s="316"/>
      <c r="D27" s="310"/>
      <c r="E27" s="316"/>
      <c r="F27" s="310"/>
      <c r="G27" s="319"/>
      <c r="H27" s="310"/>
      <c r="I27" s="319"/>
      <c r="J27" s="310"/>
      <c r="K27" s="299"/>
    </row>
    <row r="28" spans="1:12">
      <c r="A28" s="313" t="s">
        <v>4</v>
      </c>
      <c r="B28" s="312">
        <f>SUM(B20:B27)</f>
        <v>0</v>
      </c>
      <c r="C28" s="313" t="s">
        <v>4</v>
      </c>
      <c r="D28" s="312">
        <f>SUM(D20:D27)</f>
        <v>0</v>
      </c>
      <c r="E28" s="313" t="s">
        <v>4</v>
      </c>
      <c r="F28" s="376">
        <f>SUM(F20:F27)</f>
        <v>0</v>
      </c>
      <c r="G28" s="313" t="s">
        <v>4</v>
      </c>
      <c r="H28" s="376">
        <f>SUM(H20:H27)</f>
        <v>0</v>
      </c>
      <c r="I28" s="313" t="s">
        <v>4</v>
      </c>
      <c r="J28" s="312">
        <f>SUM(J20:J27)</f>
        <v>0</v>
      </c>
      <c r="K28" s="312">
        <f>SUM(B28+D28+F28+H28+J28)</f>
        <v>0</v>
      </c>
    </row>
    <row r="29" spans="1:12">
      <c r="A29" s="313" t="s">
        <v>141</v>
      </c>
      <c r="B29" s="312">
        <f>SUM(B18-B28)</f>
        <v>0</v>
      </c>
      <c r="C29" s="313" t="s">
        <v>141</v>
      </c>
      <c r="D29" s="312">
        <f>SUM(D18-D28)</f>
        <v>0</v>
      </c>
      <c r="E29" s="313" t="s">
        <v>141</v>
      </c>
      <c r="F29" s="312">
        <f>SUM(F18-F28)</f>
        <v>0</v>
      </c>
      <c r="G29" s="313" t="s">
        <v>141</v>
      </c>
      <c r="H29" s="312">
        <f>SUM(H18-H28)</f>
        <v>0</v>
      </c>
      <c r="I29" s="313" t="s">
        <v>141</v>
      </c>
      <c r="J29" s="312">
        <f>SUM(J18-J28)</f>
        <v>0</v>
      </c>
      <c r="K29" s="322">
        <f>SUM(B29+D29+F29+H29+J29)</f>
        <v>0</v>
      </c>
      <c r="L29" s="32" t="s">
        <v>218</v>
      </c>
    </row>
    <row r="30" spans="1:12">
      <c r="A30" s="313"/>
      <c r="B30" s="346" t="str">
        <f>IF(B29&lt;0,"See Tab B","")</f>
        <v/>
      </c>
      <c r="C30" s="313"/>
      <c r="D30" s="346" t="str">
        <f>IF(D29&lt;0,"See Tab B","")</f>
        <v/>
      </c>
      <c r="E30" s="313"/>
      <c r="F30" s="346" t="str">
        <f>IF(F29&lt;0,"See Tab B","")</f>
        <v/>
      </c>
      <c r="G30" s="172"/>
      <c r="H30" s="346" t="str">
        <f>IF(H29&lt;0,"See Tab B","")</f>
        <v/>
      </c>
      <c r="I30" s="172"/>
      <c r="J30" s="346" t="str">
        <f>IF(J29&lt;0,"See Tab B","")</f>
        <v/>
      </c>
      <c r="K30" s="322">
        <f>SUM(K7+K17-K28)</f>
        <v>0</v>
      </c>
      <c r="L30" s="32" t="s">
        <v>218</v>
      </c>
    </row>
    <row r="31" spans="1:12">
      <c r="A31" s="172"/>
      <c r="B31" s="177"/>
      <c r="C31" s="172"/>
      <c r="D31" s="299"/>
      <c r="E31" s="172"/>
      <c r="F31" s="172"/>
      <c r="G31" s="42" t="s">
        <v>220</v>
      </c>
      <c r="H31" s="42"/>
      <c r="I31" s="42"/>
      <c r="J31" s="42"/>
      <c r="K31" s="172"/>
    </row>
    <row r="32" spans="1:12">
      <c r="A32" s="172"/>
      <c r="B32" s="177"/>
      <c r="C32" s="172"/>
      <c r="D32" s="172"/>
      <c r="E32" s="172"/>
      <c r="F32" s="172"/>
      <c r="G32" s="172"/>
      <c r="H32" s="172"/>
      <c r="I32" s="172"/>
      <c r="J32" s="172"/>
      <c r="K32" s="172"/>
    </row>
    <row r="33" spans="1:11">
      <c r="A33" s="172"/>
      <c r="B33" s="177"/>
      <c r="C33" s="172"/>
      <c r="D33" s="172"/>
      <c r="E33" s="186" t="s">
        <v>7</v>
      </c>
      <c r="F33" s="281"/>
      <c r="G33" s="172"/>
      <c r="H33" s="172"/>
      <c r="I33" s="172"/>
      <c r="J33" s="172"/>
      <c r="K33" s="172"/>
    </row>
    <row r="34" spans="1:11">
      <c r="B34" s="323"/>
    </row>
    <row r="35" spans="1:11">
      <c r="B35" s="323"/>
    </row>
    <row r="36" spans="1:11">
      <c r="B36" s="323"/>
    </row>
    <row r="37" spans="1:11">
      <c r="B37" s="323"/>
    </row>
    <row r="38" spans="1:11">
      <c r="B38" s="323"/>
    </row>
    <row r="39" spans="1:11">
      <c r="B39" s="323"/>
    </row>
    <row r="40" spans="1:11">
      <c r="B40" s="323"/>
    </row>
    <row r="41" spans="1:11">
      <c r="B41" s="323"/>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workbookViewId="0">
      <selection activeCell="B7" sqref="B7"/>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3" t="str">
        <f ca="1">inputPrYr!$D$2</f>
        <v>City of Grainfield</v>
      </c>
      <c r="B1" s="299"/>
      <c r="C1" s="172"/>
      <c r="D1" s="172"/>
      <c r="E1" s="172"/>
      <c r="F1" s="174" t="s">
        <v>143</v>
      </c>
      <c r="G1" s="172"/>
      <c r="H1" s="172"/>
      <c r="I1" s="172"/>
      <c r="J1" s="172"/>
      <c r="K1" s="172">
        <f ca="1">inputPrYr!$C$5</f>
        <v>2014</v>
      </c>
    </row>
    <row r="2" spans="1:11">
      <c r="A2" s="172"/>
      <c r="B2" s="172"/>
      <c r="C2" s="172"/>
      <c r="D2" s="172"/>
      <c r="E2" s="172"/>
      <c r="F2" s="300" t="str">
        <f>CONCATENATE("(Only the actual budget year for ",K1-2," is to be shown)")</f>
        <v>(Only the actual budget year for 2012 is to be shown)</v>
      </c>
      <c r="G2" s="172"/>
      <c r="H2" s="172"/>
      <c r="I2" s="172"/>
      <c r="J2" s="172"/>
      <c r="K2" s="172"/>
    </row>
    <row r="3" spans="1:11">
      <c r="A3" s="172" t="s">
        <v>179</v>
      </c>
      <c r="B3" s="172"/>
      <c r="C3" s="172"/>
      <c r="D3" s="172"/>
      <c r="E3" s="172"/>
      <c r="F3" s="299"/>
      <c r="G3" s="172"/>
      <c r="H3" s="172"/>
      <c r="I3" s="172"/>
      <c r="J3" s="172"/>
      <c r="K3" s="172"/>
    </row>
    <row r="4" spans="1:11">
      <c r="A4" s="172" t="s">
        <v>135</v>
      </c>
      <c r="B4" s="172"/>
      <c r="C4" s="172" t="s">
        <v>136</v>
      </c>
      <c r="D4" s="172"/>
      <c r="E4" s="172" t="s">
        <v>137</v>
      </c>
      <c r="F4" s="299"/>
      <c r="G4" s="172" t="s">
        <v>138</v>
      </c>
      <c r="H4" s="172"/>
      <c r="I4" s="172" t="s">
        <v>139</v>
      </c>
      <c r="J4" s="172"/>
      <c r="K4" s="172"/>
    </row>
    <row r="5" spans="1:11">
      <c r="A5" s="806" t="str">
        <f ca="1">IF(inputPrYr!B69&gt;" ",(inputPrYr!B69)," ")</f>
        <v xml:space="preserve"> </v>
      </c>
      <c r="B5" s="807"/>
      <c r="C5" s="806" t="str">
        <f ca="1">IF(inputPrYr!B70&gt;" ",(inputPrYr!B70)," ")</f>
        <v xml:space="preserve"> </v>
      </c>
      <c r="D5" s="807"/>
      <c r="E5" s="806" t="str">
        <f ca="1">IF(inputPrYr!B71&gt;" ",(inputPrYr!B71)," ")</f>
        <v xml:space="preserve"> </v>
      </c>
      <c r="F5" s="807"/>
      <c r="G5" s="806" t="str">
        <f ca="1">IF(inputPrYr!B72&gt;" ",(inputPrYr!B72)," ")</f>
        <v xml:space="preserve"> </v>
      </c>
      <c r="H5" s="807"/>
      <c r="I5" s="806" t="str">
        <f ca="1">IF(inputPrYr!B73&gt;" ",(inputPrYr!B73)," ")</f>
        <v xml:space="preserve"> </v>
      </c>
      <c r="J5" s="807"/>
      <c r="K5" s="123"/>
    </row>
    <row r="6" spans="1:11">
      <c r="A6" s="303" t="s">
        <v>140</v>
      </c>
      <c r="B6" s="304"/>
      <c r="C6" s="305" t="s">
        <v>140</v>
      </c>
      <c r="D6" s="306"/>
      <c r="E6" s="305" t="s">
        <v>140</v>
      </c>
      <c r="F6" s="302"/>
      <c r="G6" s="305" t="s">
        <v>140</v>
      </c>
      <c r="H6" s="307"/>
      <c r="I6" s="305" t="s">
        <v>140</v>
      </c>
      <c r="J6" s="172"/>
      <c r="K6" s="308" t="s">
        <v>719</v>
      </c>
    </row>
    <row r="7" spans="1:11">
      <c r="A7" s="309" t="s">
        <v>662</v>
      </c>
      <c r="B7" s="310"/>
      <c r="C7" s="311" t="s">
        <v>662</v>
      </c>
      <c r="D7" s="310"/>
      <c r="E7" s="311" t="s">
        <v>662</v>
      </c>
      <c r="F7" s="310"/>
      <c r="G7" s="311" t="s">
        <v>662</v>
      </c>
      <c r="H7" s="310"/>
      <c r="I7" s="311" t="s">
        <v>662</v>
      </c>
      <c r="J7" s="310"/>
      <c r="K7" s="312">
        <f>SUM(B7+D7+F7+H7+J7)</f>
        <v>0</v>
      </c>
    </row>
    <row r="8" spans="1:11">
      <c r="A8" s="313" t="s">
        <v>112</v>
      </c>
      <c r="B8" s="314"/>
      <c r="C8" s="313" t="s">
        <v>112</v>
      </c>
      <c r="D8" s="315"/>
      <c r="E8" s="313" t="s">
        <v>112</v>
      </c>
      <c r="F8" s="299"/>
      <c r="G8" s="313" t="s">
        <v>112</v>
      </c>
      <c r="H8" s="172"/>
      <c r="I8" s="313" t="s">
        <v>112</v>
      </c>
      <c r="J8" s="172"/>
      <c r="K8" s="299"/>
    </row>
    <row r="9" spans="1:11">
      <c r="A9" s="316"/>
      <c r="B9" s="310"/>
      <c r="C9" s="316"/>
      <c r="D9" s="310"/>
      <c r="E9" s="316"/>
      <c r="F9" s="310"/>
      <c r="G9" s="316"/>
      <c r="H9" s="310"/>
      <c r="I9" s="316"/>
      <c r="J9" s="310"/>
      <c r="K9" s="299"/>
    </row>
    <row r="10" spans="1:11">
      <c r="A10" s="316"/>
      <c r="B10" s="310"/>
      <c r="C10" s="316"/>
      <c r="D10" s="310"/>
      <c r="E10" s="316"/>
      <c r="F10" s="310"/>
      <c r="G10" s="316"/>
      <c r="H10" s="310"/>
      <c r="I10" s="316"/>
      <c r="J10" s="310"/>
      <c r="K10" s="299"/>
    </row>
    <row r="11" spans="1:11">
      <c r="A11" s="316"/>
      <c r="B11" s="310"/>
      <c r="C11" s="317"/>
      <c r="D11" s="310"/>
      <c r="E11" s="317"/>
      <c r="F11" s="310"/>
      <c r="G11" s="317"/>
      <c r="H11" s="310"/>
      <c r="I11" s="318"/>
      <c r="J11" s="310"/>
      <c r="K11" s="299"/>
    </row>
    <row r="12" spans="1:11">
      <c r="A12" s="316"/>
      <c r="B12" s="310"/>
      <c r="C12" s="316"/>
      <c r="D12" s="310"/>
      <c r="E12" s="319"/>
      <c r="F12" s="310"/>
      <c r="G12" s="319"/>
      <c r="H12" s="310"/>
      <c r="I12" s="319"/>
      <c r="J12" s="310"/>
      <c r="K12" s="299"/>
    </row>
    <row r="13" spans="1:11">
      <c r="A13" s="320"/>
      <c r="B13" s="310"/>
      <c r="C13" s="321"/>
      <c r="D13" s="310"/>
      <c r="E13" s="321"/>
      <c r="F13" s="310"/>
      <c r="G13" s="321"/>
      <c r="H13" s="310"/>
      <c r="I13" s="318"/>
      <c r="J13" s="310"/>
      <c r="K13" s="299"/>
    </row>
    <row r="14" spans="1:11">
      <c r="A14" s="316"/>
      <c r="B14" s="310"/>
      <c r="C14" s="319"/>
      <c r="D14" s="310"/>
      <c r="E14" s="319"/>
      <c r="F14" s="310"/>
      <c r="G14" s="319"/>
      <c r="H14" s="310"/>
      <c r="I14" s="319"/>
      <c r="J14" s="310"/>
      <c r="K14" s="299"/>
    </row>
    <row r="15" spans="1:11">
      <c r="A15" s="316"/>
      <c r="B15" s="310"/>
      <c r="C15" s="319"/>
      <c r="D15" s="310"/>
      <c r="E15" s="319"/>
      <c r="F15" s="310"/>
      <c r="G15" s="319"/>
      <c r="H15" s="310"/>
      <c r="I15" s="319"/>
      <c r="J15" s="310"/>
      <c r="K15" s="299"/>
    </row>
    <row r="16" spans="1:11">
      <c r="A16" s="316"/>
      <c r="B16" s="310"/>
      <c r="C16" s="316"/>
      <c r="D16" s="310"/>
      <c r="E16" s="316"/>
      <c r="F16" s="310"/>
      <c r="G16" s="319"/>
      <c r="H16" s="310"/>
      <c r="I16" s="316"/>
      <c r="J16" s="310"/>
      <c r="K16" s="299"/>
    </row>
    <row r="17" spans="1:12">
      <c r="A17" s="313" t="s">
        <v>754</v>
      </c>
      <c r="B17" s="312">
        <f>SUM(B9:B16)</f>
        <v>0</v>
      </c>
      <c r="C17" s="313" t="s">
        <v>754</v>
      </c>
      <c r="D17" s="312">
        <f>SUM(D9:D16)</f>
        <v>0</v>
      </c>
      <c r="E17" s="313" t="s">
        <v>754</v>
      </c>
      <c r="F17" s="376">
        <f>SUM(F9:F16)</f>
        <v>0</v>
      </c>
      <c r="G17" s="313" t="s">
        <v>754</v>
      </c>
      <c r="H17" s="312">
        <f>SUM(H9:H16)</f>
        <v>0</v>
      </c>
      <c r="I17" s="313" t="s">
        <v>754</v>
      </c>
      <c r="J17" s="312">
        <f>SUM(J9:J16)</f>
        <v>0</v>
      </c>
      <c r="K17" s="312">
        <f>SUM(B17+D17+F17+H17+J17)</f>
        <v>0</v>
      </c>
    </row>
    <row r="18" spans="1:12">
      <c r="A18" s="313" t="s">
        <v>755</v>
      </c>
      <c r="B18" s="312">
        <f>SUM(B7+B17)</f>
        <v>0</v>
      </c>
      <c r="C18" s="313" t="s">
        <v>755</v>
      </c>
      <c r="D18" s="312">
        <f>SUM(D7+D17)</f>
        <v>0</v>
      </c>
      <c r="E18" s="313" t="s">
        <v>755</v>
      </c>
      <c r="F18" s="312">
        <f>SUM(F7+F17)</f>
        <v>0</v>
      </c>
      <c r="G18" s="313" t="s">
        <v>755</v>
      </c>
      <c r="H18" s="312">
        <f>SUM(H7+H17)</f>
        <v>0</v>
      </c>
      <c r="I18" s="313" t="s">
        <v>755</v>
      </c>
      <c r="J18" s="312">
        <f>SUM(J7+J17)</f>
        <v>0</v>
      </c>
      <c r="K18" s="312">
        <f>SUM(B18+D18+F18+H18+J18)</f>
        <v>0</v>
      </c>
    </row>
    <row r="19" spans="1:12">
      <c r="A19" s="313" t="s">
        <v>0</v>
      </c>
      <c r="B19" s="314"/>
      <c r="C19" s="313" t="s">
        <v>0</v>
      </c>
      <c r="D19" s="315"/>
      <c r="E19" s="313" t="s">
        <v>0</v>
      </c>
      <c r="F19" s="299"/>
      <c r="G19" s="313" t="s">
        <v>0</v>
      </c>
      <c r="H19" s="172"/>
      <c r="I19" s="313" t="s">
        <v>0</v>
      </c>
      <c r="J19" s="172"/>
      <c r="K19" s="299"/>
    </row>
    <row r="20" spans="1:12">
      <c r="A20" s="316"/>
      <c r="B20" s="310"/>
      <c r="C20" s="319"/>
      <c r="D20" s="310"/>
      <c r="E20" s="319"/>
      <c r="F20" s="310"/>
      <c r="G20" s="319"/>
      <c r="H20" s="310"/>
      <c r="I20" s="319"/>
      <c r="J20" s="310"/>
      <c r="K20" s="299"/>
    </row>
    <row r="21" spans="1:12">
      <c r="A21" s="316"/>
      <c r="B21" s="310"/>
      <c r="C21" s="319"/>
      <c r="D21" s="310"/>
      <c r="E21" s="319"/>
      <c r="F21" s="310"/>
      <c r="G21" s="319"/>
      <c r="H21" s="310"/>
      <c r="I21" s="319"/>
      <c r="J21" s="310"/>
      <c r="K21" s="299"/>
    </row>
    <row r="22" spans="1:12">
      <c r="A22" s="316"/>
      <c r="B22" s="310"/>
      <c r="C22" s="321"/>
      <c r="D22" s="310"/>
      <c r="E22" s="321"/>
      <c r="F22" s="310"/>
      <c r="G22" s="321"/>
      <c r="H22" s="310"/>
      <c r="I22" s="318"/>
      <c r="J22" s="310"/>
      <c r="K22" s="299"/>
    </row>
    <row r="23" spans="1:12">
      <c r="A23" s="316"/>
      <c r="B23" s="310"/>
      <c r="C23" s="319"/>
      <c r="D23" s="310"/>
      <c r="E23" s="319"/>
      <c r="F23" s="310"/>
      <c r="G23" s="319"/>
      <c r="H23" s="310"/>
      <c r="I23" s="319"/>
      <c r="J23" s="310"/>
      <c r="K23" s="299"/>
    </row>
    <row r="24" spans="1:12">
      <c r="A24" s="316"/>
      <c r="B24" s="310"/>
      <c r="C24" s="321"/>
      <c r="D24" s="310"/>
      <c r="E24" s="321"/>
      <c r="F24" s="310"/>
      <c r="G24" s="321"/>
      <c r="H24" s="310"/>
      <c r="I24" s="318"/>
      <c r="J24" s="310"/>
      <c r="K24" s="299"/>
    </row>
    <row r="25" spans="1:12">
      <c r="A25" s="316"/>
      <c r="B25" s="310"/>
      <c r="C25" s="319"/>
      <c r="D25" s="310"/>
      <c r="E25" s="319"/>
      <c r="F25" s="310"/>
      <c r="G25" s="319"/>
      <c r="H25" s="310"/>
      <c r="I25" s="319"/>
      <c r="J25" s="310"/>
      <c r="K25" s="299"/>
    </row>
    <row r="26" spans="1:12">
      <c r="A26" s="316"/>
      <c r="B26" s="310"/>
      <c r="C26" s="319"/>
      <c r="D26" s="310"/>
      <c r="E26" s="319"/>
      <c r="F26" s="310"/>
      <c r="G26" s="319"/>
      <c r="H26" s="310"/>
      <c r="I26" s="319"/>
      <c r="J26" s="310"/>
      <c r="K26" s="299"/>
    </row>
    <row r="27" spans="1:12">
      <c r="A27" s="316"/>
      <c r="B27" s="310"/>
      <c r="C27" s="316"/>
      <c r="D27" s="310"/>
      <c r="E27" s="316"/>
      <c r="F27" s="310"/>
      <c r="G27" s="319"/>
      <c r="H27" s="310"/>
      <c r="I27" s="319"/>
      <c r="J27" s="310"/>
      <c r="K27" s="299"/>
    </row>
    <row r="28" spans="1:12">
      <c r="A28" s="313" t="s">
        <v>4</v>
      </c>
      <c r="B28" s="312">
        <f>SUM(B20:B27)</f>
        <v>0</v>
      </c>
      <c r="C28" s="313" t="s">
        <v>4</v>
      </c>
      <c r="D28" s="312">
        <f>SUM(D20:D27)</f>
        <v>0</v>
      </c>
      <c r="E28" s="313" t="s">
        <v>4</v>
      </c>
      <c r="F28" s="376">
        <f>SUM(F20:F27)</f>
        <v>0</v>
      </c>
      <c r="G28" s="313" t="s">
        <v>4</v>
      </c>
      <c r="H28" s="376">
        <f>SUM(H20:H27)</f>
        <v>0</v>
      </c>
      <c r="I28" s="313" t="s">
        <v>4</v>
      </c>
      <c r="J28" s="312">
        <f>SUM(J20:J27)</f>
        <v>0</v>
      </c>
      <c r="K28" s="312">
        <f>SUM(B28+D28+F28+H28+J28)</f>
        <v>0</v>
      </c>
    </row>
    <row r="29" spans="1:12">
      <c r="A29" s="313" t="s">
        <v>141</v>
      </c>
      <c r="B29" s="312">
        <f>SUM(B18-B28)</f>
        <v>0</v>
      </c>
      <c r="C29" s="313" t="s">
        <v>141</v>
      </c>
      <c r="D29" s="312">
        <f>SUM(D18-D28)</f>
        <v>0</v>
      </c>
      <c r="E29" s="313" t="s">
        <v>141</v>
      </c>
      <c r="F29" s="312">
        <f>SUM(F18-F28)</f>
        <v>0</v>
      </c>
      <c r="G29" s="313" t="s">
        <v>141</v>
      </c>
      <c r="H29" s="312">
        <f>SUM(H18-H28)</f>
        <v>0</v>
      </c>
      <c r="I29" s="313" t="s">
        <v>141</v>
      </c>
      <c r="J29" s="312">
        <f>SUM(J18-J28)</f>
        <v>0</v>
      </c>
      <c r="K29" s="322">
        <f>SUM(B29+D29+F29+H29+J29)</f>
        <v>0</v>
      </c>
      <c r="L29" s="32" t="s">
        <v>218</v>
      </c>
    </row>
    <row r="30" spans="1:12">
      <c r="A30" s="313"/>
      <c r="B30" s="346" t="str">
        <f>IF(B29&lt;0,"See Tab B","")</f>
        <v/>
      </c>
      <c r="C30" s="313"/>
      <c r="D30" s="346" t="str">
        <f>IF(D29&lt;0,"See Tab B","")</f>
        <v/>
      </c>
      <c r="E30" s="313"/>
      <c r="F30" s="346" t="str">
        <f>IF(F29&lt;0,"See Tab B","")</f>
        <v/>
      </c>
      <c r="G30" s="172"/>
      <c r="H30" s="346" t="str">
        <f>IF(H29&lt;0,"See Tab B","")</f>
        <v/>
      </c>
      <c r="I30" s="172"/>
      <c r="J30" s="346" t="str">
        <f>IF(J29&lt;0,"See Tab B","")</f>
        <v/>
      </c>
      <c r="K30" s="322">
        <f>SUM(K7+K17-K28)</f>
        <v>0</v>
      </c>
      <c r="L30" s="32" t="s">
        <v>218</v>
      </c>
    </row>
    <row r="31" spans="1:12">
      <c r="A31" s="172"/>
      <c r="B31" s="177"/>
      <c r="C31" s="172"/>
      <c r="D31" s="299"/>
      <c r="E31" s="172"/>
      <c r="F31" s="172"/>
      <c r="G31" s="42" t="s">
        <v>220</v>
      </c>
      <c r="H31" s="42"/>
      <c r="I31" s="42"/>
      <c r="J31" s="42"/>
      <c r="K31" s="172"/>
    </row>
    <row r="32" spans="1:12">
      <c r="A32" s="172"/>
      <c r="B32" s="177"/>
      <c r="C32" s="172"/>
      <c r="D32" s="172"/>
      <c r="E32" s="172"/>
      <c r="F32" s="172"/>
      <c r="G32" s="324"/>
      <c r="H32" s="172"/>
      <c r="I32" s="172"/>
      <c r="J32" s="172"/>
      <c r="K32" s="172"/>
    </row>
    <row r="33" spans="1:11">
      <c r="A33" s="172"/>
      <c r="B33" s="177"/>
      <c r="C33" s="172"/>
      <c r="D33" s="172"/>
      <c r="E33" s="186" t="s">
        <v>7</v>
      </c>
      <c r="F33" s="281"/>
      <c r="G33" s="172"/>
      <c r="H33" s="172"/>
      <c r="I33" s="172"/>
      <c r="J33" s="172"/>
      <c r="K33" s="172"/>
    </row>
    <row r="34" spans="1:11">
      <c r="B34" s="323"/>
    </row>
    <row r="35" spans="1:11">
      <c r="B35" s="323"/>
    </row>
    <row r="36" spans="1:11">
      <c r="B36" s="323"/>
    </row>
    <row r="37" spans="1:11">
      <c r="B37" s="323"/>
    </row>
    <row r="38" spans="1:11">
      <c r="B38" s="323"/>
    </row>
    <row r="39" spans="1:11">
      <c r="B39" s="323"/>
    </row>
    <row r="40" spans="1:11">
      <c r="B40" s="323"/>
    </row>
    <row r="41" spans="1:11">
      <c r="B41" s="323"/>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32" customWidth="1"/>
    <col min="2" max="2" width="7.44140625" style="32" customWidth="1"/>
    <col min="3" max="3" width="11.5546875" style="32" customWidth="1"/>
    <col min="4" max="4" width="7.44140625" style="32" customWidth="1"/>
    <col min="5" max="5" width="11.5546875" style="32" customWidth="1"/>
    <col min="6" max="6" width="7.44140625" style="32" customWidth="1"/>
    <col min="7" max="7" width="11.5546875" style="32" customWidth="1"/>
    <col min="8" max="8" width="7.44140625" style="32" customWidth="1"/>
    <col min="9" max="9" width="11.5546875" style="32" customWidth="1"/>
    <col min="10" max="16384" width="8.88671875" style="32"/>
  </cols>
  <sheetData>
    <row r="1" spans="1:11">
      <c r="A1" s="173" t="str">
        <f ca="1">inputPrYr!$D$2</f>
        <v>City of Grainfield</v>
      </c>
      <c r="B1" s="299"/>
      <c r="C1" s="172"/>
      <c r="D1" s="172"/>
      <c r="E1" s="172"/>
      <c r="F1" s="174" t="s">
        <v>144</v>
      </c>
      <c r="G1" s="172"/>
      <c r="H1" s="172"/>
      <c r="I1" s="172"/>
      <c r="J1" s="172"/>
      <c r="K1" s="172">
        <f ca="1">inputPrYr!$C$5</f>
        <v>2014</v>
      </c>
    </row>
    <row r="2" spans="1:11">
      <c r="A2" s="172"/>
      <c r="B2" s="172"/>
      <c r="C2" s="172"/>
      <c r="D2" s="172"/>
      <c r="E2" s="172"/>
      <c r="F2" s="300" t="str">
        <f>CONCATENATE("(Only the actual budget year for ",K1-2," is to be shown)")</f>
        <v>(Only the actual budget year for 2012 is to be shown)</v>
      </c>
      <c r="G2" s="172"/>
      <c r="H2" s="172"/>
      <c r="I2" s="172"/>
      <c r="J2" s="172"/>
      <c r="K2" s="172"/>
    </row>
    <row r="3" spans="1:11">
      <c r="A3" s="172" t="s">
        <v>180</v>
      </c>
      <c r="B3" s="172"/>
      <c r="C3" s="172"/>
      <c r="D3" s="172"/>
      <c r="E3" s="172"/>
      <c r="F3" s="299"/>
      <c r="G3" s="172"/>
      <c r="H3" s="172"/>
      <c r="I3" s="172"/>
      <c r="J3" s="172"/>
      <c r="K3" s="172"/>
    </row>
    <row r="4" spans="1:11">
      <c r="A4" s="172" t="s">
        <v>135</v>
      </c>
      <c r="B4" s="172"/>
      <c r="C4" s="172" t="s">
        <v>136</v>
      </c>
      <c r="D4" s="172"/>
      <c r="E4" s="172" t="s">
        <v>137</v>
      </c>
      <c r="F4" s="299"/>
      <c r="G4" s="172" t="s">
        <v>138</v>
      </c>
      <c r="H4" s="172"/>
      <c r="I4" s="172" t="s">
        <v>139</v>
      </c>
      <c r="J4" s="172"/>
      <c r="K4" s="172"/>
    </row>
    <row r="5" spans="1:11">
      <c r="A5" s="806" t="str">
        <f ca="1">IF(inputPrYr!B75&gt;" ",(inputPrYr!B75)," ")</f>
        <v xml:space="preserve"> </v>
      </c>
      <c r="B5" s="807"/>
      <c r="C5" s="806" t="str">
        <f ca="1">IF(inputPrYr!B76&gt;" ",(inputPrYr!B76)," ")</f>
        <v xml:space="preserve"> </v>
      </c>
      <c r="D5" s="807"/>
      <c r="E5" s="806" t="str">
        <f ca="1">IF(inputPrYr!B77&gt;" ",(inputPrYr!B77)," ")</f>
        <v xml:space="preserve"> </v>
      </c>
      <c r="F5" s="807"/>
      <c r="G5" s="806" t="str">
        <f ca="1">IF(inputPrYr!B78&gt;" ",(inputPrYr!B78)," ")</f>
        <v xml:space="preserve"> </v>
      </c>
      <c r="H5" s="807"/>
      <c r="I5" s="806" t="str">
        <f ca="1">IF(inputPrYr!B79&gt;" ",(inputPrYr!B79)," ")</f>
        <v xml:space="preserve"> </v>
      </c>
      <c r="J5" s="807"/>
      <c r="K5" s="123"/>
    </row>
    <row r="6" spans="1:11">
      <c r="A6" s="303" t="s">
        <v>140</v>
      </c>
      <c r="B6" s="304"/>
      <c r="C6" s="305" t="s">
        <v>140</v>
      </c>
      <c r="D6" s="306"/>
      <c r="E6" s="305" t="s">
        <v>140</v>
      </c>
      <c r="F6" s="302"/>
      <c r="G6" s="305" t="s">
        <v>140</v>
      </c>
      <c r="H6" s="307"/>
      <c r="I6" s="305" t="s">
        <v>140</v>
      </c>
      <c r="J6" s="172"/>
      <c r="K6" s="308" t="s">
        <v>719</v>
      </c>
    </row>
    <row r="7" spans="1:11">
      <c r="A7" s="309" t="s">
        <v>662</v>
      </c>
      <c r="B7" s="310"/>
      <c r="C7" s="311" t="s">
        <v>662</v>
      </c>
      <c r="D7" s="310"/>
      <c r="E7" s="311" t="s">
        <v>662</v>
      </c>
      <c r="F7" s="310"/>
      <c r="G7" s="311" t="s">
        <v>662</v>
      </c>
      <c r="H7" s="310"/>
      <c r="I7" s="311" t="s">
        <v>662</v>
      </c>
      <c r="J7" s="310"/>
      <c r="K7" s="312">
        <f>SUM(B7+D7+F7+H7+J7)</f>
        <v>0</v>
      </c>
    </row>
    <row r="8" spans="1:11">
      <c r="A8" s="313" t="s">
        <v>112</v>
      </c>
      <c r="B8" s="314"/>
      <c r="C8" s="313" t="s">
        <v>112</v>
      </c>
      <c r="D8" s="315"/>
      <c r="E8" s="313" t="s">
        <v>112</v>
      </c>
      <c r="F8" s="299"/>
      <c r="G8" s="313" t="s">
        <v>112</v>
      </c>
      <c r="H8" s="172"/>
      <c r="I8" s="313" t="s">
        <v>112</v>
      </c>
      <c r="J8" s="172"/>
      <c r="K8" s="299"/>
    </row>
    <row r="9" spans="1:11">
      <c r="A9" s="316"/>
      <c r="B9" s="310"/>
      <c r="C9" s="316"/>
      <c r="D9" s="310"/>
      <c r="E9" s="316"/>
      <c r="F9" s="310"/>
      <c r="G9" s="316"/>
      <c r="H9" s="310"/>
      <c r="I9" s="316"/>
      <c r="J9" s="310"/>
      <c r="K9" s="299"/>
    </row>
    <row r="10" spans="1:11">
      <c r="A10" s="316"/>
      <c r="B10" s="310"/>
      <c r="C10" s="316"/>
      <c r="D10" s="310"/>
      <c r="E10" s="316"/>
      <c r="F10" s="310"/>
      <c r="G10" s="316"/>
      <c r="H10" s="310"/>
      <c r="I10" s="316"/>
      <c r="J10" s="310"/>
      <c r="K10" s="299"/>
    </row>
    <row r="11" spans="1:11">
      <c r="A11" s="316"/>
      <c r="B11" s="310"/>
      <c r="C11" s="317"/>
      <c r="D11" s="310"/>
      <c r="E11" s="317"/>
      <c r="F11" s="310"/>
      <c r="G11" s="317"/>
      <c r="H11" s="310"/>
      <c r="I11" s="318"/>
      <c r="J11" s="310"/>
      <c r="K11" s="299"/>
    </row>
    <row r="12" spans="1:11">
      <c r="A12" s="316"/>
      <c r="B12" s="310"/>
      <c r="C12" s="316"/>
      <c r="D12" s="310"/>
      <c r="E12" s="319"/>
      <c r="F12" s="310"/>
      <c r="G12" s="319"/>
      <c r="H12" s="310"/>
      <c r="I12" s="319"/>
      <c r="J12" s="310"/>
      <c r="K12" s="299"/>
    </row>
    <row r="13" spans="1:11">
      <c r="A13" s="320"/>
      <c r="B13" s="310"/>
      <c r="C13" s="321"/>
      <c r="D13" s="310"/>
      <c r="E13" s="321"/>
      <c r="F13" s="310"/>
      <c r="G13" s="321"/>
      <c r="H13" s="310"/>
      <c r="I13" s="318"/>
      <c r="J13" s="310"/>
      <c r="K13" s="299"/>
    </row>
    <row r="14" spans="1:11">
      <c r="A14" s="316"/>
      <c r="B14" s="310"/>
      <c r="C14" s="319"/>
      <c r="D14" s="310"/>
      <c r="E14" s="319"/>
      <c r="F14" s="310"/>
      <c r="G14" s="319"/>
      <c r="H14" s="310"/>
      <c r="I14" s="319"/>
      <c r="J14" s="310"/>
      <c r="K14" s="299"/>
    </row>
    <row r="15" spans="1:11">
      <c r="A15" s="316"/>
      <c r="B15" s="310"/>
      <c r="C15" s="319"/>
      <c r="D15" s="310"/>
      <c r="E15" s="319"/>
      <c r="F15" s="310"/>
      <c r="G15" s="319"/>
      <c r="H15" s="310"/>
      <c r="I15" s="319"/>
      <c r="J15" s="310"/>
      <c r="K15" s="299"/>
    </row>
    <row r="16" spans="1:11">
      <c r="A16" s="316"/>
      <c r="B16" s="310"/>
      <c r="C16" s="316"/>
      <c r="D16" s="310"/>
      <c r="E16" s="316"/>
      <c r="F16" s="310"/>
      <c r="G16" s="319"/>
      <c r="H16" s="310"/>
      <c r="I16" s="316"/>
      <c r="J16" s="310"/>
      <c r="K16" s="299"/>
    </row>
    <row r="17" spans="1:12">
      <c r="A17" s="313" t="s">
        <v>754</v>
      </c>
      <c r="B17" s="312">
        <f>SUM(B9:B16)</f>
        <v>0</v>
      </c>
      <c r="C17" s="313" t="s">
        <v>754</v>
      </c>
      <c r="D17" s="312">
        <f>SUM(D9:D16)</f>
        <v>0</v>
      </c>
      <c r="E17" s="313" t="s">
        <v>754</v>
      </c>
      <c r="F17" s="376">
        <f>SUM(F9:F16)</f>
        <v>0</v>
      </c>
      <c r="G17" s="313" t="s">
        <v>754</v>
      </c>
      <c r="H17" s="312">
        <f>SUM(H9:H16)</f>
        <v>0</v>
      </c>
      <c r="I17" s="313" t="s">
        <v>754</v>
      </c>
      <c r="J17" s="312">
        <f>SUM(J9:J16)</f>
        <v>0</v>
      </c>
      <c r="K17" s="312">
        <f>SUM(B17+D17+F17+H17+J17)</f>
        <v>0</v>
      </c>
    </row>
    <row r="18" spans="1:12">
      <c r="A18" s="313" t="s">
        <v>755</v>
      </c>
      <c r="B18" s="312">
        <f>SUM(B7+B17)</f>
        <v>0</v>
      </c>
      <c r="C18" s="313" t="s">
        <v>755</v>
      </c>
      <c r="D18" s="312">
        <f>SUM(D7+D17)</f>
        <v>0</v>
      </c>
      <c r="E18" s="313" t="s">
        <v>755</v>
      </c>
      <c r="F18" s="312">
        <f>SUM(F7+F17)</f>
        <v>0</v>
      </c>
      <c r="G18" s="313" t="s">
        <v>755</v>
      </c>
      <c r="H18" s="312">
        <f>SUM(H7+H17)</f>
        <v>0</v>
      </c>
      <c r="I18" s="313" t="s">
        <v>755</v>
      </c>
      <c r="J18" s="312">
        <f>SUM(J7+J17)</f>
        <v>0</v>
      </c>
      <c r="K18" s="312">
        <f>SUM(B18+D18+F18+H18+J18)</f>
        <v>0</v>
      </c>
    </row>
    <row r="19" spans="1:12">
      <c r="A19" s="313" t="s">
        <v>0</v>
      </c>
      <c r="B19" s="314"/>
      <c r="C19" s="313" t="s">
        <v>0</v>
      </c>
      <c r="D19" s="315"/>
      <c r="E19" s="313" t="s">
        <v>0</v>
      </c>
      <c r="F19" s="299"/>
      <c r="G19" s="313" t="s">
        <v>0</v>
      </c>
      <c r="H19" s="172"/>
      <c r="I19" s="313" t="s">
        <v>0</v>
      </c>
      <c r="J19" s="172"/>
      <c r="K19" s="299"/>
    </row>
    <row r="20" spans="1:12">
      <c r="A20" s="316"/>
      <c r="B20" s="310"/>
      <c r="C20" s="319"/>
      <c r="D20" s="310"/>
      <c r="E20" s="319"/>
      <c r="F20" s="310"/>
      <c r="G20" s="319"/>
      <c r="H20" s="310"/>
      <c r="I20" s="319"/>
      <c r="J20" s="310"/>
      <c r="K20" s="299"/>
    </row>
    <row r="21" spans="1:12">
      <c r="A21" s="316"/>
      <c r="B21" s="310"/>
      <c r="C21" s="319"/>
      <c r="D21" s="310"/>
      <c r="E21" s="319"/>
      <c r="F21" s="310"/>
      <c r="G21" s="319"/>
      <c r="H21" s="310"/>
      <c r="I21" s="319"/>
      <c r="J21" s="310"/>
      <c r="K21" s="299"/>
    </row>
    <row r="22" spans="1:12">
      <c r="A22" s="316"/>
      <c r="B22" s="310"/>
      <c r="C22" s="321"/>
      <c r="D22" s="310"/>
      <c r="E22" s="321"/>
      <c r="F22" s="310"/>
      <c r="G22" s="321"/>
      <c r="H22" s="310"/>
      <c r="I22" s="318"/>
      <c r="J22" s="310"/>
      <c r="K22" s="299"/>
    </row>
    <row r="23" spans="1:12">
      <c r="A23" s="316"/>
      <c r="B23" s="310"/>
      <c r="C23" s="319"/>
      <c r="D23" s="310"/>
      <c r="E23" s="319"/>
      <c r="F23" s="310"/>
      <c r="G23" s="319"/>
      <c r="H23" s="310"/>
      <c r="I23" s="319"/>
      <c r="J23" s="310"/>
      <c r="K23" s="299"/>
    </row>
    <row r="24" spans="1:12">
      <c r="A24" s="316"/>
      <c r="B24" s="310"/>
      <c r="C24" s="321"/>
      <c r="D24" s="310"/>
      <c r="E24" s="321"/>
      <c r="F24" s="310"/>
      <c r="G24" s="321"/>
      <c r="H24" s="310"/>
      <c r="I24" s="318"/>
      <c r="J24" s="310"/>
      <c r="K24" s="299"/>
    </row>
    <row r="25" spans="1:12">
      <c r="A25" s="316"/>
      <c r="B25" s="310"/>
      <c r="C25" s="319"/>
      <c r="D25" s="310"/>
      <c r="E25" s="319"/>
      <c r="F25" s="310"/>
      <c r="G25" s="319"/>
      <c r="H25" s="310"/>
      <c r="I25" s="319"/>
      <c r="J25" s="310"/>
      <c r="K25" s="299"/>
    </row>
    <row r="26" spans="1:12">
      <c r="A26" s="316"/>
      <c r="B26" s="310"/>
      <c r="C26" s="319"/>
      <c r="D26" s="310"/>
      <c r="E26" s="319"/>
      <c r="F26" s="310"/>
      <c r="G26" s="319"/>
      <c r="H26" s="310"/>
      <c r="I26" s="319"/>
      <c r="J26" s="310"/>
      <c r="K26" s="299"/>
    </row>
    <row r="27" spans="1:12">
      <c r="A27" s="316"/>
      <c r="B27" s="310"/>
      <c r="C27" s="316"/>
      <c r="D27" s="310"/>
      <c r="E27" s="316"/>
      <c r="F27" s="310"/>
      <c r="G27" s="319"/>
      <c r="H27" s="310"/>
      <c r="I27" s="319"/>
      <c r="J27" s="310"/>
      <c r="K27" s="299"/>
    </row>
    <row r="28" spans="1:12">
      <c r="A28" s="313" t="s">
        <v>4</v>
      </c>
      <c r="B28" s="312">
        <f>SUM(B20:B27)</f>
        <v>0</v>
      </c>
      <c r="C28" s="313" t="s">
        <v>4</v>
      </c>
      <c r="D28" s="312">
        <f>SUM(D20:D27)</f>
        <v>0</v>
      </c>
      <c r="E28" s="313" t="s">
        <v>4</v>
      </c>
      <c r="F28" s="376">
        <f>SUM(F20:F27)</f>
        <v>0</v>
      </c>
      <c r="G28" s="313" t="s">
        <v>4</v>
      </c>
      <c r="H28" s="376">
        <f>SUM(H20:H27)</f>
        <v>0</v>
      </c>
      <c r="I28" s="313" t="s">
        <v>4</v>
      </c>
      <c r="J28" s="312">
        <f>SUM(J20:J27)</f>
        <v>0</v>
      </c>
      <c r="K28" s="312">
        <f>SUM(B28+D28+F28+H28+J28)</f>
        <v>0</v>
      </c>
    </row>
    <row r="29" spans="1:12">
      <c r="A29" s="313" t="s">
        <v>141</v>
      </c>
      <c r="B29" s="312">
        <f>SUM(B18-B28)</f>
        <v>0</v>
      </c>
      <c r="C29" s="313" t="s">
        <v>141</v>
      </c>
      <c r="D29" s="312">
        <f>SUM(D18-D28)</f>
        <v>0</v>
      </c>
      <c r="E29" s="313" t="s">
        <v>141</v>
      </c>
      <c r="F29" s="312">
        <f>SUM(F18-F28)</f>
        <v>0</v>
      </c>
      <c r="G29" s="313" t="s">
        <v>141</v>
      </c>
      <c r="H29" s="312">
        <f>SUM(H18-H28)</f>
        <v>0</v>
      </c>
      <c r="I29" s="313" t="s">
        <v>141</v>
      </c>
      <c r="J29" s="312">
        <f>SUM(J18-J28)</f>
        <v>0</v>
      </c>
      <c r="K29" s="322">
        <f>SUM(B29+D29+F29+H29+J29)</f>
        <v>0</v>
      </c>
      <c r="L29" s="32" t="s">
        <v>218</v>
      </c>
    </row>
    <row r="30" spans="1:12">
      <c r="A30" s="313"/>
      <c r="B30" s="346" t="str">
        <f>IF(B29&lt;0,"See Tab B","")</f>
        <v/>
      </c>
      <c r="C30" s="313"/>
      <c r="D30" s="346" t="str">
        <f>IF(D29&lt;0,"See Tab B","")</f>
        <v/>
      </c>
      <c r="E30" s="313"/>
      <c r="F30" s="346" t="str">
        <f>IF(F29&lt;0,"See Tab B","")</f>
        <v/>
      </c>
      <c r="G30" s="172"/>
      <c r="H30" s="346" t="str">
        <f>IF(H29&lt;0,"See Tab B","")</f>
        <v/>
      </c>
      <c r="I30" s="172"/>
      <c r="J30" s="346" t="str">
        <f>IF(J29&lt;0,"See Tab B","")</f>
        <v/>
      </c>
      <c r="K30" s="322">
        <f>SUM(K7+K17-K28)</f>
        <v>0</v>
      </c>
      <c r="L30" s="32" t="s">
        <v>218</v>
      </c>
    </row>
    <row r="31" spans="1:12">
      <c r="A31" s="172"/>
      <c r="B31" s="177"/>
      <c r="C31" s="172"/>
      <c r="D31" s="299"/>
      <c r="E31" s="172"/>
      <c r="F31" s="172"/>
      <c r="G31" s="42" t="s">
        <v>219</v>
      </c>
      <c r="H31" s="42"/>
      <c r="I31" s="42"/>
      <c r="J31" s="42"/>
      <c r="K31" s="172"/>
    </row>
    <row r="32" spans="1:12">
      <c r="A32" s="172"/>
      <c r="B32" s="177"/>
      <c r="C32" s="172"/>
      <c r="D32" s="172"/>
      <c r="E32" s="172"/>
      <c r="F32" s="172"/>
      <c r="G32" s="172"/>
      <c r="H32" s="172"/>
      <c r="I32" s="172"/>
      <c r="J32" s="172"/>
      <c r="K32" s="172"/>
    </row>
    <row r="33" spans="1:11">
      <c r="A33" s="172"/>
      <c r="B33" s="177"/>
      <c r="C33" s="172"/>
      <c r="D33" s="172"/>
      <c r="E33" s="186" t="s">
        <v>7</v>
      </c>
      <c r="F33" s="281"/>
      <c r="G33" s="172"/>
      <c r="H33" s="172"/>
      <c r="I33" s="172"/>
      <c r="J33" s="172"/>
      <c r="K33" s="172"/>
    </row>
    <row r="34" spans="1:11">
      <c r="B34" s="323"/>
    </row>
    <row r="35" spans="1:11">
      <c r="B35" s="323"/>
    </row>
    <row r="36" spans="1:11">
      <c r="B36" s="323"/>
    </row>
    <row r="37" spans="1:11">
      <c r="B37" s="323"/>
    </row>
    <row r="38" spans="1:11">
      <c r="B38" s="323"/>
    </row>
    <row r="39" spans="1:11">
      <c r="B39" s="323"/>
    </row>
    <row r="40" spans="1:11">
      <c r="B40" s="323"/>
    </row>
    <row r="41" spans="1:11">
      <c r="B41" s="323"/>
    </row>
  </sheetData>
  <sheetProtection sheet="1" objects="1" scenarios="1"/>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workbookViewId="0">
      <selection activeCell="A2" sqref="A2"/>
    </sheetView>
  </sheetViews>
  <sheetFormatPr defaultRowHeight="15"/>
  <cols>
    <col min="1" max="1" width="70.5546875" style="105" customWidth="1"/>
    <col min="2" max="16384" width="8.88671875" style="105"/>
  </cols>
  <sheetData>
    <row r="1" spans="1:1" ht="18.75">
      <c r="A1" s="494" t="s">
        <v>242</v>
      </c>
    </row>
    <row r="2" spans="1:1" ht="15.75">
      <c r="A2" s="1"/>
    </row>
    <row r="3" spans="1:1" ht="57" customHeight="1">
      <c r="A3" s="495" t="s">
        <v>243</v>
      </c>
    </row>
    <row r="4" spans="1:1" ht="15.75">
      <c r="A4" s="493"/>
    </row>
    <row r="5" spans="1:1" ht="15.75">
      <c r="A5" s="1"/>
    </row>
    <row r="6" spans="1:1" ht="44.25" customHeight="1">
      <c r="A6" s="495" t="s">
        <v>244</v>
      </c>
    </row>
    <row r="7" spans="1:1" ht="15.75">
      <c r="A7" s="1"/>
    </row>
    <row r="8" spans="1:1" ht="15.75">
      <c r="A8" s="493"/>
    </row>
    <row r="9" spans="1:1" ht="46.5" customHeight="1">
      <c r="A9" s="495" t="s">
        <v>245</v>
      </c>
    </row>
    <row r="10" spans="1:1" ht="15.75">
      <c r="A10" s="1"/>
    </row>
    <row r="11" spans="1:1" ht="15.75">
      <c r="A11" s="493"/>
    </row>
    <row r="12" spans="1:1" ht="60" customHeight="1">
      <c r="A12" s="495" t="s">
        <v>246</v>
      </c>
    </row>
    <row r="13" spans="1:1" ht="15.75">
      <c r="A13" s="1"/>
    </row>
    <row r="14" spans="1:1" ht="15.75">
      <c r="A14" s="1"/>
    </row>
    <row r="15" spans="1:1" ht="61.5" customHeight="1">
      <c r="A15" s="495" t="s">
        <v>247</v>
      </c>
    </row>
    <row r="16" spans="1:1" ht="15.75">
      <c r="A16" s="1"/>
    </row>
    <row r="17" spans="1:1" ht="15.75">
      <c r="A17" s="1"/>
    </row>
    <row r="18" spans="1:1" ht="59.25" customHeight="1">
      <c r="A18" s="495" t="s">
        <v>248</v>
      </c>
    </row>
    <row r="19" spans="1:1" ht="15.75">
      <c r="A19" s="1"/>
    </row>
    <row r="20" spans="1:1" ht="15.75">
      <c r="A20" s="1"/>
    </row>
    <row r="21" spans="1:1" ht="61.5" customHeight="1">
      <c r="A21" s="495" t="s">
        <v>249</v>
      </c>
    </row>
    <row r="22" spans="1:1" ht="15.75">
      <c r="A22" s="493"/>
    </row>
    <row r="23" spans="1:1" ht="15.75">
      <c r="A23" s="493"/>
    </row>
    <row r="24" spans="1:1" ht="63" customHeight="1">
      <c r="A24" s="495" t="s">
        <v>250</v>
      </c>
    </row>
    <row r="25" spans="1:1" ht="15.75">
      <c r="A25" s="1"/>
    </row>
    <row r="26" spans="1:1" ht="15.75">
      <c r="A26" s="1"/>
    </row>
    <row r="27" spans="1:1" ht="52.5" customHeight="1">
      <c r="A27" s="506" t="s">
        <v>485</v>
      </c>
    </row>
    <row r="28" spans="1:1" ht="15.75">
      <c r="A28" s="1"/>
    </row>
    <row r="29" spans="1:1" ht="15.75">
      <c r="A29" s="1"/>
    </row>
    <row r="30" spans="1:1" ht="44.25" customHeight="1">
      <c r="A30" s="495" t="s">
        <v>251</v>
      </c>
    </row>
    <row r="31" spans="1:1" ht="15.75">
      <c r="A31" s="1"/>
    </row>
    <row r="32" spans="1:1" ht="15.75">
      <c r="A32" s="1"/>
    </row>
    <row r="33" spans="1:1" ht="42.75" customHeight="1">
      <c r="A33" s="495" t="s">
        <v>252</v>
      </c>
    </row>
    <row r="34" spans="1:1" ht="15.75">
      <c r="A34" s="493"/>
    </row>
    <row r="35" spans="1:1" ht="15.75">
      <c r="A35" s="493"/>
    </row>
    <row r="36" spans="1:1" ht="38.25" customHeight="1">
      <c r="A36" s="495" t="s">
        <v>253</v>
      </c>
    </row>
    <row r="37" spans="1:1" ht="15.75">
      <c r="A37" s="493"/>
    </row>
    <row r="38" spans="1:1" ht="15.75">
      <c r="A38" s="1"/>
    </row>
    <row r="39" spans="1:1" ht="75.75" customHeight="1">
      <c r="A39" s="495" t="s">
        <v>254</v>
      </c>
    </row>
    <row r="40" spans="1:1" ht="15.75">
      <c r="A40" s="1"/>
    </row>
    <row r="41" spans="1:1" ht="15.75">
      <c r="A41" s="1"/>
    </row>
    <row r="42" spans="1:1" ht="57.75" customHeight="1">
      <c r="A42" s="495" t="s">
        <v>255</v>
      </c>
    </row>
    <row r="43" spans="1:1" ht="15.75">
      <c r="A43" s="493"/>
    </row>
    <row r="44" spans="1:1" ht="15.75">
      <c r="A44" s="1"/>
    </row>
    <row r="45" spans="1:1" ht="57.75" customHeight="1">
      <c r="A45" s="495" t="s">
        <v>256</v>
      </c>
    </row>
    <row r="46" spans="1:1" ht="15.75">
      <c r="A46" s="1"/>
    </row>
    <row r="47" spans="1:1" ht="15.75">
      <c r="A47" s="1"/>
    </row>
    <row r="48" spans="1:1" ht="41.25" customHeight="1">
      <c r="A48" s="495" t="s">
        <v>257</v>
      </c>
    </row>
    <row r="49" spans="1:1" ht="15.75">
      <c r="A49" s="1"/>
    </row>
    <row r="50" spans="1:1" ht="15.75">
      <c r="A50" s="1"/>
    </row>
    <row r="51" spans="1:1" ht="75" customHeight="1">
      <c r="A51" s="495" t="s">
        <v>258</v>
      </c>
    </row>
    <row r="52" spans="1:1" ht="15.75">
      <c r="A52" s="493"/>
    </row>
    <row r="53" spans="1:1" ht="15.75">
      <c r="A53" s="493"/>
    </row>
    <row r="54" spans="1:1" ht="57.75" customHeight="1">
      <c r="A54" s="495" t="s">
        <v>259</v>
      </c>
    </row>
    <row r="55" spans="1:1" ht="15.75">
      <c r="A55" s="1"/>
    </row>
    <row r="56" spans="1:1" ht="15.75">
      <c r="A56" s="1"/>
    </row>
    <row r="57" spans="1:1" ht="44.25" customHeight="1">
      <c r="A57" s="495" t="s">
        <v>260</v>
      </c>
    </row>
    <row r="58" spans="1:1" ht="15.75">
      <c r="A58" s="1"/>
    </row>
    <row r="59" spans="1:1" ht="15.75">
      <c r="A59" s="1"/>
    </row>
    <row r="60" spans="1:1" ht="60" customHeight="1">
      <c r="A60" s="495" t="s">
        <v>261</v>
      </c>
    </row>
    <row r="61" spans="1:1" ht="15.75">
      <c r="A61" s="493"/>
    </row>
    <row r="62" spans="1:1" ht="15.75">
      <c r="A62" s="493"/>
    </row>
    <row r="63" spans="1:1" ht="57.75" customHeight="1">
      <c r="A63" s="495" t="s">
        <v>262</v>
      </c>
    </row>
    <row r="64" spans="1:1" ht="15.75">
      <c r="A64" s="1"/>
    </row>
    <row r="65" spans="1:1" ht="15.75">
      <c r="A65" s="1"/>
    </row>
    <row r="66" spans="1:1" ht="60" customHeight="1">
      <c r="A66" s="495" t="s">
        <v>263</v>
      </c>
    </row>
  </sheetData>
  <sheetProtection sheet="1" objects="1" scenarios="1"/>
  <phoneticPr fontId="0"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topLeftCell="B36" zoomScale="68" zoomScaleNormal="68" workbookViewId="0">
      <selection activeCell="A2" sqref="A2"/>
    </sheetView>
  </sheetViews>
  <sheetFormatPr defaultRowHeight="15.75"/>
  <cols>
    <col min="1" max="1" width="20.77734375" style="32" customWidth="1"/>
    <col min="2" max="2" width="15.77734375" style="32" customWidth="1"/>
    <col min="3" max="3" width="10.77734375" style="32" customWidth="1"/>
    <col min="4" max="4" width="15.77734375" style="32" customWidth="1"/>
    <col min="5" max="5" width="10.77734375" style="32" customWidth="1"/>
    <col min="6" max="6" width="15.77734375" style="32" customWidth="1"/>
    <col min="7" max="7" width="12.77734375" style="32" customWidth="1"/>
    <col min="8" max="8" width="10.77734375" style="32" customWidth="1"/>
    <col min="9" max="9" width="8.88671875" style="32"/>
    <col min="10" max="10" width="12.44140625" style="32" customWidth="1"/>
    <col min="11" max="11" width="12.33203125" style="32" customWidth="1"/>
    <col min="12" max="12" width="10.5546875" style="32" customWidth="1"/>
    <col min="13" max="13" width="12.109375" style="32" customWidth="1"/>
    <col min="14" max="16384" width="8.88671875" style="32"/>
  </cols>
  <sheetData>
    <row r="1" spans="1:9">
      <c r="A1" s="770" t="s">
        <v>52</v>
      </c>
      <c r="B1" s="770"/>
      <c r="C1" s="770"/>
      <c r="D1" s="770"/>
      <c r="E1" s="770"/>
      <c r="F1" s="770"/>
      <c r="G1" s="770"/>
      <c r="H1" s="770"/>
      <c r="I1" s="325"/>
    </row>
    <row r="2" spans="1:9" ht="18" customHeight="1">
      <c r="A2" s="46"/>
      <c r="B2" s="46"/>
      <c r="C2" s="46"/>
      <c r="D2" s="46"/>
      <c r="E2" s="46"/>
      <c r="F2" s="46"/>
      <c r="G2" s="46"/>
      <c r="H2" s="46">
        <f ca="1">inputPrYr!$C$5</f>
        <v>2014</v>
      </c>
    </row>
    <row r="3" spans="1:9" ht="18" customHeight="1">
      <c r="A3" s="762" t="s">
        <v>9</v>
      </c>
      <c r="B3" s="762"/>
      <c r="C3" s="762"/>
      <c r="D3" s="762"/>
      <c r="E3" s="762"/>
      <c r="F3" s="762"/>
      <c r="G3" s="762"/>
      <c r="H3" s="762"/>
    </row>
    <row r="4" spans="1:9">
      <c r="A4" s="760" t="str">
        <f ca="1">inputPrYr!D2</f>
        <v>City of Grainfield</v>
      </c>
      <c r="B4" s="760"/>
      <c r="C4" s="760"/>
      <c r="D4" s="760"/>
      <c r="E4" s="760"/>
      <c r="F4" s="760"/>
      <c r="G4" s="760"/>
      <c r="H4" s="760"/>
    </row>
    <row r="5" spans="1:9" ht="18" customHeight="1">
      <c r="A5" s="816" t="str">
        <f ca="1">CONCATENATE("will meet on ",inputBudSum!B7," at ",inputBudSum!B9," at ",inputBudSum!B11," for the purpose of hearing and")</f>
        <v>will meet on August 24, 2013 at 8:00 A.M. at City Office, Grainfield, Kansas for the purpose of hearing and</v>
      </c>
      <c r="B5" s="816"/>
      <c r="C5" s="816"/>
      <c r="D5" s="816"/>
      <c r="E5" s="816"/>
      <c r="F5" s="816"/>
      <c r="G5" s="816"/>
      <c r="H5" s="816"/>
    </row>
    <row r="6" spans="1:9" ht="16.5" customHeight="1">
      <c r="A6" s="762" t="s">
        <v>376</v>
      </c>
      <c r="B6" s="762"/>
      <c r="C6" s="762"/>
      <c r="D6" s="762"/>
      <c r="E6" s="762"/>
      <c r="F6" s="762"/>
      <c r="G6" s="762"/>
      <c r="H6" s="762"/>
    </row>
    <row r="7" spans="1:9" ht="16.5" customHeight="1">
      <c r="A7" s="762" t="str">
        <f ca="1">CONCATENATE("Detailed budget information is available at ",inputBudSum!B14," and will be available at this hearing.")</f>
        <v>Detailed budget information is available at City Office at 220 Main Grainfield, Kansas and will be available at this hearing.</v>
      </c>
      <c r="B7" s="762"/>
      <c r="C7" s="762"/>
      <c r="D7" s="762"/>
      <c r="E7" s="762"/>
      <c r="F7" s="762"/>
      <c r="G7" s="762"/>
      <c r="H7" s="762"/>
    </row>
    <row r="8" spans="1:9">
      <c r="A8" s="54" t="s">
        <v>53</v>
      </c>
      <c r="B8" s="55"/>
      <c r="C8" s="55"/>
      <c r="D8" s="55"/>
      <c r="E8" s="55"/>
      <c r="F8" s="55"/>
      <c r="G8" s="55"/>
      <c r="H8" s="55"/>
    </row>
    <row r="9" spans="1:9">
      <c r="A9" s="137" t="str">
        <f>CONCATENATE("Proposed Budget ",H2," Expenditures and Amount of ",H2-1," Ad Valorem Tax establish the maximum limits of the ",H2," budget.")</f>
        <v>Proposed Budget 2014 Expenditures and Amount of 2013 Ad Valorem Tax establish the maximum limits of the 2014 budget.</v>
      </c>
      <c r="B9" s="55"/>
      <c r="C9" s="55"/>
      <c r="D9" s="55"/>
      <c r="E9" s="55"/>
      <c r="F9" s="55"/>
      <c r="G9" s="55"/>
      <c r="H9" s="55"/>
    </row>
    <row r="10" spans="1:9">
      <c r="A10" s="137" t="s">
        <v>117</v>
      </c>
      <c r="B10" s="55"/>
      <c r="C10" s="55"/>
      <c r="D10" s="55"/>
      <c r="E10" s="55"/>
      <c r="F10" s="55"/>
      <c r="G10" s="55"/>
      <c r="H10" s="55"/>
    </row>
    <row r="11" spans="1:9">
      <c r="A11" s="46"/>
      <c r="B11" s="288"/>
      <c r="C11" s="288"/>
      <c r="D11" s="288"/>
      <c r="E11" s="288"/>
      <c r="F11" s="288"/>
      <c r="G11" s="288"/>
      <c r="H11" s="288"/>
    </row>
    <row r="12" spans="1:9">
      <c r="A12" s="46"/>
      <c r="B12" s="326" t="str">
        <f>CONCATENATE("Prior Year Actual for ",H2-2,"")</f>
        <v>Prior Year Actual for 2012</v>
      </c>
      <c r="C12" s="140"/>
      <c r="D12" s="326" t="str">
        <f>CONCATENATE("Current Year Estimate for ",H2-1,"")</f>
        <v>Current Year Estimate for 2013</v>
      </c>
      <c r="E12" s="140"/>
      <c r="F12" s="138" t="str">
        <f>CONCATENATE("Proposed Budget Year for ",H2,"")</f>
        <v>Proposed Budget Year for 2014</v>
      </c>
      <c r="G12" s="139"/>
      <c r="H12" s="140"/>
    </row>
    <row r="13" spans="1:9" ht="21" customHeight="1">
      <c r="A13" s="46"/>
      <c r="B13" s="278"/>
      <c r="C13" s="143" t="s">
        <v>10</v>
      </c>
      <c r="D13" s="143"/>
      <c r="E13" s="143" t="s">
        <v>10</v>
      </c>
      <c r="F13" s="563" t="s">
        <v>651</v>
      </c>
      <c r="G13" s="143" t="str">
        <f>CONCATENATE("Amount of ",H2-1,"")</f>
        <v>Amount of 2013</v>
      </c>
      <c r="H13" s="143" t="s">
        <v>183</v>
      </c>
    </row>
    <row r="14" spans="1:9">
      <c r="A14" s="63" t="s">
        <v>11</v>
      </c>
      <c r="B14" s="147" t="s">
        <v>12</v>
      </c>
      <c r="C14" s="147" t="s">
        <v>13</v>
      </c>
      <c r="D14" s="147" t="s">
        <v>12</v>
      </c>
      <c r="E14" s="147" t="s">
        <v>13</v>
      </c>
      <c r="F14" s="564" t="s">
        <v>399</v>
      </c>
      <c r="G14" s="148" t="s">
        <v>748</v>
      </c>
      <c r="H14" s="147" t="s">
        <v>13</v>
      </c>
    </row>
    <row r="15" spans="1:9">
      <c r="A15" s="86" t="str">
        <f ca="1">inputPrYr!B17</f>
        <v>General</v>
      </c>
      <c r="B15" s="86">
        <f ca="1">IF(general!$C$111&lt;&gt;0,general!$C$111,"  ")</f>
        <v>118248.59999999999</v>
      </c>
      <c r="C15" s="327">
        <f ca="1">IF(inputPrYr!D84&gt;0,inputPrYr!D84,"  ")</f>
        <v>29.858000000000001</v>
      </c>
      <c r="D15" s="86">
        <f ca="1">IF(general!$D$111&lt;&gt;0,general!$D$111,"  ")</f>
        <v>140290.79999999999</v>
      </c>
      <c r="E15" s="327">
        <f ca="1">IF(inputOth!D21&gt;0,inputOth!D21,"  ")</f>
        <v>29.946000000000002</v>
      </c>
      <c r="F15" s="86">
        <f ca="1">IF(general!$E$111&lt;&gt;0,general!$E$111,"  ")</f>
        <v>123400</v>
      </c>
      <c r="G15" s="86">
        <f ca="1">IF(general!$E$118&lt;&gt;0,general!$E$118,"  ")</f>
        <v>44657.729999999996</v>
      </c>
      <c r="H15" s="327">
        <f ca="1">IF(general!E118&gt;0,ROUND(G15/$F$57*1000,3),"")</f>
        <v>29.632000000000001</v>
      </c>
    </row>
    <row r="16" spans="1:9">
      <c r="A16" s="86" t="str">
        <f ca="1">inputPrYr!B18</f>
        <v>Debt Service</v>
      </c>
      <c r="B16" s="86" t="str">
        <f ca="1">IF(library!C33&lt;&gt;0,library!C33,"  ")</f>
        <v xml:space="preserve">  </v>
      </c>
      <c r="C16" s="327" t="str">
        <f ca="1">IF(inputPrYr!D85&gt;0,inputPrYr!D85,"  ")</f>
        <v xml:space="preserve">  </v>
      </c>
      <c r="D16" s="86" t="str">
        <f ca="1">IF(library!D33&lt;&gt;0,library!D33,"  ")</f>
        <v xml:space="preserve">  </v>
      </c>
      <c r="E16" s="327" t="str">
        <f ca="1">IF(inputOth!D22&gt;0,inputOth!D22,"  ")</f>
        <v xml:space="preserve">  </v>
      </c>
      <c r="F16" s="86" t="str">
        <f ca="1">IF(library!E33&lt;&gt;0,library!E33,"  ")</f>
        <v xml:space="preserve">  </v>
      </c>
      <c r="G16" s="86" t="str">
        <f ca="1">IF(library!E40&lt;&gt;0,library!E40,"  ")</f>
        <v xml:space="preserve">  </v>
      </c>
      <c r="H16" s="327" t="str">
        <f ca="1">IF(library!E40&gt;0,ROUND(G16/$F$57*1000,3),"  ")</f>
        <v xml:space="preserve">  </v>
      </c>
    </row>
    <row r="17" spans="1:8">
      <c r="A17" s="86" t="str">
        <f ca="1">IF(inputPrYr!$B19&gt;"  ",(inputPrYr!$B19),"  ")</f>
        <v>Library</v>
      </c>
      <c r="B17" s="86">
        <f ca="1">IF(library!C73&lt;&gt;0,library!C73,"  ")</f>
        <v>3500</v>
      </c>
      <c r="C17" s="327">
        <f ca="1">IF(inputPrYr!D86&gt;0,inputPrYr!D86,"  ")</f>
        <v>2.4710000000000001</v>
      </c>
      <c r="D17" s="86">
        <f ca="1">IF(library!D73&lt;&gt;0,library!D73,"  ")</f>
        <v>4977</v>
      </c>
      <c r="E17" s="327">
        <f ca="1">IF(inputOth!D23&gt;0,inputOth!D23,"  ")</f>
        <v>2.536</v>
      </c>
      <c r="F17" s="86">
        <f ca="1">IF(library!E73&lt;&gt;0,library!E73,"  ")</f>
        <v>5500</v>
      </c>
      <c r="G17" s="86">
        <f ca="1">IF(library!E80&lt;&gt;0,library!E80,"  ")</f>
        <v>3849</v>
      </c>
      <c r="H17" s="327">
        <f ca="1">IF(library!E80&lt;&gt;0,ROUND(G17/$F$57*1000,3),"  ")</f>
        <v>2.5539999999999998</v>
      </c>
    </row>
    <row r="18" spans="1:8">
      <c r="A18" s="86" t="str">
        <f ca="1">IF(inputPrYr!$B21&gt;"  ",(inputPrYr!$B21),"  ")</f>
        <v xml:space="preserve">  </v>
      </c>
      <c r="B18" s="86" t="str">
        <f ca="1">IF(empty!$C$33&gt;0,empty!$C$33,"  ")</f>
        <v xml:space="preserve">  </v>
      </c>
      <c r="C18" s="327" t="str">
        <f ca="1">IF(inputPrYr!D87&gt;0,inputPrYr!D87,"  ")</f>
        <v xml:space="preserve">  </v>
      </c>
      <c r="D18" s="86" t="str">
        <f ca="1">IF(empty!$D$33&gt;0,empty!$D$33,"  ")</f>
        <v xml:space="preserve">  </v>
      </c>
      <c r="E18" s="327" t="str">
        <f ca="1">IF(inputOth!D24&gt;0,inputOth!D24,"  ")</f>
        <v xml:space="preserve">  </v>
      </c>
      <c r="F18" s="86" t="str">
        <f ca="1">IF(empty!$E$33&gt;0,empty!$E$33,"  ")</f>
        <v xml:space="preserve">  </v>
      </c>
      <c r="G18" s="86" t="str">
        <f ca="1">IF(empty!$E$40&lt;&gt;0,empty!$E$40,"  ")</f>
        <v xml:space="preserve">  </v>
      </c>
      <c r="H18" s="327" t="str">
        <f ca="1">IF(empty!E40&lt;&gt;0,ROUND(G18/$F$57*1000,3),"  ")</f>
        <v xml:space="preserve">  </v>
      </c>
    </row>
    <row r="19" spans="1:8">
      <c r="A19" s="86" t="str">
        <f ca="1">IF(inputPrYr!$B22&gt;"  ",(inputPrYr!$B22),"  ")</f>
        <v xml:space="preserve">  </v>
      </c>
      <c r="B19" s="86" t="str">
        <f ca="1">IF(empty!$C$73&gt;0,empty!$C$73,"  ")</f>
        <v xml:space="preserve">  </v>
      </c>
      <c r="C19" s="327" t="str">
        <f ca="1">IF(inputPrYr!D88&gt;0,inputPrYr!D88,"  ")</f>
        <v xml:space="preserve">  </v>
      </c>
      <c r="D19" s="86" t="str">
        <f ca="1">IF(empty!$D$73&gt;0,empty!$D$73,"  ")</f>
        <v xml:space="preserve">  </v>
      </c>
      <c r="E19" s="327" t="str">
        <f ca="1">IF(inputOth!D25&gt;0,inputOth!D25,"  ")</f>
        <v xml:space="preserve">  </v>
      </c>
      <c r="F19" s="86" t="str">
        <f ca="1">IF(empty!$E$73&gt;0,empty!$E$73,"  ")</f>
        <v xml:space="preserve">  </v>
      </c>
      <c r="G19" s="86" t="str">
        <f ca="1">IF(empty!$E$80&lt;&gt;0,empty!$E$80,"  ")</f>
        <v xml:space="preserve">  </v>
      </c>
      <c r="H19" s="327" t="str">
        <f ca="1">IF(empty!E80&lt;&gt;0,ROUND(G19/$F$57*1000,3),"  ")</f>
        <v xml:space="preserve">  </v>
      </c>
    </row>
    <row r="20" spans="1:8">
      <c r="A20" s="86" t="str">
        <f ca="1">IF(inputPrYr!$B23&gt;"  ",(inputPrYr!$B23),"  ")</f>
        <v xml:space="preserve">  </v>
      </c>
      <c r="B20" s="86" t="str">
        <f ca="1">IF(empty1!$C$33&gt;0,empty1!$C$33,"  ")</f>
        <v xml:space="preserve">  </v>
      </c>
      <c r="C20" s="327" t="str">
        <f ca="1">IF(inputPrYr!D89&gt;0,inputPrYr!D89,"  ")</f>
        <v xml:space="preserve">  </v>
      </c>
      <c r="D20" s="86" t="str">
        <f ca="1">IF(empty1!$D$33&gt;0,empty1!$D$33,"  ")</f>
        <v xml:space="preserve">  </v>
      </c>
      <c r="E20" s="327" t="str">
        <f ca="1">IF(inputOth!D26&gt;0,inputOth!D26,"  ")</f>
        <v xml:space="preserve">  </v>
      </c>
      <c r="F20" s="86" t="str">
        <f ca="1">IF(empty1!$E$33&gt;0,empty1!$E$33,"  ")</f>
        <v xml:space="preserve">  </v>
      </c>
      <c r="G20" s="86" t="str">
        <f ca="1">IF(empty1!$E$40&lt;&gt;0,empty1!$E$40,"  ")</f>
        <v xml:space="preserve">  </v>
      </c>
      <c r="H20" s="327" t="str">
        <f ca="1">IF(empty1!E40&lt;&gt;0,ROUND(G20/$F$57*1000,3),"  ")</f>
        <v xml:space="preserve">  </v>
      </c>
    </row>
    <row r="21" spans="1:8">
      <c r="A21" s="86" t="str">
        <f ca="1">IF(inputPrYr!$B24&gt;"  ",(inputPrYr!$B24),"  ")</f>
        <v xml:space="preserve">  </v>
      </c>
      <c r="B21" s="86" t="str">
        <f ca="1">IF(empty1!$C$73&gt;0,empty1!$C$73,"  ")</f>
        <v xml:space="preserve">  </v>
      </c>
      <c r="C21" s="327" t="str">
        <f ca="1">IF(inputPrYr!D90&gt;0,inputPrYr!D90,"  ")</f>
        <v xml:space="preserve">  </v>
      </c>
      <c r="D21" s="86" t="str">
        <f ca="1">IF(empty1!$D$73&gt;0,empty1!$D$73,"  ")</f>
        <v xml:space="preserve">  </v>
      </c>
      <c r="E21" s="327" t="str">
        <f ca="1">IF(inputOth!D27&gt;0,inputOth!D27,"  ")</f>
        <v xml:space="preserve">  </v>
      </c>
      <c r="F21" s="86" t="str">
        <f ca="1">IF(empty1!$E$73&gt;0,empty1!$E$73,"  ")</f>
        <v xml:space="preserve">  </v>
      </c>
      <c r="G21" s="86" t="str">
        <f ca="1">IF(empty1!$E$80&lt;&gt;0,empty1!$E$80,"  ")</f>
        <v xml:space="preserve">  </v>
      </c>
      <c r="H21" s="327" t="str">
        <f ca="1">IF(empty1!E80&lt;&gt;0,ROUND(G21/$F$57*1000,3),"  ")</f>
        <v xml:space="preserve">  </v>
      </c>
    </row>
    <row r="22" spans="1:8">
      <c r="A22" s="86" t="str">
        <f ca="1">IF(inputPrYr!$B25&gt;"  ",(inputPrYr!$B25),"  ")</f>
        <v xml:space="preserve">  </v>
      </c>
      <c r="B22" s="86" t="str">
        <f ca="1">IF(empty2!$C$33&gt;0,empty2!$C$33,"  ")</f>
        <v xml:space="preserve">  </v>
      </c>
      <c r="C22" s="327" t="str">
        <f ca="1">IF(inputPrYr!D91&gt;0,inputPrYr!D91,"  ")</f>
        <v xml:space="preserve">  </v>
      </c>
      <c r="D22" s="86" t="str">
        <f ca="1">IF(empty2!$D$33&gt;0,empty2!$D$33,"  ")</f>
        <v xml:space="preserve">  </v>
      </c>
      <c r="E22" s="327" t="str">
        <f ca="1">IF(inputOth!D28&gt;0,inputOth!D28,"  ")</f>
        <v xml:space="preserve">  </v>
      </c>
      <c r="F22" s="86" t="str">
        <f ca="1">IF(empty2!$E$33&gt;0,empty2!$E$33,"  ")</f>
        <v xml:space="preserve">  </v>
      </c>
      <c r="G22" s="86" t="str">
        <f ca="1">IF(empty2!$E$40&lt;&gt;0,empty2!$E$40,"  ")</f>
        <v xml:space="preserve">  </v>
      </c>
      <c r="H22" s="327" t="str">
        <f ca="1">IF(empty2!E40&lt;&gt;0,ROUND(G22/$F$57*1000,3),"  ")</f>
        <v xml:space="preserve">  </v>
      </c>
    </row>
    <row r="23" spans="1:8">
      <c r="A23" s="86" t="str">
        <f ca="1">IF(inputPrYr!$B26&gt;"  ",(inputPrYr!$B26),"  ")</f>
        <v xml:space="preserve">  </v>
      </c>
      <c r="B23" s="86" t="str">
        <f ca="1">IF(empty2!$C$73&gt;0,empty2!$C$73,"  ")</f>
        <v xml:space="preserve">  </v>
      </c>
      <c r="C23" s="327" t="str">
        <f ca="1">IF(inputPrYr!D92&gt;0,inputPrYr!D92,"  ")</f>
        <v xml:space="preserve">  </v>
      </c>
      <c r="D23" s="86" t="str">
        <f ca="1">IF(empty2!$D$73&gt;0,empty2!$D$73,"  ")</f>
        <v xml:space="preserve">  </v>
      </c>
      <c r="E23" s="327" t="str">
        <f ca="1">IF(inputOth!D29&gt;0,inputOth!D29,"  ")</f>
        <v xml:space="preserve">  </v>
      </c>
      <c r="F23" s="86" t="str">
        <f ca="1">IF(empty2!$E$73&gt;0,empty2!$E$73,"  ")</f>
        <v xml:space="preserve">  </v>
      </c>
      <c r="G23" s="86" t="str">
        <f ca="1">IF(empty2!$E$80&lt;&gt;0,empty2!$E$80,"  ")</f>
        <v xml:space="preserve">  </v>
      </c>
      <c r="H23" s="327" t="str">
        <f ca="1">IF(empty2!E80&lt;&gt;0,ROUND(G23/$F$57*1000,3),"  ")</f>
        <v xml:space="preserve">  </v>
      </c>
    </row>
    <row r="24" spans="1:8">
      <c r="A24" s="86" t="str">
        <f ca="1">IF(inputPrYr!$B27&gt;"  ",(inputPrYr!$B27),"  ")</f>
        <v xml:space="preserve">  </v>
      </c>
      <c r="B24" s="86" t="str">
        <f ca="1">IF(empty3!$C$33&gt;0,empty3!$C$33,"  ")</f>
        <v xml:space="preserve">  </v>
      </c>
      <c r="C24" s="327" t="str">
        <f ca="1">IF(inputPrYr!D93&gt;0,inputPrYr!D93,"  ")</f>
        <v xml:space="preserve">  </v>
      </c>
      <c r="D24" s="86" t="str">
        <f ca="1">IF(empty3!$D$33&gt;0,empty3!$D$33,"  ")</f>
        <v xml:space="preserve">  </v>
      </c>
      <c r="E24" s="327" t="str">
        <f ca="1">IF(inputOth!D30&gt;0,inputOth!D30,"  ")</f>
        <v xml:space="preserve">  </v>
      </c>
      <c r="F24" s="86" t="str">
        <f ca="1">IF(empty3!$E$33&gt;0,empty3!$E$33,"  ")</f>
        <v xml:space="preserve">  </v>
      </c>
      <c r="G24" s="86" t="str">
        <f ca="1">IF(empty3!$E$40&lt;&gt;0,empty3!$E$40,"  ")</f>
        <v xml:space="preserve">  </v>
      </c>
      <c r="H24" s="327" t="str">
        <f ca="1">IF(empty3!E40&lt;&gt;0,ROUND(G24/$F$57*1000,3),"  ")</f>
        <v xml:space="preserve">  </v>
      </c>
    </row>
    <row r="25" spans="1:8">
      <c r="A25" s="86" t="str">
        <f ca="1">IF(inputPrYr!$B28&gt;"  ",(inputPrYr!$B28),"  ")</f>
        <v xml:space="preserve">  </v>
      </c>
      <c r="B25" s="86" t="str">
        <f ca="1">IF(empty3!$C$73&gt;0,empty3!$C$73,"  ")</f>
        <v xml:space="preserve">  </v>
      </c>
      <c r="C25" s="327" t="str">
        <f ca="1">IF(inputPrYr!D94&gt;0,inputPrYr!D94,"  ")</f>
        <v xml:space="preserve">  </v>
      </c>
      <c r="D25" s="86" t="str">
        <f ca="1">IF(empty3!$D$73&gt;0,empty3!$D$73,"  ")</f>
        <v xml:space="preserve">  </v>
      </c>
      <c r="E25" s="327" t="str">
        <f ca="1">IF(inputOth!D31&gt;0,inputOth!D31,"  ")</f>
        <v xml:space="preserve">  </v>
      </c>
      <c r="F25" s="86" t="str">
        <f ca="1">IF(empty3!$E$73&gt;0,empty3!$E$73,"  ")</f>
        <v xml:space="preserve">  </v>
      </c>
      <c r="G25" s="86" t="str">
        <f ca="1">IF(empty3!$E$80&lt;&gt;0,empty3!$E$80,"  ")</f>
        <v xml:space="preserve">  </v>
      </c>
      <c r="H25" s="327" t="str">
        <f ca="1">IF(empty3!E80&lt;&gt;0,ROUND(G25/$F$57*1000,3),"  ")</f>
        <v xml:space="preserve">  </v>
      </c>
    </row>
    <row r="26" spans="1:8">
      <c r="A26" s="86" t="str">
        <f ca="1">IF(inputPrYr!$B29&gt;"  ",(inputPrYr!$B29),"  ")</f>
        <v xml:space="preserve">  </v>
      </c>
      <c r="B26" s="86" t="str">
        <f ca="1">IF(empty4!$C$33&gt;0,empty4!$C$33,"  ")</f>
        <v xml:space="preserve">  </v>
      </c>
      <c r="C26" s="327" t="str">
        <f ca="1">IF(inputPrYr!D95&gt;0,inputPrYr!D95,"  ")</f>
        <v xml:space="preserve">  </v>
      </c>
      <c r="D26" s="86" t="str">
        <f ca="1">IF(empty4!$D$33&gt;0,empty4!$D$33,"  ")</f>
        <v xml:space="preserve">  </v>
      </c>
      <c r="E26" s="327" t="str">
        <f ca="1">IF(inputOth!D32&gt;0,inputOth!D32,"  ")</f>
        <v xml:space="preserve">  </v>
      </c>
      <c r="F26" s="86" t="str">
        <f ca="1">IF(empty4!$E$33&gt;0,empty4!$E$33,"  ")</f>
        <v xml:space="preserve">  </v>
      </c>
      <c r="G26" s="86" t="str">
        <f ca="1">IF(empty4!$E$40&lt;&gt;0,empty4!$E$40,"  ")</f>
        <v xml:space="preserve">  </v>
      </c>
      <c r="H26" s="327" t="str">
        <f ca="1">IF(empty4!E40&lt;&gt;0,ROUND(G26/$F$57*1000,3),"  ")</f>
        <v xml:space="preserve">  </v>
      </c>
    </row>
    <row r="27" spans="1:8">
      <c r="A27" s="86" t="str">
        <f ca="1">IF(inputPrYr!B30&gt;"  ",(inputPrYr!B30),"  ")</f>
        <v xml:space="preserve">  </v>
      </c>
      <c r="B27" s="86" t="str">
        <f ca="1">IF(empty4!$C$73&gt;0,empty4!$C$73,"  ")</f>
        <v xml:space="preserve">  </v>
      </c>
      <c r="C27" s="327" t="str">
        <f ca="1">IF(inputPrYr!D96&gt;0,inputPrYr!D96,"  ")</f>
        <v xml:space="preserve">  </v>
      </c>
      <c r="D27" s="86" t="str">
        <f ca="1">IF(empty4!$D$73&gt;0,empty4!$D$73,"  ")</f>
        <v xml:space="preserve">  </v>
      </c>
      <c r="E27" s="327" t="str">
        <f ca="1">IF(inputOth!D33&gt;0,inputOth!D33,"  ")</f>
        <v xml:space="preserve">  </v>
      </c>
      <c r="F27" s="86" t="str">
        <f ca="1">IF(empty4!$E$73&gt;0,empty4!$E$73,"  ")</f>
        <v xml:space="preserve">  </v>
      </c>
      <c r="G27" s="86" t="str">
        <f ca="1">IF(empty4!$E$80&lt;&gt;0,empty4!$E$80,"  ")</f>
        <v xml:space="preserve">  </v>
      </c>
      <c r="H27" s="327" t="str">
        <f ca="1">IF(empty4!E80&lt;&gt;0,ROUND(G27/$F$57*1000,3),"  ")</f>
        <v xml:space="preserve">  </v>
      </c>
    </row>
    <row r="28" spans="1:8">
      <c r="A28" s="86" t="str">
        <f ca="1">IF(inputPrYr!$B34&gt;"  ",(inputPrYr!$B34),"  ")</f>
        <v>Special Highway</v>
      </c>
      <c r="B28" s="86">
        <f ca="1">IF('Sp Hiway-Water'!$C$30&gt;0,'Sp Hiway-Water'!$C$30,"  ")</f>
        <v>13050</v>
      </c>
      <c r="C28" s="64"/>
      <c r="D28" s="86">
        <f ca="1">IF('Sp Hiway-Water'!$D$30&gt;0,'Sp Hiway-Water'!$D$30,"  ")</f>
        <v>7500</v>
      </c>
      <c r="E28" s="64"/>
      <c r="F28" s="86">
        <f ca="1">IF('Sp Hiway-Water'!$E$30&gt;0,'Sp Hiway-Water'!$E$30,"  ")</f>
        <v>9638</v>
      </c>
      <c r="G28" s="86"/>
      <c r="H28" s="327"/>
    </row>
    <row r="29" spans="1:8">
      <c r="A29" s="86" t="str">
        <f ca="1">IF(inputPrYr!$B35&gt;"  ",(inputPrYr!$B35),"  ")</f>
        <v>Water Utility</v>
      </c>
      <c r="B29" s="86">
        <f ca="1">IF('Sp Hiway-Water'!$C$61&gt;0,'Sp Hiway-Water'!$C$61,"  ")</f>
        <v>40808</v>
      </c>
      <c r="C29" s="64"/>
      <c r="D29" s="86">
        <f ca="1">IF('Sp Hiway-Water'!$D$61&gt;0,'Sp Hiway-Water'!$D$61,"  ")</f>
        <v>44597</v>
      </c>
      <c r="E29" s="64"/>
      <c r="F29" s="86">
        <f ca="1">IF('Sp Hiway-Water'!$E$61&gt;0,'Sp Hiway-Water'!$E$61,"  ")</f>
        <v>49878</v>
      </c>
      <c r="G29" s="86"/>
      <c r="H29" s="327"/>
    </row>
    <row r="30" spans="1:8">
      <c r="A30" s="86" t="str">
        <f ca="1">IF(inputPrYr!$B36&gt;"  ",(inputPrYr!$B36),"  ")</f>
        <v>Fire Protection</v>
      </c>
      <c r="B30" s="86">
        <f ca="1">IF('Fire-Sewer'!$C$28&gt;0,'Fire-Sewer'!$C$28,"  ")</f>
        <v>24425</v>
      </c>
      <c r="C30" s="64"/>
      <c r="D30" s="86">
        <f ca="1">IF('Fire-Sewer'!$D$28&gt;0,'Fire-Sewer'!$D$28,"  ")</f>
        <v>37522</v>
      </c>
      <c r="E30" s="64"/>
      <c r="F30" s="86">
        <f ca="1">IF('Fire-Sewer'!$E$28&gt;0,'Fire-Sewer'!$E$28,"  ")</f>
        <v>115233</v>
      </c>
      <c r="G30" s="86"/>
      <c r="H30" s="327"/>
    </row>
    <row r="31" spans="1:8">
      <c r="A31" s="86" t="str">
        <f ca="1">IF(inputPrYr!$B37&gt;"  ",(inputPrYr!$B37),"  ")</f>
        <v>Sewer Utility</v>
      </c>
      <c r="B31" s="86">
        <f ca="1">IF('Fire-Sewer'!$C$59&gt;0,'Fire-Sewer'!$C$59,"  ")</f>
        <v>36779</v>
      </c>
      <c r="C31" s="64"/>
      <c r="D31" s="86">
        <f ca="1">IF('Fire-Sewer'!$D$59&gt;0,'Fire-Sewer'!$D$59,"  ")</f>
        <v>950556</v>
      </c>
      <c r="E31" s="64"/>
      <c r="F31" s="86">
        <f ca="1">IF('Fire-Sewer'!$E$59&gt;0,'Fire-Sewer'!$E$59,"  ")</f>
        <v>86251</v>
      </c>
      <c r="G31" s="86"/>
      <c r="H31" s="327"/>
    </row>
    <row r="32" spans="1:8">
      <c r="A32" s="86" t="str">
        <f ca="1">IF(inputPrYr!$B38&gt;"  ",(inputPrYr!$B38),"  ")</f>
        <v>Park &amp; Recreation</v>
      </c>
      <c r="B32" s="86" t="str">
        <f ca="1">IF(Park!$C$28&gt;0,Park!$C$28,"  ")</f>
        <v xml:space="preserve">  </v>
      </c>
      <c r="C32" s="64"/>
      <c r="D32" s="86">
        <f ca="1">IF(Park!$D$28&gt;0,Park!$D$28,"  ")</f>
        <v>266</v>
      </c>
      <c r="E32" s="64"/>
      <c r="F32" s="86">
        <f ca="1">IF(Park!$E$28&gt;0,Park!$E$28,"  ")</f>
        <v>200</v>
      </c>
      <c r="G32" s="64"/>
      <c r="H32" s="64"/>
    </row>
    <row r="33" spans="1:13">
      <c r="A33" s="86" t="str">
        <f ca="1">IF(inputPrYr!$B39&gt;"  ",(inputPrYr!$B39),"  ")</f>
        <v xml:space="preserve">  </v>
      </c>
      <c r="B33" s="86" t="str">
        <f ca="1">IF(Park!$C$59&gt;0,Park!$C$59,"  ")</f>
        <v xml:space="preserve">  </v>
      </c>
      <c r="C33" s="64"/>
      <c r="D33" s="86" t="str">
        <f ca="1">IF(Park!$D$59&gt;0,Park!$D$59,"  ")</f>
        <v xml:space="preserve">  </v>
      </c>
      <c r="E33" s="64"/>
      <c r="F33" s="86" t="str">
        <f ca="1">IF(Park!$E$59&gt;0,Park!$E$59,"  ")</f>
        <v xml:space="preserve">  </v>
      </c>
      <c r="G33" s="64"/>
      <c r="H33" s="64"/>
    </row>
    <row r="34" spans="1:13">
      <c r="A34" s="86" t="str">
        <f ca="1">IF(inputPrYr!$B40&gt;"  ",(inputPrYr!$B40),"  ")</f>
        <v xml:space="preserve">  </v>
      </c>
      <c r="B34" s="86" t="str">
        <f ca="1">IF('no levy page17'!$C$28&gt;0,'no levy page17'!$C$28,"  ")</f>
        <v xml:space="preserve">  </v>
      </c>
      <c r="C34" s="64"/>
      <c r="D34" s="86" t="str">
        <f ca="1">IF('no levy page17'!$D$28&gt;0,'no levy page17'!$D$28,"  ")</f>
        <v xml:space="preserve">  </v>
      </c>
      <c r="E34" s="64"/>
      <c r="F34" s="86" t="str">
        <f ca="1">IF('no levy page17'!$E$28&gt;0,'no levy page17'!$E$28,"  ")</f>
        <v xml:space="preserve">  </v>
      </c>
      <c r="G34" s="64"/>
      <c r="H34" s="64"/>
    </row>
    <row r="35" spans="1:13">
      <c r="A35" s="86" t="str">
        <f ca="1">IF(inputPrYr!$B41&gt;"  ",(inputPrYr!$B41),"  ")</f>
        <v xml:space="preserve">  </v>
      </c>
      <c r="B35" s="86" t="str">
        <f ca="1">IF('no levy page17'!$C$59&gt;0,'no levy page17'!$C$59,"  ")</f>
        <v xml:space="preserve">  </v>
      </c>
      <c r="C35" s="64"/>
      <c r="D35" s="86" t="str">
        <f ca="1">IF('no levy page17'!$D$59&gt;0,'no levy page17'!$D$59,"  ")</f>
        <v xml:space="preserve">  </v>
      </c>
      <c r="E35" s="64"/>
      <c r="F35" s="86" t="str">
        <f ca="1">IF('no levy page17'!$E$59&gt;0,'no levy page17'!$E$59,"  ")</f>
        <v xml:space="preserve">  </v>
      </c>
      <c r="G35" s="64"/>
      <c r="H35" s="64"/>
    </row>
    <row r="36" spans="1:13">
      <c r="A36" s="86" t="str">
        <f ca="1">IF(inputPrYr!$B42&gt;"  ",(inputPrYr!$B42),"  ")</f>
        <v xml:space="preserve">  </v>
      </c>
      <c r="B36" s="86" t="str">
        <f ca="1">IF('no levy page18'!$C$28&gt;0,'no levy page18'!$C$28,"  ")</f>
        <v xml:space="preserve">  </v>
      </c>
      <c r="C36" s="64"/>
      <c r="D36" s="86" t="str">
        <f ca="1">IF('no levy page18'!$D$28&gt;0,'no levy page18'!$D$28,"  ")</f>
        <v xml:space="preserve">  </v>
      </c>
      <c r="E36" s="64"/>
      <c r="F36" s="86" t="str">
        <f ca="1">IF('no levy page18'!$E$28&gt;0,'no levy page18'!$E$28,"  ")</f>
        <v xml:space="preserve">  </v>
      </c>
      <c r="G36" s="64"/>
      <c r="H36" s="64"/>
    </row>
    <row r="37" spans="1:13">
      <c r="A37" s="86" t="str">
        <f ca="1">IF(inputPrYr!$B43&gt;"  ",(inputPrYr!$B43),"  ")</f>
        <v xml:space="preserve">  </v>
      </c>
      <c r="B37" s="86" t="str">
        <f ca="1">IF('no levy page18'!$C$59&gt;0,'no levy page18'!$C$59,"  ")</f>
        <v xml:space="preserve">  </v>
      </c>
      <c r="C37" s="64"/>
      <c r="D37" s="86" t="str">
        <f ca="1">IF('no levy page18'!$D$59&gt;0,'no levy page18'!$D$59,"  ")</f>
        <v xml:space="preserve">  </v>
      </c>
      <c r="E37" s="64"/>
      <c r="F37" s="86" t="str">
        <f ca="1">IF('no levy page18'!$E$59&gt;0,'no levy page18'!$E$59,"  ")</f>
        <v xml:space="preserve">  </v>
      </c>
      <c r="G37" s="64"/>
      <c r="H37" s="64"/>
    </row>
    <row r="38" spans="1:13">
      <c r="A38" s="86" t="str">
        <f ca="1">IF(inputPrYr!$B44&gt;"  ",(inputPrYr!$B44),"  ")</f>
        <v xml:space="preserve">  </v>
      </c>
      <c r="B38" s="86" t="str">
        <f ca="1">IF('no levy page19'!$C$28&gt;0,'no levy page19'!$C$28,"  ")</f>
        <v xml:space="preserve">  </v>
      </c>
      <c r="C38" s="64"/>
      <c r="D38" s="86" t="str">
        <f ca="1">IF('no levy page19'!$D$28&gt;0,'no levy page19'!$D$28,"  ")</f>
        <v xml:space="preserve">  </v>
      </c>
      <c r="E38" s="64"/>
      <c r="F38" s="86" t="str">
        <f ca="1">IF('no levy page19'!$E$28&gt;0,'no levy page19'!$E$28,"  ")</f>
        <v xml:space="preserve">  </v>
      </c>
      <c r="G38" s="64"/>
      <c r="H38" s="64"/>
    </row>
    <row r="39" spans="1:13">
      <c r="A39" s="86" t="str">
        <f ca="1">IF(inputPrYr!$B45&gt;"  ",(inputPrYr!$B45),"  ")</f>
        <v xml:space="preserve">  </v>
      </c>
      <c r="B39" s="86" t="str">
        <f ca="1">IF('no levy page19'!$C$59&gt;0,'no levy page19'!$C$59,"  ")</f>
        <v xml:space="preserve">  </v>
      </c>
      <c r="C39" s="64"/>
      <c r="D39" s="86" t="str">
        <f ca="1">IF('no levy page19'!$D$59&gt;0,'no levy page19'!$D$59,"  ")</f>
        <v xml:space="preserve">  </v>
      </c>
      <c r="E39" s="64"/>
      <c r="F39" s="86" t="str">
        <f ca="1">IF('no levy page19'!$E$59&gt;0,'no levy page19'!$E$59,"  ")</f>
        <v xml:space="preserve">  </v>
      </c>
      <c r="G39" s="64"/>
      <c r="H39" s="64"/>
    </row>
    <row r="40" spans="1:13">
      <c r="A40" s="86" t="str">
        <f ca="1">IF(inputPrYr!$B46&gt;"  ",(inputPrYr!$B46),"  ")</f>
        <v xml:space="preserve">  </v>
      </c>
      <c r="B40" s="86" t="str">
        <f ca="1">IF('no levy page20'!$C$28&gt;0,'no levy page20'!$C$28,"  ")</f>
        <v xml:space="preserve">  </v>
      </c>
      <c r="C40" s="64"/>
      <c r="D40" s="86" t="str">
        <f ca="1">IF('no levy page20'!$D$28&gt;0,'no levy page20'!$D$28,"  ")</f>
        <v xml:space="preserve">  </v>
      </c>
      <c r="E40" s="64"/>
      <c r="F40" s="86" t="str">
        <f ca="1">IF('no levy page20'!$E$28&gt;0,'no levy page20'!$E$28,"  ")</f>
        <v xml:space="preserve">  </v>
      </c>
      <c r="G40" s="64"/>
      <c r="H40" s="64"/>
    </row>
    <row r="41" spans="1:13">
      <c r="A41" s="86" t="str">
        <f ca="1">IF(inputPrYr!$B47&gt;"  ",(inputPrYr!$B47),"  ")</f>
        <v xml:space="preserve">  </v>
      </c>
      <c r="B41" s="86" t="str">
        <f ca="1">IF('no levy page20'!$C$59&gt;0,'no levy page20'!$C$59,"  ")</f>
        <v xml:space="preserve">  </v>
      </c>
      <c r="C41" s="64"/>
      <c r="D41" s="86" t="str">
        <f ca="1">IF('no levy page20'!$D$59&gt;0,'no levy page20'!$D$59,"  ")</f>
        <v xml:space="preserve">  </v>
      </c>
      <c r="E41" s="64"/>
      <c r="F41" s="86" t="str">
        <f ca="1">IF('no levy page20'!$E$59&gt;0,'no levy page20'!$E$59,"  ")</f>
        <v xml:space="preserve">  </v>
      </c>
      <c r="G41" s="64"/>
      <c r="H41" s="64"/>
      <c r="J41" s="808" t="str">
        <f>CONCATENATE("Estimated Value Of One Mill For ",H2,"")</f>
        <v>Estimated Value Of One Mill For 2014</v>
      </c>
      <c r="K41" s="809"/>
      <c r="L41" s="809"/>
      <c r="M41" s="810"/>
    </row>
    <row r="42" spans="1:13">
      <c r="A42" s="86" t="str">
        <f ca="1">IF(inputPrYr!$B48&gt;"  ",(inputPrYr!$B48),"  ")</f>
        <v xml:space="preserve">  </v>
      </c>
      <c r="B42" s="86" t="str">
        <f ca="1">IF('no levy page21'!$C$28&gt;0,'no levy page21'!$C$28,"  ")</f>
        <v xml:space="preserve">  </v>
      </c>
      <c r="C42" s="64"/>
      <c r="D42" s="86" t="str">
        <f ca="1">IF('no levy page21'!$D$28&gt;0,'no levy page21'!$D$28,"  ")</f>
        <v xml:space="preserve">  </v>
      </c>
      <c r="E42" s="64"/>
      <c r="F42" s="86" t="str">
        <f ca="1">IF('no levy page21'!$E$28&gt;0,'no levy page21'!$E$28,"  ")</f>
        <v xml:space="preserve">  </v>
      </c>
      <c r="G42" s="64"/>
      <c r="H42" s="64"/>
      <c r="J42" s="509"/>
      <c r="K42" s="510"/>
      <c r="L42" s="510"/>
      <c r="M42" s="511"/>
    </row>
    <row r="43" spans="1:13">
      <c r="A43" s="86" t="str">
        <f ca="1">IF(inputPrYr!$B49&gt;"  ",(inputPrYr!$B49),"  ")</f>
        <v xml:space="preserve">  </v>
      </c>
      <c r="B43" s="86" t="str">
        <f ca="1">IF('no levy page21'!$C$59&gt;0,'no levy page21'!$C$59,"  ")</f>
        <v xml:space="preserve">  </v>
      </c>
      <c r="C43" s="64"/>
      <c r="D43" s="86" t="str">
        <f ca="1">IF('no levy page21'!$D$59&gt;0,'no levy page21'!$D$59,"  ")</f>
        <v xml:space="preserve">  </v>
      </c>
      <c r="E43" s="64"/>
      <c r="F43" s="86" t="str">
        <f ca="1">IF('no levy page21'!$E$59&gt;0,'no levy page21'!$E$59,"  ")</f>
        <v xml:space="preserve">  </v>
      </c>
      <c r="G43" s="64"/>
      <c r="H43" s="64"/>
      <c r="J43" s="512" t="s">
        <v>487</v>
      </c>
      <c r="K43" s="513"/>
      <c r="L43" s="513"/>
      <c r="M43" s="514">
        <f>ROUND(F57/1000,0)</f>
        <v>1507</v>
      </c>
    </row>
    <row r="44" spans="1:13">
      <c r="A44" s="86" t="str">
        <f ca="1">IF(inputPrYr!$B51&gt;"  ",(inputPrYr!$B51),"  ")</f>
        <v xml:space="preserve">  </v>
      </c>
      <c r="B44" s="86" t="str">
        <f ca="1">IF(SinNoLevy22!$C$47&gt;0,SinNoLevy22!$C$47,"  ")</f>
        <v xml:space="preserve">  </v>
      </c>
      <c r="C44" s="64"/>
      <c r="D44" s="86" t="str">
        <f ca="1">IF(SinNoLevy22!$D$47&gt;0,SinNoLevy22!$D$47,"  ")</f>
        <v xml:space="preserve">  </v>
      </c>
      <c r="E44" s="64"/>
      <c r="F44" s="86" t="str">
        <f ca="1">IF(SinNoLevy22!$E$47&gt;0,SinNoLevy22!$E$47,"  ")</f>
        <v xml:space="preserve">  </v>
      </c>
      <c r="G44" s="64"/>
      <c r="H44" s="64"/>
    </row>
    <row r="45" spans="1:13">
      <c r="A45" s="86" t="str">
        <f ca="1">IF(inputPrYr!$B52&gt;"  ",(inputPrYr!$B52),"  ")</f>
        <v xml:space="preserve">  </v>
      </c>
      <c r="B45" s="86" t="str">
        <f ca="1">IF(SinNoLevy23!$C$47&gt;0,SinNoLevy23!$C$47,"  ")</f>
        <v xml:space="preserve">  </v>
      </c>
      <c r="C45" s="64"/>
      <c r="D45" s="86" t="str">
        <f ca="1">IF(SinNoLevy23!$D$47&gt;0,SinNoLevy23!$D$47,"  ")</f>
        <v xml:space="preserve">  </v>
      </c>
      <c r="E45" s="64"/>
      <c r="F45" s="86" t="str">
        <f ca="1">IF(SinNoLevy23!$E$47&gt;0,SinNoLevy23!$E$47,"  ")</f>
        <v xml:space="preserve">  </v>
      </c>
      <c r="G45" s="64"/>
      <c r="H45" s="64"/>
      <c r="J45" s="808" t="str">
        <f>CONCATENATE("Want The Mill Rate The Same As For ",H2-1,"?")</f>
        <v>Want The Mill Rate The Same As For 2013?</v>
      </c>
      <c r="K45" s="809"/>
      <c r="L45" s="809"/>
      <c r="M45" s="810"/>
    </row>
    <row r="46" spans="1:13">
      <c r="A46" s="86" t="str">
        <f ca="1">IF(inputPrYr!$B53&gt;"  ",(inputPrYr!$B53),"  ")</f>
        <v xml:space="preserve">  </v>
      </c>
      <c r="B46" s="86" t="str">
        <f ca="1">IF(SinNoLevy24!$C$47&gt;0,SinNoLevy24!$C$47,"  ")</f>
        <v xml:space="preserve">  </v>
      </c>
      <c r="C46" s="64"/>
      <c r="D46" s="86" t="str">
        <f ca="1">IF(SinNoLevy24!$D$47&gt;0,SinNoLevy24!$D$47,"  ")</f>
        <v xml:space="preserve">  </v>
      </c>
      <c r="E46" s="64"/>
      <c r="F46" s="86" t="str">
        <f ca="1">IF(SinNoLevy24!$E$47&gt;0,SinNoLevy24!$E$47,"  ")</f>
        <v xml:space="preserve">  </v>
      </c>
      <c r="G46" s="64"/>
      <c r="H46" s="64"/>
      <c r="J46" s="516"/>
      <c r="K46" s="510"/>
      <c r="L46" s="510"/>
      <c r="M46" s="517"/>
    </row>
    <row r="47" spans="1:13">
      <c r="A47" s="86" t="str">
        <f ca="1">IF(inputPrYr!$B54&gt;"  ",(inputPrYr!$B54),"  ")</f>
        <v xml:space="preserve">  </v>
      </c>
      <c r="B47" s="86" t="str">
        <f ca="1">IF(SinNoLevy25!$C$47&gt;0,SinNoLevy25!$C$47,"  ")</f>
        <v xml:space="preserve">  </v>
      </c>
      <c r="C47" s="64"/>
      <c r="D47" s="86" t="str">
        <f ca="1">IF(SinNoLevy25!$D$47&gt;0,SinNoLevy25!$D$47,"  ")</f>
        <v xml:space="preserve">  </v>
      </c>
      <c r="E47" s="64"/>
      <c r="F47" s="86" t="str">
        <f ca="1">IF(SinNoLevy25!$E$47&gt;0,SinNoLevy25!$E$47,"  ")</f>
        <v xml:space="preserve">  </v>
      </c>
      <c r="G47" s="64"/>
      <c r="H47" s="64"/>
      <c r="J47" s="516" t="str">
        <f>CONCATENATE("",H2-1," Mill Rate Was:")</f>
        <v>2013 Mill Rate Was:</v>
      </c>
      <c r="K47" s="510"/>
      <c r="L47" s="510"/>
      <c r="M47" s="518">
        <f>E52</f>
        <v>32.481999999999999</v>
      </c>
    </row>
    <row r="48" spans="1:13">
      <c r="A48" s="86" t="str">
        <f ca="1">IF(inputPrYr!$B57&gt;"  ",(NonBudA!$A3),"  ")</f>
        <v>Non-Budgeted Funds-A</v>
      </c>
      <c r="B48" s="86">
        <f ca="1">IF(NonBudA!$K$28&gt;0,NonBudA!$K$28,"  ")</f>
        <v>20003</v>
      </c>
      <c r="C48" s="64"/>
      <c r="D48" s="86"/>
      <c r="E48" s="64"/>
      <c r="F48" s="86"/>
      <c r="G48" s="64"/>
      <c r="H48" s="64"/>
      <c r="J48" s="519" t="str">
        <f>CONCATENATE("",H2," Tax Levy Fund Expenditures Must Be")</f>
        <v>2014 Tax Levy Fund Expenditures Must Be</v>
      </c>
      <c r="K48" s="520"/>
      <c r="L48" s="520"/>
      <c r="M48" s="517"/>
    </row>
    <row r="49" spans="1:13">
      <c r="A49" s="86" t="str">
        <f ca="1">IF(inputPrYr!$B63&gt;"  ",(NonBudB!$A3),"  ")</f>
        <v xml:space="preserve">  </v>
      </c>
      <c r="B49" s="86" t="str">
        <f ca="1">IF(NonBudB!$K$28&gt;0,NonBudB!$K$28,"  ")</f>
        <v xml:space="preserve">  </v>
      </c>
      <c r="C49" s="64"/>
      <c r="D49" s="86"/>
      <c r="E49" s="64"/>
      <c r="F49" s="86"/>
      <c r="G49" s="64"/>
      <c r="H49" s="64"/>
      <c r="J49" s="519" t="str">
        <f>IF(M49&gt;0,"Increased By:","")</f>
        <v>Increased By:</v>
      </c>
      <c r="K49" s="520"/>
      <c r="L49" s="520"/>
      <c r="M49" s="591">
        <f>IF(M56&lt;0,M56*-1,0)</f>
        <v>445.27000000000407</v>
      </c>
    </row>
    <row r="50" spans="1:13">
      <c r="A50" s="86" t="str">
        <f ca="1">IF(inputPrYr!$B69&gt;"  ",(NonBudC!$A3),"  ")</f>
        <v xml:space="preserve">  </v>
      </c>
      <c r="B50" s="86" t="str">
        <f ca="1">IF(NonBudC!$K$28&gt;0,NonBudC!$K$28,"  ")</f>
        <v xml:space="preserve">  </v>
      </c>
      <c r="C50" s="64"/>
      <c r="D50" s="86"/>
      <c r="E50" s="64"/>
      <c r="F50" s="86"/>
      <c r="G50" s="64"/>
      <c r="H50" s="64"/>
      <c r="J50" s="592" t="str">
        <f>IF(M50&lt;0,"Reduced By:","")</f>
        <v/>
      </c>
      <c r="K50" s="593"/>
      <c r="L50" s="593"/>
      <c r="M50" s="594">
        <f>IF(M56&gt;0,M56*-1,0)</f>
        <v>0</v>
      </c>
    </row>
    <row r="51" spans="1:13" ht="16.5" thickBot="1">
      <c r="A51" s="86" t="str">
        <f ca="1">IF(inputPrYr!$B75&gt;"  ",(NonBudD!$A3),"  ")</f>
        <v xml:space="preserve">  </v>
      </c>
      <c r="B51" s="529" t="str">
        <f ca="1">IF(NonBudD!$K$28&gt;0,NonBudD!$K$28,"  ")</f>
        <v xml:space="preserve">  </v>
      </c>
      <c r="C51" s="530"/>
      <c r="D51" s="529"/>
      <c r="E51" s="530"/>
      <c r="F51" s="529"/>
      <c r="G51" s="530"/>
      <c r="H51" s="530"/>
      <c r="J51" s="523"/>
      <c r="K51" s="523"/>
      <c r="L51" s="523"/>
      <c r="M51" s="523"/>
    </row>
    <row r="52" spans="1:13">
      <c r="A52" s="142" t="s">
        <v>497</v>
      </c>
      <c r="B52" s="559">
        <f>SUM(B15:B51)</f>
        <v>256813.59999999998</v>
      </c>
      <c r="C52" s="560">
        <f>SUM(C15:C27)</f>
        <v>32.329000000000001</v>
      </c>
      <c r="D52" s="559">
        <f>SUM(D15:D51)</f>
        <v>1185708.8</v>
      </c>
      <c r="E52" s="560">
        <f>SUM(E15:E27)</f>
        <v>32.481999999999999</v>
      </c>
      <c r="F52" s="559">
        <f>SUM(F15:F51)</f>
        <v>390100</v>
      </c>
      <c r="G52" s="559">
        <f>SUM(G15:G51)</f>
        <v>48506.729999999996</v>
      </c>
      <c r="H52" s="560">
        <f>SUM(H15:H27)</f>
        <v>32.186</v>
      </c>
      <c r="J52" s="808" t="str">
        <f>CONCATENATE("Impact On Keeping The Same Mill Rate As For ",H2-1,"")</f>
        <v>Impact On Keeping The Same Mill Rate As For 2013</v>
      </c>
      <c r="K52" s="814"/>
      <c r="L52" s="814"/>
      <c r="M52" s="815"/>
    </row>
    <row r="53" spans="1:13">
      <c r="A53" s="51" t="s">
        <v>14</v>
      </c>
      <c r="B53" s="489">
        <f ca="1">transfers!D26</f>
        <v>5700</v>
      </c>
      <c r="C53" s="558"/>
      <c r="D53" s="489">
        <f ca="1">transfers!E26</f>
        <v>5700</v>
      </c>
      <c r="E53" s="340"/>
      <c r="F53" s="489">
        <f ca="1">transfers!F26</f>
        <v>5700</v>
      </c>
      <c r="G53" s="556"/>
      <c r="H53" s="340"/>
      <c r="I53" s="526"/>
      <c r="J53" s="516"/>
      <c r="K53" s="510"/>
      <c r="L53" s="510"/>
      <c r="M53" s="517"/>
    </row>
    <row r="54" spans="1:13" ht="16.5" thickBot="1">
      <c r="A54" s="51" t="s">
        <v>15</v>
      </c>
      <c r="B54" s="337">
        <f>B52-B53</f>
        <v>251113.59999999998</v>
      </c>
      <c r="C54" s="46"/>
      <c r="D54" s="337">
        <f>D52-D53</f>
        <v>1180008.8</v>
      </c>
      <c r="E54" s="46"/>
      <c r="F54" s="337">
        <f>F52-F53</f>
        <v>384400</v>
      </c>
      <c r="G54" s="46"/>
      <c r="H54" s="46"/>
      <c r="J54" s="516" t="str">
        <f>CONCATENATE("",H2," Ad Valorem Tax Revenue:")</f>
        <v>2014 Ad Valorem Tax Revenue:</v>
      </c>
      <c r="K54" s="510"/>
      <c r="L54" s="510"/>
      <c r="M54" s="511">
        <f>G52</f>
        <v>48506.729999999996</v>
      </c>
    </row>
    <row r="55" spans="1:13" ht="16.5" thickTop="1">
      <c r="A55" s="51" t="s">
        <v>16</v>
      </c>
      <c r="B55" s="489">
        <f ca="1">inputPrYr!$E$99</f>
        <v>40196</v>
      </c>
      <c r="C55" s="196"/>
      <c r="D55" s="489">
        <f ca="1">inputPrYr!$E$31</f>
        <v>47548</v>
      </c>
      <c r="E55" s="196"/>
      <c r="F55" s="328" t="s">
        <v>736</v>
      </c>
      <c r="G55" s="46"/>
      <c r="H55" s="46"/>
      <c r="J55" s="516" t="str">
        <f>CONCATENATE("",H2-1," Ad Valorem Tax Revenue:")</f>
        <v>2013 Ad Valorem Tax Revenue:</v>
      </c>
      <c r="K55" s="510"/>
      <c r="L55" s="510"/>
      <c r="M55" s="524">
        <f>ROUND(F57*M47/1000,0)</f>
        <v>48952</v>
      </c>
    </row>
    <row r="56" spans="1:13">
      <c r="A56" s="51" t="s">
        <v>17</v>
      </c>
      <c r="B56" s="198"/>
      <c r="C56" s="46"/>
      <c r="D56" s="490"/>
      <c r="E56" s="200"/>
      <c r="F56" s="151"/>
      <c r="G56" s="46"/>
      <c r="H56" s="46"/>
      <c r="J56" s="521" t="s">
        <v>488</v>
      </c>
      <c r="K56" s="522"/>
      <c r="L56" s="522"/>
      <c r="M56" s="514">
        <f>SUM(M54-M55)</f>
        <v>-445.27000000000407</v>
      </c>
    </row>
    <row r="57" spans="1:13">
      <c r="A57" s="51" t="s">
        <v>18</v>
      </c>
      <c r="B57" s="489">
        <f ca="1">inputPrYr!$E$100</f>
        <v>1453746</v>
      </c>
      <c r="C57" s="75"/>
      <c r="D57" s="489">
        <f ca="1">inputOth!$E$36</f>
        <v>1463795</v>
      </c>
      <c r="E57" s="75"/>
      <c r="F57" s="489">
        <f ca="1">inputOth!$E$7</f>
        <v>1507063</v>
      </c>
      <c r="G57" s="46"/>
      <c r="H57" s="46"/>
      <c r="J57" s="515"/>
      <c r="K57" s="515"/>
      <c r="L57" s="515"/>
      <c r="M57" s="523"/>
    </row>
    <row r="58" spans="1:13">
      <c r="A58" s="51" t="s">
        <v>19</v>
      </c>
      <c r="B58" s="46"/>
      <c r="C58" s="46"/>
      <c r="D58" s="46"/>
      <c r="E58" s="46"/>
      <c r="F58" s="46"/>
      <c r="G58" s="46"/>
      <c r="H58" s="46"/>
      <c r="J58" s="808" t="s">
        <v>489</v>
      </c>
      <c r="K58" s="812"/>
      <c r="L58" s="812"/>
      <c r="M58" s="813"/>
    </row>
    <row r="59" spans="1:13">
      <c r="A59" s="51" t="s">
        <v>20</v>
      </c>
      <c r="B59" s="329">
        <f ca="1">$H$2-3</f>
        <v>2011</v>
      </c>
      <c r="C59" s="46"/>
      <c r="D59" s="329">
        <f ca="1">$H$2-2</f>
        <v>2012</v>
      </c>
      <c r="E59" s="46"/>
      <c r="F59" s="329">
        <f>$H$2-1</f>
        <v>2013</v>
      </c>
      <c r="G59" s="46"/>
      <c r="H59" s="46"/>
      <c r="J59" s="516"/>
      <c r="K59" s="510"/>
      <c r="L59" s="510"/>
      <c r="M59" s="517"/>
    </row>
    <row r="60" spans="1:13" ht="13.5" customHeight="1">
      <c r="A60" s="51" t="s">
        <v>21</v>
      </c>
      <c r="B60" s="240">
        <f ca="1">inputPrYr!$D$104</f>
        <v>0</v>
      </c>
      <c r="C60" s="171"/>
      <c r="D60" s="240">
        <f ca="1">inputPrYr!$E$104</f>
        <v>0</v>
      </c>
      <c r="E60" s="171"/>
      <c r="F60" s="240">
        <f ca="1">debt!$G$20</f>
        <v>0</v>
      </c>
      <c r="G60" s="46"/>
      <c r="H60" s="46"/>
      <c r="J60" s="516" t="str">
        <f>CONCATENATE("Current ",H2," Estimated Mill Rate:")</f>
        <v>Current 2014 Estimated Mill Rate:</v>
      </c>
      <c r="K60" s="510"/>
      <c r="L60" s="510"/>
      <c r="M60" s="518">
        <f>H52</f>
        <v>32.186</v>
      </c>
    </row>
    <row r="61" spans="1:13">
      <c r="A61" s="51" t="s">
        <v>22</v>
      </c>
      <c r="B61" s="489">
        <f ca="1">inputPrYr!$D$105</f>
        <v>0</v>
      </c>
      <c r="C61" s="171"/>
      <c r="D61" s="489">
        <f ca="1">inputPrYr!$E$105</f>
        <v>0</v>
      </c>
      <c r="E61" s="171"/>
      <c r="F61" s="240">
        <f ca="1">debt!$G$32</f>
        <v>67030</v>
      </c>
      <c r="G61" s="46"/>
      <c r="H61" s="46"/>
      <c r="J61" s="516" t="str">
        <f>CONCATENATE("Desired ",H2," Mill Rate:")</f>
        <v>Desired 2014 Mill Rate:</v>
      </c>
      <c r="K61" s="510"/>
      <c r="L61" s="510"/>
      <c r="M61" s="508">
        <v>0</v>
      </c>
    </row>
    <row r="62" spans="1:13" ht="18.75" customHeight="1">
      <c r="A62" s="46" t="s">
        <v>40</v>
      </c>
      <c r="B62" s="489">
        <f ca="1">inputPrYr!$D$106</f>
        <v>73499</v>
      </c>
      <c r="C62" s="171"/>
      <c r="D62" s="489">
        <f ca="1">inputPrYr!$E$106</f>
        <v>73499</v>
      </c>
      <c r="E62" s="171"/>
      <c r="F62" s="240">
        <f ca="1">debt!$G$42</f>
        <v>134060</v>
      </c>
      <c r="G62" s="46"/>
      <c r="H62" s="46"/>
      <c r="J62" s="516" t="str">
        <f>CONCATENATE("",H2," Ad Valorem Tax:")</f>
        <v>2014 Ad Valorem Tax:</v>
      </c>
      <c r="K62" s="510"/>
      <c r="L62" s="510"/>
      <c r="M62" s="524">
        <f>ROUND(F57*M61/1000,0)</f>
        <v>0</v>
      </c>
    </row>
    <row r="63" spans="1:13" ht="18.75" customHeight="1">
      <c r="A63" s="51" t="s">
        <v>118</v>
      </c>
      <c r="B63" s="489">
        <f ca="1">inputPrYr!$D$107</f>
        <v>0</v>
      </c>
      <c r="C63" s="171"/>
      <c r="D63" s="489">
        <f ca="1">inputPrYr!$E$107</f>
        <v>0</v>
      </c>
      <c r="E63" s="171"/>
      <c r="F63" s="240">
        <f ca="1">lpform!$G$28</f>
        <v>0</v>
      </c>
      <c r="G63" s="46"/>
      <c r="H63" s="46"/>
      <c r="J63" s="521" t="str">
        <f>CONCATENATE("",H2," Tax Levy Fund Exp. Changed By:")</f>
        <v>2014 Tax Levy Fund Exp. Changed By:</v>
      </c>
      <c r="K63" s="522"/>
      <c r="L63" s="522"/>
      <c r="M63" s="514">
        <f>IF(M61=0,0,(M62-G52))</f>
        <v>0</v>
      </c>
    </row>
    <row r="64" spans="1:13" ht="18.75" customHeight="1" thickBot="1">
      <c r="A64" s="51" t="s">
        <v>23</v>
      </c>
      <c r="B64" s="565">
        <f>SUM(B60:B63)</f>
        <v>73499</v>
      </c>
      <c r="C64" s="171"/>
      <c r="D64" s="565">
        <f>SUM(D60:D63)</f>
        <v>73499</v>
      </c>
      <c r="E64" s="171"/>
      <c r="F64" s="565">
        <f>SUM(F60:F63)</f>
        <v>201090</v>
      </c>
      <c r="G64" s="46"/>
      <c r="H64" s="46"/>
    </row>
    <row r="65" spans="1:8" ht="18.75" customHeight="1" thickTop="1">
      <c r="A65" s="51" t="s">
        <v>24</v>
      </c>
      <c r="B65" s="46"/>
      <c r="C65" s="46"/>
      <c r="D65" s="46"/>
      <c r="E65" s="46"/>
      <c r="F65" s="46"/>
      <c r="G65" s="46"/>
      <c r="H65" s="46"/>
    </row>
    <row r="66" spans="1:8">
      <c r="A66" s="46"/>
      <c r="B66" s="46"/>
      <c r="C66" s="46"/>
      <c r="D66" s="46"/>
      <c r="E66" s="46"/>
      <c r="F66" s="46"/>
      <c r="G66" s="46"/>
      <c r="H66" s="46"/>
    </row>
    <row r="67" spans="1:8">
      <c r="A67" s="811" t="str">
        <f ca="1">inputBudSum!B3</f>
        <v>Joseph Heier</v>
      </c>
      <c r="B67" s="811"/>
      <c r="C67" s="75"/>
      <c r="D67" s="46"/>
      <c r="E67" s="46"/>
      <c r="F67" s="46"/>
      <c r="G67" s="46"/>
      <c r="H67" s="46"/>
    </row>
    <row r="68" spans="1:8">
      <c r="A68" s="168" t="s">
        <v>158</v>
      </c>
      <c r="B68" s="621" t="str">
        <f ca="1">inputBudSum!B5</f>
        <v>Mayor</v>
      </c>
      <c r="C68" s="46"/>
      <c r="D68" s="46"/>
      <c r="E68" s="46"/>
      <c r="F68" s="46"/>
      <c r="G68" s="46"/>
      <c r="H68" s="46"/>
    </row>
    <row r="69" spans="1:8">
      <c r="A69" s="46"/>
      <c r="B69" s="46"/>
      <c r="C69" s="46"/>
      <c r="D69" s="46"/>
      <c r="E69" s="46"/>
      <c r="F69" s="46"/>
      <c r="G69" s="46"/>
      <c r="H69" s="46"/>
    </row>
    <row r="70" spans="1:8">
      <c r="A70" s="46"/>
      <c r="B70" s="46"/>
      <c r="C70" s="135" t="s">
        <v>756</v>
      </c>
      <c r="D70" s="281"/>
      <c r="E70" s="46"/>
      <c r="F70" s="46"/>
      <c r="G70" s="46"/>
      <c r="H70" s="46"/>
    </row>
  </sheetData>
  <sheetProtection sheet="1"/>
  <mergeCells count="11">
    <mergeCell ref="A5:H5"/>
    <mergeCell ref="J41:M41"/>
    <mergeCell ref="A67:B67"/>
    <mergeCell ref="J58:M58"/>
    <mergeCell ref="J52:M52"/>
    <mergeCell ref="J45:M45"/>
    <mergeCell ref="A1:H1"/>
    <mergeCell ref="A4:H4"/>
    <mergeCell ref="A6:H6"/>
    <mergeCell ref="A7:H7"/>
    <mergeCell ref="A3:H3"/>
  </mergeCells>
  <phoneticPr fontId="0" type="noConversion"/>
  <pageMargins left="1" right="0.5" top="1" bottom="0.5" header="0.5" footer="0.5"/>
  <pageSetup scale="61" orientation="portrait" blackAndWhite="1" horizontalDpi="1200" verticalDpi="144"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workbookViewId="0">
      <selection activeCell="A33" sqref="A33"/>
    </sheetView>
  </sheetViews>
  <sheetFormatPr defaultRowHeight="15"/>
  <cols>
    <col min="1" max="1" width="10.109375" style="105" customWidth="1"/>
    <col min="2" max="2" width="16.33203125" style="105" customWidth="1"/>
    <col min="3" max="3" width="11.77734375" style="105" customWidth="1"/>
    <col min="4" max="4" width="12.77734375" style="105" customWidth="1"/>
    <col min="5" max="5" width="11.77734375" style="105" customWidth="1"/>
    <col min="6" max="16384" width="8.88671875" style="105"/>
  </cols>
  <sheetData>
    <row r="1" spans="1:6" ht="15.75">
      <c r="A1" s="196" t="str">
        <f ca="1">inputPrYr!D2</f>
        <v>City of Grainfield</v>
      </c>
      <c r="B1" s="46"/>
      <c r="C1" s="46"/>
      <c r="D1" s="46"/>
      <c r="E1" s="46"/>
      <c r="F1" s="46">
        <f ca="1">inputPrYr!C5</f>
        <v>2014</v>
      </c>
    </row>
    <row r="2" spans="1:6" ht="15.75">
      <c r="A2" s="46"/>
      <c r="B2" s="46"/>
      <c r="C2" s="46"/>
      <c r="D2" s="46"/>
      <c r="E2" s="46"/>
      <c r="F2" s="46"/>
    </row>
    <row r="3" spans="1:6" ht="15.75">
      <c r="A3" s="46"/>
      <c r="B3" s="774" t="str">
        <f>CONCATENATE("",F1," Neighborhood Revitalization Rebate")</f>
        <v>2014 Neighborhood Revitalization Rebate</v>
      </c>
      <c r="C3" s="818"/>
      <c r="D3" s="818"/>
      <c r="E3" s="818"/>
      <c r="F3" s="46"/>
    </row>
    <row r="4" spans="1:6" ht="15.75">
      <c r="A4" s="46"/>
      <c r="B4" s="46"/>
      <c r="C4" s="46"/>
      <c r="D4" s="46"/>
      <c r="E4" s="46"/>
      <c r="F4" s="46"/>
    </row>
    <row r="5" spans="1:6" ht="51.75" customHeight="1">
      <c r="A5" s="46"/>
      <c r="B5" s="331" t="str">
        <f>CONCATENATE("Budgeted Funds         for ",F1,"")</f>
        <v>Budgeted Funds         for 2014</v>
      </c>
      <c r="C5" s="331" t="str">
        <f>CONCATENATE("",F1-1," Ad Valorem before Rebate**")</f>
        <v>2013 Ad Valorem before Rebate**</v>
      </c>
      <c r="D5" s="332" t="str">
        <f>CONCATENATE("",F1-1," Mil Rate before Rebate")</f>
        <v>2013 Mil Rate before Rebate</v>
      </c>
      <c r="E5" s="333" t="str">
        <f>CONCATENATE("Estimate ",F1," NR Rebate")</f>
        <v>Estimate 2014 NR Rebate</v>
      </c>
      <c r="F5" s="97"/>
    </row>
    <row r="6" spans="1:6" ht="15.75">
      <c r="A6" s="46"/>
      <c r="B6" s="63" t="str">
        <f ca="1">inputPrYr!B17</f>
        <v>General</v>
      </c>
      <c r="C6" s="334"/>
      <c r="D6" s="335" t="str">
        <f>IF(C6&gt;0,C6/$D$24,"")</f>
        <v/>
      </c>
      <c r="E6" s="240" t="str">
        <f t="shared" ref="E6:E17" si="0">IF(C6&gt;0,ROUND(D6*$D$28,0),"")</f>
        <v/>
      </c>
      <c r="F6" s="97"/>
    </row>
    <row r="7" spans="1:6" ht="15.75">
      <c r="A7" s="46"/>
      <c r="B7" s="63" t="str">
        <f ca="1">inputPrYr!B18</f>
        <v>Debt Service</v>
      </c>
      <c r="C7" s="334"/>
      <c r="D7" s="335" t="str">
        <f t="shared" ref="D7:D17" si="1">IF(C7&gt;0,C7/$D$24,"")</f>
        <v/>
      </c>
      <c r="E7" s="240" t="str">
        <f t="shared" si="0"/>
        <v/>
      </c>
      <c r="F7" s="97"/>
    </row>
    <row r="8" spans="1:6" ht="15.75">
      <c r="A8" s="46"/>
      <c r="B8" s="86" t="str">
        <f ca="1">inputPrYr!B19</f>
        <v>Library</v>
      </c>
      <c r="C8" s="334"/>
      <c r="D8" s="335" t="str">
        <f t="shared" si="1"/>
        <v/>
      </c>
      <c r="E8" s="240" t="str">
        <f t="shared" si="0"/>
        <v/>
      </c>
      <c r="F8" s="97"/>
    </row>
    <row r="9" spans="1:6" ht="15.75">
      <c r="A9" s="46"/>
      <c r="B9" s="86">
        <f ca="1">inputPrYr!B21</f>
        <v>0</v>
      </c>
      <c r="C9" s="334"/>
      <c r="D9" s="335" t="str">
        <f t="shared" si="1"/>
        <v/>
      </c>
      <c r="E9" s="240" t="str">
        <f t="shared" si="0"/>
        <v/>
      </c>
      <c r="F9" s="97"/>
    </row>
    <row r="10" spans="1:6" ht="15.75">
      <c r="A10" s="46"/>
      <c r="B10" s="86">
        <f ca="1">inputPrYr!B22</f>
        <v>0</v>
      </c>
      <c r="C10" s="334"/>
      <c r="D10" s="335" t="str">
        <f t="shared" si="1"/>
        <v/>
      </c>
      <c r="E10" s="240" t="str">
        <f t="shared" si="0"/>
        <v/>
      </c>
      <c r="F10" s="97"/>
    </row>
    <row r="11" spans="1:6" ht="15.75">
      <c r="A11" s="46"/>
      <c r="B11" s="86">
        <f ca="1">inputPrYr!B23</f>
        <v>0</v>
      </c>
      <c r="C11" s="334"/>
      <c r="D11" s="335" t="str">
        <f t="shared" si="1"/>
        <v/>
      </c>
      <c r="E11" s="240" t="str">
        <f t="shared" si="0"/>
        <v/>
      </c>
      <c r="F11" s="97"/>
    </row>
    <row r="12" spans="1:6" ht="15.75">
      <c r="A12" s="46"/>
      <c r="B12" s="86">
        <f ca="1">inputPrYr!B24</f>
        <v>0</v>
      </c>
      <c r="C12" s="336"/>
      <c r="D12" s="335" t="str">
        <f t="shared" si="1"/>
        <v/>
      </c>
      <c r="E12" s="240" t="str">
        <f t="shared" si="0"/>
        <v/>
      </c>
      <c r="F12" s="97"/>
    </row>
    <row r="13" spans="1:6" ht="15.75">
      <c r="A13" s="46"/>
      <c r="B13" s="86">
        <f ca="1">inputPrYr!B25</f>
        <v>0</v>
      </c>
      <c r="C13" s="336"/>
      <c r="D13" s="335" t="str">
        <f t="shared" si="1"/>
        <v/>
      </c>
      <c r="E13" s="240" t="str">
        <f t="shared" si="0"/>
        <v/>
      </c>
      <c r="F13" s="97"/>
    </row>
    <row r="14" spans="1:6" ht="15.75">
      <c r="A14" s="46"/>
      <c r="B14" s="86">
        <f ca="1">inputPrYr!B26</f>
        <v>0</v>
      </c>
      <c r="C14" s="336"/>
      <c r="D14" s="335" t="str">
        <f t="shared" si="1"/>
        <v/>
      </c>
      <c r="E14" s="240" t="str">
        <f t="shared" si="0"/>
        <v/>
      </c>
      <c r="F14" s="97"/>
    </row>
    <row r="15" spans="1:6" ht="15.75">
      <c r="A15" s="46"/>
      <c r="B15" s="86">
        <f ca="1">inputPrYr!B27</f>
        <v>0</v>
      </c>
      <c r="C15" s="336"/>
      <c r="D15" s="335" t="str">
        <f t="shared" si="1"/>
        <v/>
      </c>
      <c r="E15" s="240" t="str">
        <f t="shared" si="0"/>
        <v/>
      </c>
      <c r="F15" s="97"/>
    </row>
    <row r="16" spans="1:6" ht="15.75">
      <c r="A16" s="46"/>
      <c r="B16" s="86">
        <f ca="1">inputPrYr!B28</f>
        <v>0</v>
      </c>
      <c r="C16" s="336"/>
      <c r="D16" s="335" t="str">
        <f t="shared" si="1"/>
        <v/>
      </c>
      <c r="E16" s="240" t="str">
        <f t="shared" si="0"/>
        <v/>
      </c>
      <c r="F16" s="97"/>
    </row>
    <row r="17" spans="1:6" ht="15.75">
      <c r="A17" s="46"/>
      <c r="B17" s="86">
        <f ca="1">inputPrYr!B29</f>
        <v>0</v>
      </c>
      <c r="C17" s="336"/>
      <c r="D17" s="335" t="str">
        <f t="shared" si="1"/>
        <v/>
      </c>
      <c r="E17" s="240" t="str">
        <f t="shared" si="0"/>
        <v/>
      </c>
      <c r="F17" s="97"/>
    </row>
    <row r="18" spans="1:6" ht="15.75">
      <c r="A18" s="46"/>
      <c r="B18" s="86">
        <f ca="1">inputPrYr!B30</f>
        <v>0</v>
      </c>
      <c r="C18" s="336"/>
      <c r="D18" s="335" t="str">
        <f>IF(C18&gt;0,C18/$D$24,"")</f>
        <v/>
      </c>
      <c r="E18" s="240" t="str">
        <f>IF(C18&gt;0,ROUND(D18*$D$28,0),"")</f>
        <v/>
      </c>
      <c r="F18" s="97"/>
    </row>
    <row r="19" spans="1:6" ht="16.5" thickBot="1">
      <c r="A19" s="46"/>
      <c r="B19" s="64" t="s">
        <v>742</v>
      </c>
      <c r="C19" s="337">
        <f>SUM(C6:C18)</f>
        <v>0</v>
      </c>
      <c r="D19" s="338">
        <f>SUM(D6:D17)</f>
        <v>0</v>
      </c>
      <c r="E19" s="337">
        <f>SUM(E6:E17)</f>
        <v>0</v>
      </c>
      <c r="F19" s="97"/>
    </row>
    <row r="20" spans="1:6" ht="16.5" thickTop="1">
      <c r="A20" s="46"/>
      <c r="B20" s="46"/>
      <c r="C20" s="46"/>
      <c r="D20" s="46"/>
      <c r="E20" s="46"/>
      <c r="F20" s="97"/>
    </row>
    <row r="21" spans="1:6" ht="15.75">
      <c r="A21" s="46"/>
      <c r="B21" s="46"/>
      <c r="C21" s="46"/>
      <c r="D21" s="46"/>
      <c r="E21" s="46"/>
      <c r="F21" s="97"/>
    </row>
    <row r="22" spans="1:6" ht="15.75">
      <c r="A22" s="819" t="str">
        <f>CONCATENATE("",F1-1," July 1 Valuation:")</f>
        <v>2013 July 1 Valuation:</v>
      </c>
      <c r="B22" s="795"/>
      <c r="C22" s="819"/>
      <c r="D22" s="330">
        <f ca="1">inputOth!E7</f>
        <v>1507063</v>
      </c>
      <c r="E22" s="46"/>
      <c r="F22" s="97"/>
    </row>
    <row r="23" spans="1:6" ht="15.75">
      <c r="A23" s="46"/>
      <c r="B23" s="46"/>
      <c r="C23" s="46"/>
      <c r="D23" s="46"/>
      <c r="E23" s="46"/>
      <c r="F23" s="97"/>
    </row>
    <row r="24" spans="1:6" ht="15.75">
      <c r="A24" s="46"/>
      <c r="B24" s="819" t="s">
        <v>238</v>
      </c>
      <c r="C24" s="819"/>
      <c r="D24" s="339">
        <f>IF(D22&gt;0,(D22*0.001),"")</f>
        <v>1507.0630000000001</v>
      </c>
      <c r="E24" s="46"/>
      <c r="F24" s="97"/>
    </row>
    <row r="25" spans="1:6" ht="15.75">
      <c r="A25" s="46"/>
      <c r="B25" s="135"/>
      <c r="C25" s="135"/>
      <c r="D25" s="340"/>
      <c r="E25" s="46"/>
      <c r="F25" s="97"/>
    </row>
    <row r="26" spans="1:6" ht="15.75">
      <c r="A26" s="817" t="s">
        <v>239</v>
      </c>
      <c r="B26" s="764"/>
      <c r="C26" s="764"/>
      <c r="D26" s="341">
        <f ca="1">inputOth!E17</f>
        <v>0</v>
      </c>
      <c r="E26" s="67"/>
      <c r="F26" s="67"/>
    </row>
    <row r="27" spans="1:6">
      <c r="A27" s="67"/>
      <c r="B27" s="67"/>
      <c r="C27" s="67"/>
      <c r="D27" s="342"/>
      <c r="E27" s="67"/>
      <c r="F27" s="67"/>
    </row>
    <row r="28" spans="1:6" ht="15.75">
      <c r="A28" s="67"/>
      <c r="B28" s="817" t="s">
        <v>240</v>
      </c>
      <c r="C28" s="795"/>
      <c r="D28" s="343" t="str">
        <f>IF(D26&gt;0,(D26*0.001),"")</f>
        <v/>
      </c>
      <c r="E28" s="67"/>
      <c r="F28" s="67"/>
    </row>
    <row r="29" spans="1:6">
      <c r="A29" s="67"/>
      <c r="B29" s="67"/>
      <c r="C29" s="67"/>
      <c r="D29" s="67"/>
      <c r="E29" s="67"/>
      <c r="F29" s="67"/>
    </row>
    <row r="30" spans="1:6">
      <c r="A30" s="67"/>
      <c r="B30" s="67"/>
      <c r="C30" s="67"/>
      <c r="D30" s="67"/>
      <c r="E30" s="67"/>
      <c r="F30" s="67"/>
    </row>
    <row r="31" spans="1:6">
      <c r="A31" s="67"/>
      <c r="B31" s="67"/>
      <c r="C31" s="67"/>
      <c r="D31" s="67"/>
      <c r="E31" s="67"/>
      <c r="F31" s="67"/>
    </row>
    <row r="32" spans="1:6" ht="15.75">
      <c r="A32" s="372" t="str">
        <f>CONCATENATE("**This information comes from the ",F1," Budget Summary page.  See instructions tab #13 for completing")</f>
        <v>**This information comes from the 2014 Budget Summary page.  See instructions tab #13 for completing</v>
      </c>
      <c r="B32" s="67"/>
      <c r="C32" s="67"/>
      <c r="D32" s="67"/>
      <c r="E32" s="67"/>
      <c r="F32" s="67"/>
    </row>
    <row r="33" spans="1:6" ht="15.75">
      <c r="A33" s="372" t="s">
        <v>378</v>
      </c>
      <c r="B33" s="67"/>
      <c r="C33" s="67"/>
      <c r="D33" s="67"/>
      <c r="E33" s="67"/>
      <c r="F33" s="67"/>
    </row>
    <row r="34" spans="1:6" ht="15.75">
      <c r="A34" s="372"/>
      <c r="B34" s="67"/>
      <c r="C34" s="67"/>
      <c r="D34" s="67"/>
      <c r="E34" s="67"/>
      <c r="F34" s="67"/>
    </row>
    <row r="35" spans="1:6" ht="15.75">
      <c r="A35" s="372"/>
      <c r="B35" s="67"/>
      <c r="C35" s="67"/>
      <c r="D35" s="67"/>
      <c r="E35" s="67"/>
      <c r="F35" s="67"/>
    </row>
    <row r="36" spans="1:6" ht="15.75">
      <c r="A36" s="372"/>
      <c r="B36" s="67"/>
      <c r="C36" s="67"/>
      <c r="D36" s="67"/>
      <c r="E36" s="67"/>
      <c r="F36" s="67"/>
    </row>
    <row r="37" spans="1:6" ht="15.75">
      <c r="A37" s="372"/>
      <c r="B37" s="67"/>
      <c r="C37" s="67"/>
      <c r="D37" s="67"/>
      <c r="E37" s="67"/>
      <c r="F37" s="67"/>
    </row>
    <row r="38" spans="1:6">
      <c r="A38" s="67"/>
      <c r="B38" s="67"/>
      <c r="C38" s="67"/>
      <c r="D38" s="67"/>
      <c r="E38" s="67"/>
      <c r="F38" s="67"/>
    </row>
    <row r="39" spans="1:6" ht="15.75">
      <c r="A39" s="67"/>
      <c r="B39" s="186" t="s">
        <v>7</v>
      </c>
      <c r="C39" s="281"/>
      <c r="D39" s="67"/>
      <c r="E39" s="67"/>
      <c r="F39" s="67"/>
    </row>
    <row r="40" spans="1:6" ht="15.75">
      <c r="A40" s="97"/>
      <c r="B40" s="46"/>
      <c r="C40" s="46"/>
      <c r="D40" s="344"/>
      <c r="E40" s="97"/>
      <c r="F40" s="97"/>
    </row>
  </sheetData>
  <sheetProtection sheet="1"/>
  <mergeCells count="5">
    <mergeCell ref="B28:C28"/>
    <mergeCell ref="B3:E3"/>
    <mergeCell ref="A22:C22"/>
    <mergeCell ref="B24:C24"/>
    <mergeCell ref="A26:C26"/>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topLeftCell="A7" workbookViewId="0">
      <selection activeCell="B10" sqref="B10"/>
    </sheetView>
  </sheetViews>
  <sheetFormatPr defaultRowHeight="15"/>
  <cols>
    <col min="1" max="1" width="13.77734375" customWidth="1"/>
    <col min="2" max="2" width="16.109375" customWidth="1"/>
  </cols>
  <sheetData>
    <row r="1" spans="1:10">
      <c r="J1" s="611" t="s">
        <v>599</v>
      </c>
    </row>
    <row r="2" spans="1:10" ht="54" customHeight="1">
      <c r="A2" s="757" t="s">
        <v>302</v>
      </c>
      <c r="B2" s="758"/>
      <c r="C2" s="758"/>
      <c r="D2" s="758"/>
      <c r="E2" s="758"/>
      <c r="F2" s="758"/>
      <c r="J2" s="611" t="s">
        <v>600</v>
      </c>
    </row>
    <row r="3" spans="1:10" ht="15.75">
      <c r="A3" s="1" t="s">
        <v>601</v>
      </c>
      <c r="B3" s="612" t="s">
        <v>861</v>
      </c>
      <c r="C3" s="612"/>
      <c r="J3" s="611" t="s">
        <v>602</v>
      </c>
    </row>
    <row r="4" spans="1:10" ht="15.75">
      <c r="A4" s="1"/>
      <c r="B4" s="613"/>
      <c r="J4" s="611" t="s">
        <v>603</v>
      </c>
    </row>
    <row r="5" spans="1:10" ht="15.75">
      <c r="A5" s="1" t="s">
        <v>490</v>
      </c>
      <c r="B5" s="612" t="s">
        <v>862</v>
      </c>
      <c r="J5" s="611" t="s">
        <v>604</v>
      </c>
    </row>
    <row r="6" spans="1:10" ht="15.75">
      <c r="A6" s="351"/>
      <c r="B6" s="351"/>
      <c r="C6" s="351"/>
      <c r="D6" s="352" t="s">
        <v>605</v>
      </c>
      <c r="E6" s="351"/>
      <c r="F6" s="351"/>
      <c r="J6" s="611" t="s">
        <v>606</v>
      </c>
    </row>
    <row r="7" spans="1:10" ht="15.75">
      <c r="A7" s="352" t="s">
        <v>303</v>
      </c>
      <c r="B7" s="612" t="s">
        <v>899</v>
      </c>
      <c r="C7" s="353"/>
      <c r="D7" s="352" t="str">
        <f ca="1">IF(B7="","",CONCATENATE("Latest date for notice to be published in your newspaper: ",G18," ",G22,", ",G23))</f>
        <v>Latest date for notice to be published in your newspaper: August 14, 2013</v>
      </c>
      <c r="E7" s="351"/>
      <c r="F7" s="351"/>
      <c r="J7" s="611" t="s">
        <v>607</v>
      </c>
    </row>
    <row r="8" spans="1:10" ht="15.75">
      <c r="A8" s="352"/>
      <c r="B8" s="354"/>
      <c r="C8" s="355"/>
      <c r="D8" s="352"/>
      <c r="E8" s="351"/>
      <c r="F8" s="351"/>
      <c r="J8" s="611" t="s">
        <v>608</v>
      </c>
    </row>
    <row r="9" spans="1:10" ht="15.75">
      <c r="A9" s="352" t="s">
        <v>304</v>
      </c>
      <c r="B9" s="612" t="s">
        <v>901</v>
      </c>
      <c r="C9" s="356"/>
      <c r="D9" s="352"/>
      <c r="E9" s="351"/>
      <c r="F9" s="351"/>
      <c r="J9" s="611" t="s">
        <v>609</v>
      </c>
    </row>
    <row r="10" spans="1:10" ht="15.75">
      <c r="A10" s="352"/>
      <c r="B10" s="352"/>
      <c r="C10" s="352"/>
      <c r="D10" s="352"/>
      <c r="E10" s="351"/>
      <c r="F10" s="351"/>
      <c r="J10" s="611" t="s">
        <v>610</v>
      </c>
    </row>
    <row r="11" spans="1:10" ht="15.75">
      <c r="A11" s="352" t="s">
        <v>305</v>
      </c>
      <c r="B11" s="614" t="s">
        <v>863</v>
      </c>
      <c r="C11" s="614"/>
      <c r="D11" s="614"/>
      <c r="E11" s="615"/>
      <c r="F11" s="351"/>
      <c r="J11" s="611" t="s">
        <v>611</v>
      </c>
    </row>
    <row r="12" spans="1:10" ht="15.75">
      <c r="A12" s="352"/>
      <c r="B12" s="352"/>
      <c r="C12" s="352"/>
      <c r="D12" s="352"/>
      <c r="E12" s="351"/>
      <c r="F12" s="351"/>
      <c r="J12" s="611" t="s">
        <v>612</v>
      </c>
    </row>
    <row r="13" spans="1:10" ht="15.75">
      <c r="A13" s="352"/>
      <c r="B13" s="352"/>
      <c r="C13" s="352"/>
      <c r="D13" s="352"/>
      <c r="E13" s="351"/>
      <c r="F13" s="351"/>
    </row>
    <row r="14" spans="1:10" ht="15.75">
      <c r="A14" s="352" t="s">
        <v>306</v>
      </c>
      <c r="B14" s="614" t="s">
        <v>864</v>
      </c>
      <c r="C14" s="614"/>
      <c r="D14" s="614"/>
      <c r="E14" s="615"/>
      <c r="F14" s="351"/>
    </row>
    <row r="17" spans="1:7" ht="15.75">
      <c r="A17" s="759" t="s">
        <v>307</v>
      </c>
      <c r="B17" s="759"/>
      <c r="C17" s="352"/>
      <c r="D17" s="352"/>
      <c r="E17" s="352"/>
      <c r="F17" s="351"/>
    </row>
    <row r="18" spans="1:7" ht="15.75">
      <c r="A18" s="352"/>
      <c r="B18" s="352"/>
      <c r="C18" s="352"/>
      <c r="D18" s="352"/>
      <c r="E18" s="352"/>
      <c r="F18" s="351"/>
      <c r="G18" s="611" t="str">
        <f ca="1">IF(B7="","",INDIRECT(G19))</f>
        <v>August</v>
      </c>
    </row>
    <row r="19" spans="1:7" ht="15.75">
      <c r="A19" s="352" t="s">
        <v>490</v>
      </c>
      <c r="B19" s="352" t="s">
        <v>491</v>
      </c>
      <c r="C19" s="352"/>
      <c r="D19" s="352"/>
      <c r="E19" s="352"/>
      <c r="F19" s="351"/>
      <c r="G19" s="616" t="str">
        <f>IF(B7="","",CONCATENATE("J",G21))</f>
        <v>J8</v>
      </c>
    </row>
    <row r="20" spans="1:7" ht="15.75">
      <c r="A20" s="352"/>
      <c r="B20" s="352"/>
      <c r="C20" s="352"/>
      <c r="D20" s="352"/>
      <c r="E20" s="352"/>
      <c r="F20" s="351"/>
      <c r="G20" s="617">
        <f>B7-10</f>
        <v>41500</v>
      </c>
    </row>
    <row r="21" spans="1:7" ht="15.75">
      <c r="A21" s="352" t="s">
        <v>303</v>
      </c>
      <c r="B21" s="354" t="s">
        <v>308</v>
      </c>
      <c r="C21" s="352"/>
      <c r="D21" s="352"/>
      <c r="E21" s="352"/>
      <c r="G21" s="618">
        <f>IF(B7="","",MONTH(G20))</f>
        <v>8</v>
      </c>
    </row>
    <row r="22" spans="1:7" ht="15.75">
      <c r="A22" s="352"/>
      <c r="B22" s="352"/>
      <c r="C22" s="352"/>
      <c r="D22" s="352"/>
      <c r="E22" s="352"/>
      <c r="G22" s="619">
        <f>IF(B7="","",DAY(G20))</f>
        <v>14</v>
      </c>
    </row>
    <row r="23" spans="1:7" ht="15.75">
      <c r="A23" s="352" t="s">
        <v>304</v>
      </c>
      <c r="B23" s="352" t="s">
        <v>309</v>
      </c>
      <c r="C23" s="352"/>
      <c r="D23" s="352"/>
      <c r="E23" s="352"/>
      <c r="G23" s="620">
        <f>IF(B7="","",YEAR(G20))</f>
        <v>2013</v>
      </c>
    </row>
    <row r="24" spans="1:7" ht="15.75">
      <c r="A24" s="352"/>
      <c r="B24" s="352"/>
      <c r="C24" s="352"/>
      <c r="D24" s="352"/>
      <c r="E24" s="352"/>
    </row>
    <row r="25" spans="1:7" ht="15.75">
      <c r="A25" s="352" t="s">
        <v>305</v>
      </c>
      <c r="B25" s="352" t="s">
        <v>310</v>
      </c>
      <c r="C25" s="352"/>
      <c r="D25" s="352"/>
      <c r="E25" s="352"/>
    </row>
    <row r="26" spans="1:7" ht="15.75">
      <c r="A26" s="352"/>
      <c r="B26" s="352"/>
      <c r="C26" s="352"/>
      <c r="D26" s="352"/>
      <c r="E26" s="352"/>
    </row>
    <row r="27" spans="1:7" ht="15.75">
      <c r="A27" s="352" t="s">
        <v>306</v>
      </c>
      <c r="B27" s="352" t="s">
        <v>310</v>
      </c>
      <c r="C27" s="352"/>
      <c r="D27" s="352"/>
      <c r="E27" s="352"/>
    </row>
  </sheetData>
  <sheetProtection sheet="1"/>
  <mergeCells count="2">
    <mergeCell ref="A2:F2"/>
    <mergeCell ref="A17:B17"/>
  </mergeCells>
  <phoneticPr fontId="0" type="noConversion"/>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dimension ref="A1:N40"/>
  <sheetViews>
    <sheetView topLeftCell="A22" workbookViewId="0">
      <selection activeCell="H32" sqref="H32"/>
    </sheetView>
  </sheetViews>
  <sheetFormatPr defaultRowHeight="15.75"/>
  <cols>
    <col min="1" max="16384" width="8.88671875" style="1"/>
  </cols>
  <sheetData>
    <row r="1" spans="1:14" ht="16.5" customHeight="1">
      <c r="A1" s="820" t="s">
        <v>120</v>
      </c>
      <c r="B1" s="820"/>
      <c r="C1" s="820"/>
      <c r="D1" s="820"/>
      <c r="E1" s="820"/>
      <c r="F1" s="820"/>
      <c r="G1" s="820"/>
    </row>
    <row r="2" spans="1:14" ht="16.5" customHeight="1">
      <c r="A2" s="820"/>
      <c r="B2" s="820"/>
      <c r="C2" s="820"/>
      <c r="D2" s="820"/>
      <c r="E2" s="820"/>
      <c r="F2" s="820"/>
      <c r="G2" s="820"/>
    </row>
    <row r="3" spans="1:14" ht="16.5" customHeight="1">
      <c r="A3" s="821"/>
      <c r="B3" s="821"/>
      <c r="C3" s="821"/>
      <c r="D3" s="821"/>
      <c r="E3" s="821"/>
      <c r="F3" s="821"/>
      <c r="G3" s="821"/>
    </row>
    <row r="4" spans="1:14" ht="16.5" customHeight="1">
      <c r="A4" s="822" t="str">
        <f ca="1">CONCATENATE("AN ORDINANCE ATTESTING TO AN INCREASE IN TAX REVENUES FOR BUDGET YEAR ",inputPrYr!C5," FOR THE ",(inputPrYr!$D$2))</f>
        <v>AN ORDINANCE ATTESTING TO AN INCREASE IN TAX REVENUES FOR BUDGET YEAR 2014 FOR THE City of Grainfield</v>
      </c>
      <c r="B4" s="822"/>
      <c r="C4" s="822"/>
      <c r="D4" s="822"/>
      <c r="E4" s="822"/>
      <c r="F4" s="822"/>
      <c r="G4" s="822"/>
    </row>
    <row r="5" spans="1:14" ht="16.5" customHeight="1">
      <c r="A5" s="822"/>
      <c r="B5" s="822"/>
      <c r="C5" s="822"/>
      <c r="D5" s="822"/>
      <c r="E5" s="822"/>
      <c r="F5" s="822"/>
      <c r="G5" s="822"/>
    </row>
    <row r="6" spans="1:14" ht="16.5" customHeight="1">
      <c r="A6" s="820"/>
      <c r="B6" s="820"/>
      <c r="C6" s="820"/>
      <c r="D6" s="820"/>
      <c r="E6" s="820"/>
      <c r="F6" s="820"/>
      <c r="G6" s="820"/>
    </row>
    <row r="7" spans="1:14" ht="16.5" customHeight="1">
      <c r="A7" s="822" t="str">
        <f ca="1">CONCATENATE("WHEREAS, the ",(inputPrYr!$D$2)," must continue to provide services to protect the health, safety, and welfare of the citizens of this community; and")</f>
        <v>WHEREAS, the City of Grainfield must continue to provide services to protect the health, safety, and welfare of the citizens of this community; and</v>
      </c>
      <c r="B7" s="822"/>
      <c r="C7" s="822"/>
      <c r="D7" s="822"/>
      <c r="E7" s="822"/>
      <c r="F7" s="822"/>
      <c r="G7" s="822"/>
      <c r="H7" s="24"/>
      <c r="I7" s="24"/>
      <c r="J7" s="24"/>
      <c r="K7" s="24"/>
      <c r="L7" s="24"/>
      <c r="M7" s="24"/>
      <c r="N7" s="24"/>
    </row>
    <row r="8" spans="1:14" ht="16.5" customHeight="1">
      <c r="A8" s="822"/>
      <c r="B8" s="822"/>
      <c r="C8" s="822"/>
      <c r="D8" s="822"/>
      <c r="E8" s="822"/>
      <c r="F8" s="822"/>
      <c r="G8" s="822"/>
      <c r="H8" s="24"/>
      <c r="I8" s="24"/>
      <c r="J8" s="24"/>
      <c r="K8" s="24"/>
      <c r="L8" s="24"/>
      <c r="M8" s="24"/>
      <c r="N8" s="24"/>
    </row>
    <row r="9" spans="1:14" ht="16.5" customHeight="1">
      <c r="A9" s="25"/>
      <c r="B9" s="25"/>
      <c r="C9" s="25"/>
      <c r="D9" s="25"/>
      <c r="E9" s="25"/>
      <c r="F9" s="25"/>
      <c r="G9" s="25"/>
    </row>
    <row r="10" spans="1:14" ht="16.5" customHeight="1">
      <c r="A10" s="822" t="s">
        <v>121</v>
      </c>
      <c r="B10" s="822"/>
      <c r="C10" s="822"/>
      <c r="D10" s="822"/>
      <c r="E10" s="822"/>
      <c r="F10" s="822"/>
      <c r="G10" s="822"/>
    </row>
    <row r="11" spans="1:14" ht="16.5" customHeight="1">
      <c r="A11" s="822"/>
      <c r="B11" s="822"/>
      <c r="C11" s="822"/>
      <c r="D11" s="822"/>
      <c r="E11" s="822"/>
      <c r="F11" s="822"/>
      <c r="G11" s="822"/>
    </row>
    <row r="12" spans="1:14" ht="16.5" customHeight="1">
      <c r="A12" s="25"/>
      <c r="B12" s="25"/>
      <c r="C12" s="25"/>
      <c r="D12" s="25"/>
      <c r="E12" s="25"/>
      <c r="F12" s="25"/>
      <c r="G12" s="25"/>
    </row>
    <row r="13" spans="1:14" ht="16.5" customHeight="1">
      <c r="A13" s="822" t="str">
        <f ca="1">CONCATENATE("NOW THEREFORE, be it ordained by the Governing Body of the ",(inputPrYr!$D$2),":")</f>
        <v>NOW THEREFORE, be it ordained by the Governing Body of the City of Grainfield:</v>
      </c>
      <c r="B13" s="822"/>
      <c r="C13" s="822"/>
      <c r="D13" s="822"/>
      <c r="E13" s="822"/>
      <c r="F13" s="822"/>
      <c r="G13" s="822"/>
      <c r="H13" s="24"/>
      <c r="I13" s="24"/>
      <c r="J13" s="24"/>
      <c r="K13" s="24"/>
      <c r="L13" s="24"/>
      <c r="M13" s="24"/>
      <c r="N13" s="24"/>
    </row>
    <row r="14" spans="1:14" ht="16.5" customHeight="1">
      <c r="A14" s="822"/>
      <c r="B14" s="822"/>
      <c r="C14" s="822"/>
      <c r="D14" s="822"/>
      <c r="E14" s="822"/>
      <c r="F14" s="822"/>
      <c r="G14" s="822"/>
      <c r="H14" s="24"/>
      <c r="I14" s="24"/>
      <c r="J14" s="24"/>
      <c r="K14" s="24"/>
      <c r="L14" s="24"/>
      <c r="M14" s="24"/>
      <c r="N14" s="24"/>
    </row>
    <row r="15" spans="1:14" ht="16.5" customHeight="1">
      <c r="A15" s="822" t="str">
        <f ca="1">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Grainfield  has scheduled a public hearing and has prepared the proposed budget necessary to fund city services from January 1, 2014 until December 31, 2014.</v>
      </c>
      <c r="B15" s="822"/>
      <c r="C15" s="822"/>
      <c r="D15" s="822"/>
      <c r="E15" s="822"/>
      <c r="F15" s="822"/>
      <c r="G15" s="822"/>
      <c r="H15" s="24"/>
      <c r="I15" s="24"/>
      <c r="J15" s="24"/>
      <c r="K15" s="24"/>
      <c r="L15" s="24"/>
      <c r="M15" s="24"/>
      <c r="N15" s="24"/>
    </row>
    <row r="16" spans="1:14" ht="16.5" customHeight="1">
      <c r="A16" s="822"/>
      <c r="B16" s="822"/>
      <c r="C16" s="822"/>
      <c r="D16" s="822"/>
      <c r="E16" s="822"/>
      <c r="F16" s="822"/>
      <c r="G16" s="822"/>
      <c r="H16" s="24"/>
      <c r="I16" s="24"/>
      <c r="J16" s="24"/>
      <c r="K16" s="24"/>
      <c r="L16" s="24"/>
      <c r="M16" s="24"/>
      <c r="N16" s="24"/>
    </row>
    <row r="17" spans="1:14" ht="16.5" customHeight="1">
      <c r="A17" s="822"/>
      <c r="B17" s="822"/>
      <c r="C17" s="822"/>
      <c r="D17" s="822"/>
      <c r="E17" s="822"/>
      <c r="F17" s="822"/>
      <c r="G17" s="822"/>
      <c r="H17" s="24"/>
      <c r="I17" s="24"/>
      <c r="J17" s="24"/>
      <c r="K17" s="24"/>
      <c r="L17" s="24"/>
      <c r="M17" s="24"/>
      <c r="N17" s="24"/>
    </row>
    <row r="18" spans="1:14" ht="16.5" customHeight="1">
      <c r="A18" s="24"/>
      <c r="B18" s="24"/>
      <c r="C18" s="24"/>
      <c r="D18" s="24"/>
      <c r="E18" s="24"/>
      <c r="F18" s="24"/>
      <c r="G18" s="24"/>
    </row>
    <row r="19" spans="1:14" ht="16.5" customHeight="1">
      <c r="A19" s="824" t="s">
        <v>184</v>
      </c>
      <c r="B19" s="824"/>
      <c r="C19" s="824"/>
      <c r="D19" s="824"/>
      <c r="E19" s="824"/>
      <c r="F19" s="824"/>
      <c r="G19" s="824"/>
    </row>
    <row r="20" spans="1:14" ht="16.5" customHeight="1">
      <c r="A20" s="824" t="s">
        <v>185</v>
      </c>
      <c r="B20" s="824"/>
      <c r="C20" s="824"/>
      <c r="D20" s="824"/>
      <c r="E20" s="824"/>
      <c r="F20" s="824"/>
      <c r="G20" s="824"/>
    </row>
    <row r="21" spans="1:14" ht="16.5" customHeight="1">
      <c r="A21" s="824" t="str">
        <f ca="1">CONCATENATE("necessary to budget property tax revenues in an amount exceeding the levy in the ",inputPrYr!C5-1,"")</f>
        <v>necessary to budget property tax revenues in an amount exceeding the levy in the 2013</v>
      </c>
      <c r="B21" s="824"/>
      <c r="C21" s="824"/>
      <c r="D21" s="824"/>
      <c r="E21" s="824"/>
      <c r="F21" s="824"/>
      <c r="G21" s="824"/>
    </row>
    <row r="22" spans="1:14" ht="16.5" customHeight="1">
      <c r="A22" s="26" t="s">
        <v>186</v>
      </c>
      <c r="B22" s="26"/>
      <c r="C22" s="26"/>
      <c r="D22" s="26"/>
      <c r="E22" s="26"/>
      <c r="F22" s="26"/>
      <c r="G22" s="26"/>
    </row>
    <row r="23" spans="1:14" ht="16.5" customHeight="1">
      <c r="A23" s="24"/>
      <c r="B23" s="24"/>
      <c r="C23" s="24"/>
      <c r="D23" s="24"/>
      <c r="E23" s="24"/>
      <c r="F23" s="24"/>
      <c r="G23" s="24"/>
    </row>
    <row r="24" spans="1:14" ht="16.5" customHeight="1">
      <c r="A24" s="822" t="s">
        <v>122</v>
      </c>
      <c r="B24" s="822"/>
      <c r="C24" s="822"/>
      <c r="D24" s="822"/>
      <c r="E24" s="822"/>
      <c r="F24" s="822"/>
      <c r="G24" s="822"/>
    </row>
    <row r="25" spans="1:14" ht="16.5" customHeight="1">
      <c r="A25" s="822"/>
      <c r="B25" s="822"/>
      <c r="C25" s="822"/>
      <c r="D25" s="822"/>
      <c r="E25" s="822"/>
      <c r="F25" s="822"/>
      <c r="G25" s="822"/>
    </row>
    <row r="26" spans="1:14" ht="16.5" customHeight="1">
      <c r="A26" s="24"/>
      <c r="B26" s="24"/>
      <c r="C26" s="24"/>
      <c r="D26" s="24"/>
      <c r="E26" s="24"/>
      <c r="F26" s="24"/>
      <c r="G26" s="24"/>
    </row>
    <row r="27" spans="1:14" ht="16.5" customHeight="1">
      <c r="A27" s="822" t="str">
        <f ca="1">CONCATENATE("Passed and approved by the Governing Body on this ______ day of __________, ",inputPrYr!C5-1,".")</f>
        <v>Passed and approved by the Governing Body on this ______ day of __________, 2013.</v>
      </c>
      <c r="B27" s="822"/>
      <c r="C27" s="822"/>
      <c r="D27" s="822"/>
      <c r="E27" s="822"/>
      <c r="F27" s="822"/>
      <c r="G27" s="822"/>
    </row>
    <row r="28" spans="1:14" ht="16.5" customHeight="1">
      <c r="A28" s="822"/>
      <c r="B28" s="822"/>
      <c r="C28" s="822"/>
      <c r="D28" s="822"/>
      <c r="E28" s="822"/>
      <c r="F28" s="822"/>
      <c r="G28" s="822"/>
    </row>
    <row r="29" spans="1:14" ht="16.5" customHeight="1"/>
    <row r="30" spans="1:14" ht="16.5" customHeight="1">
      <c r="A30" s="823" t="s">
        <v>123</v>
      </c>
      <c r="B30" s="823"/>
      <c r="C30" s="823"/>
      <c r="D30" s="823"/>
      <c r="E30" s="823"/>
      <c r="F30" s="823"/>
      <c r="G30" s="823"/>
    </row>
    <row r="31" spans="1:14" ht="16.5" customHeight="1">
      <c r="A31" s="823" t="s">
        <v>128</v>
      </c>
      <c r="B31" s="823"/>
      <c r="C31" s="823"/>
      <c r="D31" s="823"/>
      <c r="E31" s="823"/>
      <c r="F31" s="823"/>
      <c r="G31" s="823"/>
    </row>
    <row r="32" spans="1:14" ht="16.5" customHeight="1">
      <c r="A32" s="1" t="s">
        <v>124</v>
      </c>
    </row>
    <row r="33" spans="1:2" ht="16.5" customHeight="1">
      <c r="B33" s="1" t="s">
        <v>125</v>
      </c>
    </row>
    <row r="34" spans="1:2" ht="16.5" customHeight="1"/>
    <row r="35" spans="1:2" ht="16.5" customHeight="1"/>
    <row r="36" spans="1:2" ht="16.5" customHeight="1">
      <c r="A36" s="1" t="s">
        <v>126</v>
      </c>
    </row>
    <row r="37" spans="1:2" ht="16.5" customHeight="1"/>
    <row r="38" spans="1:2" ht="16.5" customHeight="1"/>
    <row r="39" spans="1:2" ht="16.5" customHeight="1"/>
    <row r="40" spans="1:2" ht="16.5" customHeight="1">
      <c r="A40" s="1" t="s">
        <v>127</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workbookViewId="0">
      <selection activeCell="A17" sqref="A17"/>
    </sheetView>
  </sheetViews>
  <sheetFormatPr defaultRowHeight="15"/>
  <cols>
    <col min="1" max="1" width="71.33203125" customWidth="1"/>
  </cols>
  <sheetData>
    <row r="3" spans="1:12" ht="16.5">
      <c r="A3" s="359" t="s">
        <v>315</v>
      </c>
      <c r="B3" s="359"/>
      <c r="C3" s="359"/>
      <c r="D3" s="359"/>
      <c r="E3" s="359"/>
      <c r="F3" s="359"/>
      <c r="G3" s="359"/>
      <c r="H3" s="359"/>
      <c r="I3" s="359"/>
      <c r="J3" s="359"/>
      <c r="K3" s="359"/>
      <c r="L3" s="359"/>
    </row>
    <row r="5" spans="1:12">
      <c r="A5" s="360" t="s">
        <v>316</v>
      </c>
    </row>
    <row r="6" spans="1:12">
      <c r="A6" s="360" t="str">
        <f ca="1">CONCATENATE(inputPrYr!C5-2," 'total expenditures' exceed your ",inputPrYr!C5-2," 'budget authority.'")</f>
        <v>2012 'total expenditures' exceed your 2012 'budget authority.'</v>
      </c>
    </row>
    <row r="7" spans="1:12">
      <c r="A7" s="360"/>
    </row>
    <row r="8" spans="1:12">
      <c r="A8" s="360" t="s">
        <v>317</v>
      </c>
    </row>
    <row r="9" spans="1:12">
      <c r="A9" s="360" t="s">
        <v>318</v>
      </c>
    </row>
    <row r="10" spans="1:12">
      <c r="A10" s="360" t="s">
        <v>319</v>
      </c>
    </row>
    <row r="11" spans="1:12">
      <c r="A11" s="360"/>
    </row>
    <row r="12" spans="1:12">
      <c r="A12" s="360"/>
    </row>
    <row r="13" spans="1:12" ht="16.5">
      <c r="A13" s="361" t="s">
        <v>320</v>
      </c>
    </row>
    <row r="15" spans="1:12" ht="16.5">
      <c r="A15" s="360" t="s">
        <v>321</v>
      </c>
    </row>
    <row r="16" spans="1:12">
      <c r="A16" s="360" t="str">
        <f ca="1">CONCATENATE("(i.e. an audit has not been completed, or the ",inputPrYr!C5," adopted")</f>
        <v>(i.e. an audit has not been completed, or the 2014 adopted</v>
      </c>
    </row>
    <row r="17" spans="1:1">
      <c r="A17" s="360" t="s">
        <v>322</v>
      </c>
    </row>
    <row r="18" spans="1:1">
      <c r="A18" s="360" t="s">
        <v>323</v>
      </c>
    </row>
    <row r="19" spans="1:1">
      <c r="A19" s="360" t="s">
        <v>324</v>
      </c>
    </row>
    <row r="21" spans="1:1" ht="16.5">
      <c r="A21" s="361" t="s">
        <v>325</v>
      </c>
    </row>
    <row r="22" spans="1:1" ht="16.5">
      <c r="A22" s="361"/>
    </row>
    <row r="23" spans="1:1">
      <c r="A23" s="360" t="s">
        <v>326</v>
      </c>
    </row>
    <row r="24" spans="1:1">
      <c r="A24" s="360" t="s">
        <v>327</v>
      </c>
    </row>
    <row r="25" spans="1:1">
      <c r="A25" s="360" t="str">
        <f ca="1">CONCATENATE("particular fund.  If your ",inputPrYr!C5-2," budget was amended, did you")</f>
        <v>particular fund.  If your 2012 budget was amended, did you</v>
      </c>
    </row>
    <row r="26" spans="1:1">
      <c r="A26" s="360" t="s">
        <v>328</v>
      </c>
    </row>
    <row r="27" spans="1:1">
      <c r="A27" s="360"/>
    </row>
    <row r="28" spans="1:1">
      <c r="A28" s="360" t="str">
        <f ca="1">CONCATENATE("Next, look to see if any of your ",inputPrYr!C5-2," expenditures can be")</f>
        <v>Next, look to see if any of your 2012 expenditures can be</v>
      </c>
    </row>
    <row r="29" spans="1:1">
      <c r="A29" s="360" t="s">
        <v>329</v>
      </c>
    </row>
    <row r="30" spans="1:1">
      <c r="A30" s="360" t="s">
        <v>330</v>
      </c>
    </row>
    <row r="31" spans="1:1">
      <c r="A31" s="360" t="s">
        <v>331</v>
      </c>
    </row>
    <row r="32" spans="1:1">
      <c r="A32" s="360"/>
    </row>
    <row r="33" spans="1:1">
      <c r="A33" s="360" t="str">
        <f ca="1">CONCATENATE("Additionally, do your ",inputPrYr!C5-2," receipts contain a reimbursement")</f>
        <v>Additionally, do your 2012 receipts contain a reimbursement</v>
      </c>
    </row>
    <row r="34" spans="1:1">
      <c r="A34" s="360" t="s">
        <v>332</v>
      </c>
    </row>
    <row r="35" spans="1:1" ht="16.5">
      <c r="A35" s="360" t="s">
        <v>333</v>
      </c>
    </row>
    <row r="36" spans="1:1">
      <c r="A36" s="360"/>
    </row>
    <row r="37" spans="1:1">
      <c r="A37" s="360" t="s">
        <v>334</v>
      </c>
    </row>
    <row r="38" spans="1:1">
      <c r="A38" s="360" t="s">
        <v>335</v>
      </c>
    </row>
    <row r="39" spans="1:1">
      <c r="A39" s="360" t="s">
        <v>336</v>
      </c>
    </row>
    <row r="40" spans="1:1">
      <c r="A40" s="360" t="s">
        <v>337</v>
      </c>
    </row>
    <row r="41" spans="1:1">
      <c r="A41" s="360" t="s">
        <v>338</v>
      </c>
    </row>
    <row r="42" spans="1:1">
      <c r="A42" s="360" t="s">
        <v>339</v>
      </c>
    </row>
    <row r="43" spans="1:1">
      <c r="A43" s="360" t="s">
        <v>340</v>
      </c>
    </row>
    <row r="44" spans="1:1">
      <c r="A44" s="360" t="s">
        <v>341</v>
      </c>
    </row>
    <row r="45" spans="1:1">
      <c r="A45" s="360"/>
    </row>
    <row r="46" spans="1:1">
      <c r="A46" s="360" t="s">
        <v>342</v>
      </c>
    </row>
    <row r="47" spans="1:1">
      <c r="A47" s="360" t="s">
        <v>343</v>
      </c>
    </row>
    <row r="48" spans="1:1">
      <c r="A48" s="360" t="s">
        <v>344</v>
      </c>
    </row>
    <row r="49" spans="1:1">
      <c r="A49" s="360"/>
    </row>
    <row r="50" spans="1:1">
      <c r="A50" s="360" t="s">
        <v>345</v>
      </c>
    </row>
    <row r="51" spans="1:1">
      <c r="A51" s="360" t="s">
        <v>346</v>
      </c>
    </row>
    <row r="52" spans="1:1">
      <c r="A52" s="360" t="s">
        <v>347</v>
      </c>
    </row>
    <row r="53" spans="1:1">
      <c r="A53" s="360"/>
    </row>
    <row r="54" spans="1:1" ht="16.5">
      <c r="A54" s="361" t="s">
        <v>348</v>
      </c>
    </row>
    <row r="55" spans="1:1">
      <c r="A55" s="360"/>
    </row>
    <row r="56" spans="1:1">
      <c r="A56" s="360" t="s">
        <v>349</v>
      </c>
    </row>
    <row r="57" spans="1:1">
      <c r="A57" s="360" t="s">
        <v>350</v>
      </c>
    </row>
    <row r="58" spans="1:1">
      <c r="A58" s="360" t="s">
        <v>351</v>
      </c>
    </row>
    <row r="59" spans="1:1">
      <c r="A59" s="360" t="s">
        <v>352</v>
      </c>
    </row>
    <row r="60" spans="1:1">
      <c r="A60" s="360" t="s">
        <v>353</v>
      </c>
    </row>
    <row r="61" spans="1:1">
      <c r="A61" s="360" t="s">
        <v>354</v>
      </c>
    </row>
    <row r="62" spans="1:1">
      <c r="A62" s="360" t="s">
        <v>355</v>
      </c>
    </row>
    <row r="63" spans="1:1">
      <c r="A63" s="360" t="s">
        <v>356</v>
      </c>
    </row>
    <row r="64" spans="1:1">
      <c r="A64" s="360" t="s">
        <v>357</v>
      </c>
    </row>
    <row r="65" spans="1:1">
      <c r="A65" s="360" t="s">
        <v>358</v>
      </c>
    </row>
    <row r="66" spans="1:1">
      <c r="A66" s="360" t="s">
        <v>359</v>
      </c>
    </row>
    <row r="67" spans="1:1">
      <c r="A67" s="360" t="s">
        <v>902</v>
      </c>
    </row>
    <row r="68" spans="1:1">
      <c r="A68" s="360" t="s">
        <v>903</v>
      </c>
    </row>
    <row r="69" spans="1:1">
      <c r="A69" s="360"/>
    </row>
    <row r="70" spans="1:1">
      <c r="A70" s="360" t="s">
        <v>904</v>
      </c>
    </row>
    <row r="71" spans="1:1">
      <c r="A71" s="360" t="s">
        <v>905</v>
      </c>
    </row>
    <row r="72" spans="1:1">
      <c r="A72" s="360" t="s">
        <v>906</v>
      </c>
    </row>
    <row r="73" spans="1:1">
      <c r="A73" s="360"/>
    </row>
    <row r="74" spans="1:1" ht="16.5">
      <c r="A74" s="361" t="str">
        <f ca="1">CONCATENATE("What if the ",inputPrYr!C5-2," financial records have been closed?")</f>
        <v>What if the 2012 financial records have been closed?</v>
      </c>
    </row>
    <row r="76" spans="1:1">
      <c r="A76" s="360" t="s">
        <v>907</v>
      </c>
    </row>
    <row r="77" spans="1:1">
      <c r="A77" s="360" t="str">
        <f ca="1">CONCATENATE("(i.e. an audit for ",inputPrYr!C5-2," has been completed, or the ",inputPrYr!C5)</f>
        <v>(i.e. an audit for 2012 has been completed, or the 2014</v>
      </c>
    </row>
    <row r="78" spans="1:1">
      <c r="A78" s="360" t="s">
        <v>908</v>
      </c>
    </row>
    <row r="79" spans="1:1">
      <c r="A79" s="360" t="s">
        <v>909</v>
      </c>
    </row>
    <row r="80" spans="1:1">
      <c r="A80" s="360"/>
    </row>
    <row r="81" spans="1:1">
      <c r="A81" s="360" t="s">
        <v>910</v>
      </c>
    </row>
    <row r="82" spans="1:1">
      <c r="A82" s="360" t="s">
        <v>911</v>
      </c>
    </row>
    <row r="83" spans="1:1">
      <c r="A83" s="360" t="s">
        <v>912</v>
      </c>
    </row>
    <row r="84" spans="1:1">
      <c r="A84" s="360"/>
    </row>
    <row r="85" spans="1:1">
      <c r="A85" s="360" t="s">
        <v>913</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workbookViewId="0">
      <selection activeCell="A22" sqref="A22"/>
    </sheetView>
  </sheetViews>
  <sheetFormatPr defaultRowHeight="15"/>
  <cols>
    <col min="1" max="1" width="71.33203125" customWidth="1"/>
  </cols>
  <sheetData>
    <row r="3" spans="1:10" ht="16.5">
      <c r="A3" s="359" t="s">
        <v>914</v>
      </c>
      <c r="B3" s="359"/>
      <c r="C3" s="359"/>
      <c r="D3" s="359"/>
      <c r="E3" s="359"/>
      <c r="F3" s="359"/>
      <c r="G3" s="359"/>
      <c r="H3" s="362"/>
      <c r="I3" s="362"/>
      <c r="J3" s="362"/>
    </row>
    <row r="5" spans="1:10">
      <c r="A5" s="360" t="s">
        <v>915</v>
      </c>
    </row>
    <row r="6" spans="1:10">
      <c r="A6" t="str">
        <f ca="1">CONCATENATE(inputPrYr!C5-2," expenditures show that you finished the year with a ")</f>
        <v xml:space="preserve">2012 expenditures show that you finished the year with a </v>
      </c>
    </row>
    <row r="7" spans="1:10">
      <c r="A7" t="s">
        <v>916</v>
      </c>
    </row>
    <row r="9" spans="1:10">
      <c r="A9" t="s">
        <v>917</v>
      </c>
    </row>
    <row r="10" spans="1:10">
      <c r="A10" t="s">
        <v>918</v>
      </c>
    </row>
    <row r="11" spans="1:10">
      <c r="A11" t="s">
        <v>919</v>
      </c>
    </row>
    <row r="13" spans="1:10" ht="16.5">
      <c r="A13" s="361" t="s">
        <v>920</v>
      </c>
    </row>
    <row r="14" spans="1:10" ht="16.5">
      <c r="A14" s="361"/>
    </row>
    <row r="15" spans="1:10">
      <c r="A15" s="360" t="s">
        <v>921</v>
      </c>
    </row>
    <row r="16" spans="1:10">
      <c r="A16" s="360" t="s">
        <v>922</v>
      </c>
    </row>
    <row r="17" spans="1:1">
      <c r="A17" s="360" t="s">
        <v>923</v>
      </c>
    </row>
    <row r="18" spans="1:1">
      <c r="A18" s="360"/>
    </row>
    <row r="19" spans="1:1" ht="16.5">
      <c r="A19" s="361" t="s">
        <v>924</v>
      </c>
    </row>
    <row r="20" spans="1:1" ht="16.5">
      <c r="A20" s="361"/>
    </row>
    <row r="21" spans="1:1">
      <c r="A21" s="360" t="s">
        <v>925</v>
      </c>
    </row>
    <row r="22" spans="1:1">
      <c r="A22" s="360" t="s">
        <v>926</v>
      </c>
    </row>
    <row r="23" spans="1:1" ht="16.5">
      <c r="A23" s="360" t="s">
        <v>927</v>
      </c>
    </row>
    <row r="24" spans="1:1">
      <c r="A24" s="360"/>
    </row>
    <row r="25" spans="1:1" ht="16.5">
      <c r="A25" s="361" t="s">
        <v>928</v>
      </c>
    </row>
    <row r="26" spans="1:1" ht="16.5">
      <c r="A26" s="361"/>
    </row>
    <row r="27" spans="1:1">
      <c r="A27" s="360" t="s">
        <v>929</v>
      </c>
    </row>
    <row r="28" spans="1:1">
      <c r="A28" s="360" t="s">
        <v>930</v>
      </c>
    </row>
    <row r="29" spans="1:1">
      <c r="A29" s="360" t="s">
        <v>931</v>
      </c>
    </row>
    <row r="30" spans="1:1">
      <c r="A30" s="360"/>
    </row>
    <row r="31" spans="1:1" ht="16.5">
      <c r="A31" s="361" t="s">
        <v>932</v>
      </c>
    </row>
    <row r="32" spans="1:1" ht="16.5">
      <c r="A32" s="361"/>
    </row>
    <row r="33" spans="1:8">
      <c r="A33" s="360" t="str">
        <f ca="1">CONCATENATE("If your financial records for ",inputPrYr!C5-2," are not closed")</f>
        <v>If your financial records for 2012 are not closed</v>
      </c>
      <c r="B33" s="360"/>
      <c r="C33" s="360"/>
      <c r="D33" s="360"/>
      <c r="E33" s="360"/>
      <c r="F33" s="360"/>
      <c r="G33" s="360"/>
      <c r="H33" s="360"/>
    </row>
    <row r="34" spans="1:8">
      <c r="A34" s="360" t="str">
        <f ca="1">CONCATENATE("(i.e. an audit has not been completed, or the ",inputPrYr!C5," adopted ")</f>
        <v xml:space="preserve">(i.e. an audit has not been completed, or the 2014 adopted </v>
      </c>
      <c r="B34" s="360"/>
      <c r="C34" s="360"/>
      <c r="D34" s="360"/>
      <c r="E34" s="360"/>
      <c r="F34" s="360"/>
      <c r="G34" s="360"/>
      <c r="H34" s="360"/>
    </row>
    <row r="35" spans="1:8">
      <c r="A35" s="360" t="s">
        <v>933</v>
      </c>
      <c r="B35" s="360"/>
      <c r="C35" s="360"/>
      <c r="D35" s="360"/>
      <c r="E35" s="360"/>
      <c r="F35" s="360"/>
      <c r="G35" s="360"/>
      <c r="H35" s="360"/>
    </row>
    <row r="36" spans="1:8">
      <c r="A36" s="360" t="s">
        <v>934</v>
      </c>
      <c r="B36" s="360"/>
      <c r="C36" s="360"/>
      <c r="D36" s="360"/>
      <c r="E36" s="360"/>
      <c r="F36" s="360"/>
      <c r="G36" s="360"/>
      <c r="H36" s="360"/>
    </row>
    <row r="37" spans="1:8">
      <c r="A37" s="360" t="s">
        <v>935</v>
      </c>
      <c r="B37" s="360"/>
      <c r="C37" s="360"/>
      <c r="D37" s="360"/>
      <c r="E37" s="360"/>
      <c r="F37" s="360"/>
      <c r="G37" s="360"/>
      <c r="H37" s="360"/>
    </row>
    <row r="38" spans="1:8">
      <c r="A38" s="360" t="s">
        <v>936</v>
      </c>
      <c r="B38" s="360"/>
      <c r="C38" s="360"/>
      <c r="D38" s="360"/>
      <c r="E38" s="360"/>
      <c r="F38" s="360"/>
      <c r="G38" s="360"/>
      <c r="H38" s="360"/>
    </row>
    <row r="39" spans="1:8">
      <c r="A39" s="360" t="s">
        <v>937</v>
      </c>
      <c r="B39" s="360"/>
      <c r="C39" s="360"/>
      <c r="D39" s="360"/>
      <c r="E39" s="360"/>
      <c r="F39" s="360"/>
      <c r="G39" s="360"/>
      <c r="H39" s="360"/>
    </row>
    <row r="40" spans="1:8">
      <c r="A40" s="360"/>
      <c r="B40" s="360"/>
      <c r="C40" s="360"/>
      <c r="D40" s="360"/>
      <c r="E40" s="360"/>
      <c r="F40" s="360"/>
      <c r="G40" s="360"/>
      <c r="H40" s="360"/>
    </row>
    <row r="41" spans="1:8">
      <c r="A41" s="360" t="s">
        <v>938</v>
      </c>
      <c r="B41" s="360"/>
      <c r="C41" s="360"/>
      <c r="D41" s="360"/>
      <c r="E41" s="360"/>
      <c r="F41" s="360"/>
      <c r="G41" s="360"/>
      <c r="H41" s="360"/>
    </row>
    <row r="42" spans="1:8">
      <c r="A42" s="360" t="s">
        <v>939</v>
      </c>
      <c r="B42" s="360"/>
      <c r="C42" s="360"/>
      <c r="D42" s="360"/>
      <c r="E42" s="360"/>
      <c r="F42" s="360"/>
      <c r="G42" s="360"/>
      <c r="H42" s="360"/>
    </row>
    <row r="43" spans="1:8">
      <c r="A43" s="360" t="s">
        <v>940</v>
      </c>
      <c r="B43" s="360"/>
      <c r="C43" s="360"/>
      <c r="D43" s="360"/>
      <c r="E43" s="360"/>
      <c r="F43" s="360"/>
      <c r="G43" s="360"/>
      <c r="H43" s="360"/>
    </row>
    <row r="44" spans="1:8">
      <c r="A44" s="360" t="s">
        <v>941</v>
      </c>
      <c r="B44" s="360"/>
      <c r="C44" s="360"/>
      <c r="D44" s="360"/>
      <c r="E44" s="360"/>
      <c r="F44" s="360"/>
      <c r="G44" s="360"/>
      <c r="H44" s="360"/>
    </row>
    <row r="45" spans="1:8">
      <c r="A45" s="360"/>
      <c r="B45" s="360"/>
      <c r="C45" s="360"/>
      <c r="D45" s="360"/>
      <c r="E45" s="360"/>
      <c r="F45" s="360"/>
      <c r="G45" s="360"/>
      <c r="H45" s="360"/>
    </row>
    <row r="46" spans="1:8">
      <c r="A46" s="360" t="s">
        <v>942</v>
      </c>
      <c r="B46" s="360"/>
      <c r="C46" s="360"/>
      <c r="D46" s="360"/>
      <c r="E46" s="360"/>
      <c r="F46" s="360"/>
      <c r="G46" s="360"/>
      <c r="H46" s="360"/>
    </row>
    <row r="47" spans="1:8">
      <c r="A47" s="360" t="s">
        <v>943</v>
      </c>
      <c r="B47" s="360"/>
      <c r="C47" s="360"/>
      <c r="D47" s="360"/>
      <c r="E47" s="360"/>
      <c r="F47" s="360"/>
      <c r="G47" s="360"/>
      <c r="H47" s="360"/>
    </row>
    <row r="48" spans="1:8">
      <c r="A48" s="360" t="s">
        <v>944</v>
      </c>
      <c r="B48" s="360"/>
      <c r="C48" s="360"/>
      <c r="D48" s="360"/>
      <c r="E48" s="360"/>
      <c r="F48" s="360"/>
      <c r="G48" s="360"/>
      <c r="H48" s="360"/>
    </row>
    <row r="49" spans="1:8">
      <c r="A49" s="360" t="s">
        <v>945</v>
      </c>
      <c r="B49" s="360"/>
      <c r="C49" s="360"/>
      <c r="D49" s="360"/>
      <c r="E49" s="360"/>
      <c r="F49" s="360"/>
      <c r="G49" s="360"/>
      <c r="H49" s="360"/>
    </row>
    <row r="50" spans="1:8">
      <c r="A50" s="360" t="s">
        <v>946</v>
      </c>
      <c r="B50" s="360"/>
      <c r="C50" s="360"/>
      <c r="D50" s="360"/>
      <c r="E50" s="360"/>
      <c r="F50" s="360"/>
      <c r="G50" s="360"/>
      <c r="H50" s="360"/>
    </row>
    <row r="51" spans="1:8">
      <c r="A51" s="360"/>
      <c r="B51" s="360"/>
      <c r="C51" s="360"/>
      <c r="D51" s="360"/>
      <c r="E51" s="360"/>
      <c r="F51" s="360"/>
      <c r="G51" s="360"/>
      <c r="H51" s="360"/>
    </row>
    <row r="52" spans="1:8" ht="16.5">
      <c r="A52" s="361" t="s">
        <v>947</v>
      </c>
      <c r="B52" s="361"/>
      <c r="C52" s="361"/>
      <c r="D52" s="361"/>
      <c r="E52" s="361"/>
      <c r="F52" s="361"/>
      <c r="G52" s="361"/>
      <c r="H52" s="360"/>
    </row>
    <row r="53" spans="1:8" ht="16.5">
      <c r="A53" s="361" t="s">
        <v>948</v>
      </c>
      <c r="B53" s="361"/>
      <c r="C53" s="361"/>
      <c r="D53" s="361"/>
      <c r="E53" s="361"/>
      <c r="F53" s="361"/>
      <c r="G53" s="361"/>
      <c r="H53" s="360"/>
    </row>
    <row r="54" spans="1:8">
      <c r="A54" s="360"/>
      <c r="B54" s="360"/>
      <c r="C54" s="360"/>
      <c r="D54" s="360"/>
      <c r="E54" s="360"/>
      <c r="F54" s="360"/>
      <c r="G54" s="360"/>
      <c r="H54" s="360"/>
    </row>
    <row r="55" spans="1:8">
      <c r="A55" s="360" t="s">
        <v>949</v>
      </c>
      <c r="B55" s="360"/>
      <c r="C55" s="360"/>
      <c r="D55" s="360"/>
      <c r="E55" s="360"/>
      <c r="F55" s="360"/>
      <c r="G55" s="360"/>
      <c r="H55" s="360"/>
    </row>
    <row r="56" spans="1:8">
      <c r="A56" s="360" t="s">
        <v>950</v>
      </c>
      <c r="B56" s="360"/>
      <c r="C56" s="360"/>
      <c r="D56" s="360"/>
      <c r="E56" s="360"/>
      <c r="F56" s="360"/>
      <c r="G56" s="360"/>
      <c r="H56" s="360"/>
    </row>
    <row r="57" spans="1:8">
      <c r="A57" s="360" t="s">
        <v>951</v>
      </c>
      <c r="B57" s="360"/>
      <c r="C57" s="360"/>
      <c r="D57" s="360"/>
      <c r="E57" s="360"/>
      <c r="F57" s="360"/>
      <c r="G57" s="360"/>
      <c r="H57" s="360"/>
    </row>
    <row r="58" spans="1:8">
      <c r="A58" s="360" t="s">
        <v>952</v>
      </c>
      <c r="B58" s="360"/>
      <c r="C58" s="360"/>
      <c r="D58" s="360"/>
      <c r="E58" s="360"/>
      <c r="F58" s="360"/>
      <c r="G58" s="360"/>
      <c r="H58" s="360"/>
    </row>
    <row r="59" spans="1:8">
      <c r="A59" s="360"/>
      <c r="B59" s="360"/>
      <c r="C59" s="360"/>
      <c r="D59" s="360"/>
      <c r="E59" s="360"/>
      <c r="F59" s="360"/>
      <c r="G59" s="360"/>
      <c r="H59" s="360"/>
    </row>
    <row r="60" spans="1:8">
      <c r="A60" s="360" t="s">
        <v>953</v>
      </c>
      <c r="B60" s="360"/>
      <c r="C60" s="360"/>
      <c r="D60" s="360"/>
      <c r="E60" s="360"/>
      <c r="F60" s="360"/>
      <c r="G60" s="360"/>
      <c r="H60" s="360"/>
    </row>
    <row r="61" spans="1:8">
      <c r="A61" s="360" t="s">
        <v>954</v>
      </c>
      <c r="B61" s="360"/>
      <c r="C61" s="360"/>
      <c r="D61" s="360"/>
      <c r="E61" s="360"/>
      <c r="F61" s="360"/>
      <c r="G61" s="360"/>
      <c r="H61" s="360"/>
    </row>
    <row r="62" spans="1:8">
      <c r="A62" s="360" t="s">
        <v>955</v>
      </c>
      <c r="B62" s="360"/>
      <c r="C62" s="360"/>
      <c r="D62" s="360"/>
      <c r="E62" s="360"/>
      <c r="F62" s="360"/>
      <c r="G62" s="360"/>
      <c r="H62" s="360"/>
    </row>
    <row r="63" spans="1:8">
      <c r="A63" s="360" t="s">
        <v>956</v>
      </c>
      <c r="B63" s="360"/>
      <c r="C63" s="360"/>
      <c r="D63" s="360"/>
      <c r="E63" s="360"/>
      <c r="F63" s="360"/>
      <c r="G63" s="360"/>
      <c r="H63" s="360"/>
    </row>
    <row r="64" spans="1:8">
      <c r="A64" s="360" t="s">
        <v>957</v>
      </c>
      <c r="B64" s="360"/>
      <c r="C64" s="360"/>
      <c r="D64" s="360"/>
      <c r="E64" s="360"/>
      <c r="F64" s="360"/>
      <c r="G64" s="360"/>
      <c r="H64" s="360"/>
    </row>
    <row r="65" spans="1:8">
      <c r="A65" s="360" t="s">
        <v>958</v>
      </c>
      <c r="B65" s="360"/>
      <c r="C65" s="360"/>
      <c r="D65" s="360"/>
      <c r="E65" s="360"/>
      <c r="F65" s="360"/>
      <c r="G65" s="360"/>
      <c r="H65" s="360"/>
    </row>
    <row r="66" spans="1:8">
      <c r="A66" s="360"/>
      <c r="B66" s="360"/>
      <c r="C66" s="360"/>
      <c r="D66" s="360"/>
      <c r="E66" s="360"/>
      <c r="F66" s="360"/>
      <c r="G66" s="360"/>
      <c r="H66" s="360"/>
    </row>
    <row r="67" spans="1:8">
      <c r="A67" s="360" t="s">
        <v>959</v>
      </c>
      <c r="B67" s="360"/>
      <c r="C67" s="360"/>
      <c r="D67" s="360"/>
      <c r="E67" s="360"/>
      <c r="F67" s="360"/>
      <c r="G67" s="360"/>
      <c r="H67" s="360"/>
    </row>
    <row r="68" spans="1:8">
      <c r="A68" s="360" t="s">
        <v>960</v>
      </c>
      <c r="B68" s="360"/>
      <c r="C68" s="360"/>
      <c r="D68" s="360"/>
      <c r="E68" s="360"/>
      <c r="F68" s="360"/>
      <c r="G68" s="360"/>
      <c r="H68" s="360"/>
    </row>
    <row r="69" spans="1:8">
      <c r="A69" s="360" t="s">
        <v>961</v>
      </c>
      <c r="B69" s="360"/>
      <c r="C69" s="360"/>
      <c r="D69" s="360"/>
      <c r="E69" s="360"/>
      <c r="F69" s="360"/>
      <c r="G69" s="360"/>
      <c r="H69" s="360"/>
    </row>
    <row r="70" spans="1:8">
      <c r="A70" s="360" t="s">
        <v>962</v>
      </c>
      <c r="B70" s="360"/>
      <c r="C70" s="360"/>
      <c r="D70" s="360"/>
      <c r="E70" s="360"/>
      <c r="F70" s="360"/>
      <c r="G70" s="360"/>
      <c r="H70" s="360"/>
    </row>
    <row r="71" spans="1:8">
      <c r="A71" s="360" t="s">
        <v>963</v>
      </c>
      <c r="B71" s="360"/>
      <c r="C71" s="360"/>
      <c r="D71" s="360"/>
      <c r="E71" s="360"/>
      <c r="F71" s="360"/>
      <c r="G71" s="360"/>
      <c r="H71" s="360"/>
    </row>
    <row r="72" spans="1:8">
      <c r="A72" s="360" t="s">
        <v>964</v>
      </c>
      <c r="B72" s="360"/>
      <c r="C72" s="360"/>
      <c r="D72" s="360"/>
      <c r="E72" s="360"/>
      <c r="F72" s="360"/>
      <c r="G72" s="360"/>
      <c r="H72" s="360"/>
    </row>
    <row r="73" spans="1:8">
      <c r="A73" s="360" t="s">
        <v>965</v>
      </c>
      <c r="B73" s="360"/>
      <c r="C73" s="360"/>
      <c r="D73" s="360"/>
      <c r="E73" s="360"/>
      <c r="F73" s="360"/>
      <c r="G73" s="360"/>
      <c r="H73" s="360"/>
    </row>
    <row r="74" spans="1:8">
      <c r="A74" s="360"/>
      <c r="B74" s="360"/>
      <c r="C74" s="360"/>
      <c r="D74" s="360"/>
      <c r="E74" s="360"/>
      <c r="F74" s="360"/>
      <c r="G74" s="360"/>
      <c r="H74" s="360"/>
    </row>
    <row r="75" spans="1:8">
      <c r="A75" s="360" t="s">
        <v>966</v>
      </c>
      <c r="B75" s="360"/>
      <c r="C75" s="360"/>
      <c r="D75" s="360"/>
      <c r="E75" s="360"/>
      <c r="F75" s="360"/>
      <c r="G75" s="360"/>
      <c r="H75" s="360"/>
    </row>
    <row r="76" spans="1:8">
      <c r="A76" s="360" t="s">
        <v>967</v>
      </c>
      <c r="B76" s="360"/>
      <c r="C76" s="360"/>
      <c r="D76" s="360"/>
      <c r="E76" s="360"/>
      <c r="F76" s="360"/>
      <c r="G76" s="360"/>
      <c r="H76" s="360"/>
    </row>
    <row r="77" spans="1:8">
      <c r="A77" s="360" t="s">
        <v>968</v>
      </c>
      <c r="B77" s="360"/>
      <c r="C77" s="360"/>
      <c r="D77" s="360"/>
      <c r="E77" s="360"/>
      <c r="F77" s="360"/>
      <c r="G77" s="360"/>
      <c r="H77" s="360"/>
    </row>
    <row r="78" spans="1:8">
      <c r="A78" s="360"/>
      <c r="B78" s="360"/>
      <c r="C78" s="360"/>
      <c r="D78" s="360"/>
      <c r="E78" s="360"/>
      <c r="F78" s="360"/>
      <c r="G78" s="360"/>
      <c r="H78" s="360"/>
    </row>
    <row r="79" spans="1:8">
      <c r="A79" s="360" t="s">
        <v>913</v>
      </c>
    </row>
    <row r="80" spans="1:8" ht="16.5">
      <c r="A80" s="361"/>
    </row>
    <row r="81" spans="1:1">
      <c r="A81" s="360"/>
    </row>
    <row r="82" spans="1:1">
      <c r="A82" s="360"/>
    </row>
    <row r="83" spans="1:1">
      <c r="A83" s="360"/>
    </row>
    <row r="84" spans="1:1">
      <c r="A84" s="360"/>
    </row>
    <row r="85" spans="1:1">
      <c r="A85" s="360"/>
    </row>
    <row r="86" spans="1:1">
      <c r="A86" s="360"/>
    </row>
    <row r="87" spans="1:1">
      <c r="A87" s="360"/>
    </row>
    <row r="88" spans="1:1">
      <c r="A88" s="360"/>
    </row>
    <row r="89" spans="1:1">
      <c r="A89" s="360"/>
    </row>
    <row r="90" spans="1:1">
      <c r="A90" s="360"/>
    </row>
    <row r="91" spans="1:1">
      <c r="A91" s="360"/>
    </row>
    <row r="92" spans="1:1">
      <c r="A92" s="360"/>
    </row>
    <row r="93" spans="1:1">
      <c r="A93" s="360"/>
    </row>
    <row r="94" spans="1:1">
      <c r="A94" s="360"/>
    </row>
    <row r="95" spans="1:1">
      <c r="A95" s="360"/>
    </row>
    <row r="96" spans="1:1">
      <c r="A96" s="360"/>
    </row>
    <row r="97" spans="1:1">
      <c r="A97" s="360"/>
    </row>
    <row r="98" spans="1:1">
      <c r="A98" s="360"/>
    </row>
    <row r="99" spans="1:1">
      <c r="A99" s="360"/>
    </row>
    <row r="100" spans="1:1">
      <c r="A100" s="360"/>
    </row>
    <row r="101" spans="1:1">
      <c r="A101" s="360"/>
    </row>
    <row r="103" spans="1:1">
      <c r="A103" s="360"/>
    </row>
    <row r="104" spans="1:1">
      <c r="A104" s="360"/>
    </row>
    <row r="105" spans="1:1">
      <c r="A105" s="360"/>
    </row>
    <row r="107" spans="1:1" ht="16.5">
      <c r="A107" s="361"/>
    </row>
    <row r="108" spans="1:1" ht="16.5">
      <c r="A108" s="361"/>
    </row>
    <row r="109" spans="1:1" ht="16.5">
      <c r="A109" s="361"/>
    </row>
  </sheetData>
  <sheetProtection sheet="1"/>
  <phoneticPr fontId="0" type="noConversion"/>
  <pageMargins left="0.7" right="0.7" top="0.75" bottom="0.75" header="0.3" footer="0.3"/>
  <pageSetup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workbookViewId="0">
      <selection activeCell="A3" sqref="A3"/>
    </sheetView>
  </sheetViews>
  <sheetFormatPr defaultRowHeight="15"/>
  <cols>
    <col min="1" max="1" width="71.33203125" customWidth="1"/>
  </cols>
  <sheetData>
    <row r="3" spans="1:12" ht="16.5">
      <c r="A3" s="359" t="s">
        <v>969</v>
      </c>
      <c r="B3" s="359"/>
      <c r="C3" s="359"/>
      <c r="D3" s="359"/>
      <c r="E3" s="359"/>
      <c r="F3" s="359"/>
      <c r="G3" s="359"/>
      <c r="H3" s="359"/>
      <c r="I3" s="359"/>
      <c r="J3" s="359"/>
      <c r="K3" s="359"/>
      <c r="L3" s="359"/>
    </row>
    <row r="4" spans="1:12" ht="16.5">
      <c r="A4" s="359"/>
      <c r="B4" s="359"/>
      <c r="C4" s="359"/>
      <c r="D4" s="359"/>
      <c r="E4" s="359"/>
      <c r="F4" s="359"/>
      <c r="G4" s="359"/>
      <c r="H4" s="359"/>
      <c r="I4" s="359"/>
      <c r="J4" s="359"/>
      <c r="K4" s="359"/>
      <c r="L4" s="359"/>
    </row>
    <row r="5" spans="1:12" ht="16.5">
      <c r="A5" s="360" t="s">
        <v>316</v>
      </c>
      <c r="I5" s="359"/>
      <c r="J5" s="359"/>
      <c r="K5" s="359"/>
      <c r="L5" s="359"/>
    </row>
    <row r="6" spans="1:12" ht="16.5">
      <c r="A6" s="360" t="str">
        <f ca="1">CONCATENATE("estimated ",inputPrYr!C5-1," 'total expenditures' exceed your ",inputPrYr!C5-1,"")</f>
        <v>estimated 2013 'total expenditures' exceed your 2013</v>
      </c>
      <c r="I6" s="359"/>
      <c r="J6" s="359"/>
      <c r="K6" s="359"/>
      <c r="L6" s="359"/>
    </row>
    <row r="7" spans="1:12" ht="16.5">
      <c r="A7" s="363" t="s">
        <v>970</v>
      </c>
      <c r="I7" s="359"/>
      <c r="J7" s="359"/>
      <c r="K7" s="359"/>
      <c r="L7" s="359"/>
    </row>
    <row r="8" spans="1:12" ht="16.5">
      <c r="A8" s="360"/>
      <c r="I8" s="359"/>
      <c r="J8" s="359"/>
      <c r="K8" s="359"/>
      <c r="L8" s="359"/>
    </row>
    <row r="9" spans="1:12" ht="16.5">
      <c r="A9" s="360" t="s">
        <v>971</v>
      </c>
      <c r="I9" s="359"/>
      <c r="J9" s="359"/>
      <c r="K9" s="359"/>
      <c r="L9" s="359"/>
    </row>
    <row r="10" spans="1:12" ht="16.5">
      <c r="A10" s="360" t="s">
        <v>972</v>
      </c>
      <c r="I10" s="359"/>
      <c r="J10" s="359"/>
      <c r="K10" s="359"/>
      <c r="L10" s="359"/>
    </row>
    <row r="11" spans="1:12" ht="16.5">
      <c r="A11" s="360" t="s">
        <v>973</v>
      </c>
      <c r="I11" s="359"/>
      <c r="J11" s="359"/>
      <c r="K11" s="359"/>
      <c r="L11" s="359"/>
    </row>
    <row r="12" spans="1:12" ht="16.5">
      <c r="A12" s="360" t="s">
        <v>974</v>
      </c>
      <c r="I12" s="359"/>
      <c r="J12" s="359"/>
      <c r="K12" s="359"/>
      <c r="L12" s="359"/>
    </row>
    <row r="13" spans="1:12" ht="16.5">
      <c r="A13" s="360" t="s">
        <v>975</v>
      </c>
      <c r="I13" s="359"/>
      <c r="J13" s="359"/>
      <c r="K13" s="359"/>
      <c r="L13" s="359"/>
    </row>
    <row r="14" spans="1:12" ht="16.5">
      <c r="A14" s="359"/>
      <c r="B14" s="359"/>
      <c r="C14" s="359"/>
      <c r="D14" s="359"/>
      <c r="E14" s="359"/>
      <c r="F14" s="359"/>
      <c r="G14" s="359"/>
      <c r="H14" s="359"/>
      <c r="I14" s="359"/>
      <c r="J14" s="359"/>
      <c r="K14" s="359"/>
      <c r="L14" s="359"/>
    </row>
    <row r="15" spans="1:12" ht="16.5">
      <c r="A15" s="361" t="s">
        <v>976</v>
      </c>
    </row>
    <row r="16" spans="1:12" ht="16.5">
      <c r="A16" s="361" t="s">
        <v>977</v>
      </c>
    </row>
    <row r="17" spans="1:7" ht="16.5">
      <c r="A17" s="361"/>
    </row>
    <row r="18" spans="1:7">
      <c r="A18" s="360" t="s">
        <v>978</v>
      </c>
      <c r="B18" s="360"/>
      <c r="C18" s="360"/>
      <c r="D18" s="360"/>
      <c r="E18" s="360"/>
      <c r="F18" s="360"/>
      <c r="G18" s="360"/>
    </row>
    <row r="19" spans="1:7">
      <c r="A19" s="360" t="str">
        <f ca="1">CONCATENATE("your ",inputPrYr!C5-1," numbers to see what steps might be necessary to")</f>
        <v>your 2013 numbers to see what steps might be necessary to</v>
      </c>
      <c r="B19" s="360"/>
      <c r="C19" s="360"/>
      <c r="D19" s="360"/>
      <c r="E19" s="360"/>
      <c r="F19" s="360"/>
      <c r="G19" s="360"/>
    </row>
    <row r="20" spans="1:7">
      <c r="A20" s="360" t="s">
        <v>979</v>
      </c>
      <c r="B20" s="360"/>
      <c r="C20" s="360"/>
      <c r="D20" s="360"/>
      <c r="E20" s="360"/>
      <c r="F20" s="360"/>
      <c r="G20" s="360"/>
    </row>
    <row r="21" spans="1:7">
      <c r="A21" s="360" t="s">
        <v>980</v>
      </c>
      <c r="B21" s="360"/>
      <c r="C21" s="360"/>
      <c r="D21" s="360"/>
      <c r="E21" s="360"/>
      <c r="F21" s="360"/>
      <c r="G21" s="360"/>
    </row>
    <row r="22" spans="1:7">
      <c r="A22" s="360"/>
    </row>
    <row r="23" spans="1:7" ht="16.5">
      <c r="A23" s="361" t="s">
        <v>981</v>
      </c>
    </row>
    <row r="24" spans="1:7" ht="16.5">
      <c r="A24" s="361"/>
    </row>
    <row r="25" spans="1:7">
      <c r="A25" s="360" t="s">
        <v>982</v>
      </c>
    </row>
    <row r="26" spans="1:7">
      <c r="A26" s="360" t="s">
        <v>983</v>
      </c>
      <c r="B26" s="360"/>
      <c r="C26" s="360"/>
      <c r="D26" s="360"/>
      <c r="E26" s="360"/>
      <c r="F26" s="360"/>
    </row>
    <row r="27" spans="1:7">
      <c r="A27" s="360" t="s">
        <v>984</v>
      </c>
      <c r="B27" s="360"/>
      <c r="C27" s="360"/>
      <c r="D27" s="360"/>
      <c r="E27" s="360"/>
      <c r="F27" s="360"/>
    </row>
    <row r="28" spans="1:7">
      <c r="A28" s="360" t="s">
        <v>985</v>
      </c>
      <c r="B28" s="360"/>
      <c r="C28" s="360"/>
      <c r="D28" s="360"/>
      <c r="E28" s="360"/>
      <c r="F28" s="360"/>
    </row>
    <row r="29" spans="1:7">
      <c r="A29" s="360"/>
      <c r="B29" s="360"/>
      <c r="C29" s="360"/>
      <c r="D29" s="360"/>
      <c r="E29" s="360"/>
      <c r="F29" s="360"/>
    </row>
    <row r="30" spans="1:7" ht="16.5">
      <c r="A30" s="361" t="s">
        <v>986</v>
      </c>
      <c r="B30" s="361"/>
      <c r="C30" s="361"/>
      <c r="D30" s="361"/>
      <c r="E30" s="361"/>
      <c r="F30" s="361"/>
      <c r="G30" s="361"/>
    </row>
    <row r="31" spans="1:7" ht="16.5">
      <c r="A31" s="361" t="s">
        <v>987</v>
      </c>
      <c r="B31" s="361"/>
      <c r="C31" s="361"/>
      <c r="D31" s="361"/>
      <c r="E31" s="361"/>
      <c r="F31" s="361"/>
      <c r="G31" s="361"/>
    </row>
    <row r="32" spans="1:7">
      <c r="A32" s="360"/>
      <c r="B32" s="360"/>
      <c r="C32" s="360"/>
      <c r="D32" s="360"/>
      <c r="E32" s="360"/>
      <c r="F32" s="360"/>
    </row>
    <row r="33" spans="1:6">
      <c r="A33" s="358" t="str">
        <f ca="1">CONCATENATE("Well, let's look to see if any of your ",inputPrYr!C5-1," expenditures can")</f>
        <v>Well, let's look to see if any of your 2013 expenditures can</v>
      </c>
      <c r="B33" s="360"/>
      <c r="C33" s="360"/>
      <c r="D33" s="360"/>
      <c r="E33" s="360"/>
      <c r="F33" s="360"/>
    </row>
    <row r="34" spans="1:6">
      <c r="A34" s="358" t="s">
        <v>988</v>
      </c>
      <c r="B34" s="360"/>
      <c r="C34" s="360"/>
      <c r="D34" s="360"/>
      <c r="E34" s="360"/>
      <c r="F34" s="360"/>
    </row>
    <row r="35" spans="1:6">
      <c r="A35" s="358" t="s">
        <v>330</v>
      </c>
      <c r="B35" s="360"/>
      <c r="C35" s="360"/>
      <c r="D35" s="360"/>
      <c r="E35" s="360"/>
      <c r="F35" s="360"/>
    </row>
    <row r="36" spans="1:6">
      <c r="A36" s="358" t="s">
        <v>331</v>
      </c>
      <c r="B36" s="360"/>
      <c r="C36" s="360"/>
      <c r="D36" s="360"/>
      <c r="E36" s="360"/>
      <c r="F36" s="360"/>
    </row>
    <row r="37" spans="1:6">
      <c r="A37" s="358"/>
      <c r="B37" s="360"/>
      <c r="C37" s="360"/>
      <c r="D37" s="360"/>
      <c r="E37" s="360"/>
      <c r="F37" s="360"/>
    </row>
    <row r="38" spans="1:6">
      <c r="A38" s="358" t="str">
        <f ca="1">CONCATENATE("Additionally, do your ",inputPrYr!C5-1," receipts contain a reimbursement")</f>
        <v>Additionally, do your 2013 receipts contain a reimbursement</v>
      </c>
      <c r="B38" s="360"/>
      <c r="C38" s="360"/>
      <c r="D38" s="360"/>
      <c r="E38" s="360"/>
      <c r="F38" s="360"/>
    </row>
    <row r="39" spans="1:6">
      <c r="A39" s="358" t="s">
        <v>332</v>
      </c>
      <c r="B39" s="360"/>
      <c r="C39" s="360"/>
      <c r="D39" s="360"/>
      <c r="E39" s="360"/>
      <c r="F39" s="360"/>
    </row>
    <row r="40" spans="1:6" ht="16.5">
      <c r="A40" s="358" t="s">
        <v>333</v>
      </c>
      <c r="B40" s="360"/>
      <c r="C40" s="360"/>
      <c r="D40" s="360"/>
      <c r="E40" s="360"/>
      <c r="F40" s="360"/>
    </row>
    <row r="41" spans="1:6">
      <c r="A41" s="358"/>
      <c r="B41" s="360"/>
      <c r="C41" s="360"/>
      <c r="D41" s="360"/>
      <c r="E41" s="360"/>
      <c r="F41" s="360"/>
    </row>
    <row r="42" spans="1:6">
      <c r="A42" s="358" t="s">
        <v>334</v>
      </c>
      <c r="B42" s="360"/>
      <c r="C42" s="360"/>
      <c r="D42" s="360"/>
      <c r="E42" s="360"/>
      <c r="F42" s="360"/>
    </row>
    <row r="43" spans="1:6">
      <c r="A43" s="358" t="s">
        <v>335</v>
      </c>
      <c r="B43" s="360"/>
      <c r="C43" s="360"/>
      <c r="D43" s="360"/>
      <c r="E43" s="360"/>
      <c r="F43" s="360"/>
    </row>
    <row r="44" spans="1:6">
      <c r="A44" s="358" t="s">
        <v>336</v>
      </c>
      <c r="B44" s="360"/>
      <c r="C44" s="360"/>
      <c r="D44" s="360"/>
      <c r="E44" s="360"/>
      <c r="F44" s="360"/>
    </row>
    <row r="45" spans="1:6">
      <c r="A45" s="358" t="s">
        <v>989</v>
      </c>
      <c r="B45" s="360"/>
      <c r="C45" s="360"/>
      <c r="D45" s="360"/>
      <c r="E45" s="360"/>
      <c r="F45" s="360"/>
    </row>
    <row r="46" spans="1:6">
      <c r="A46" s="358" t="s">
        <v>338</v>
      </c>
      <c r="B46" s="360"/>
      <c r="C46" s="360"/>
      <c r="D46" s="360"/>
      <c r="E46" s="360"/>
      <c r="F46" s="360"/>
    </row>
    <row r="47" spans="1:6">
      <c r="A47" s="358" t="s">
        <v>990</v>
      </c>
      <c r="B47" s="360"/>
      <c r="C47" s="360"/>
      <c r="D47" s="360"/>
      <c r="E47" s="360"/>
      <c r="F47" s="360"/>
    </row>
    <row r="48" spans="1:6">
      <c r="A48" s="358" t="s">
        <v>991</v>
      </c>
      <c r="B48" s="360"/>
      <c r="C48" s="360"/>
      <c r="D48" s="360"/>
      <c r="E48" s="360"/>
      <c r="F48" s="360"/>
    </row>
    <row r="49" spans="1:6">
      <c r="A49" s="358" t="s">
        <v>341</v>
      </c>
      <c r="B49" s="360"/>
      <c r="C49" s="360"/>
      <c r="D49" s="360"/>
      <c r="E49" s="360"/>
      <c r="F49" s="360"/>
    </row>
    <row r="50" spans="1:6">
      <c r="A50" s="358"/>
      <c r="B50" s="360"/>
      <c r="C50" s="360"/>
      <c r="D50" s="360"/>
      <c r="E50" s="360"/>
      <c r="F50" s="360"/>
    </row>
    <row r="51" spans="1:6">
      <c r="A51" s="358" t="s">
        <v>342</v>
      </c>
      <c r="B51" s="360"/>
      <c r="C51" s="360"/>
      <c r="D51" s="360"/>
      <c r="E51" s="360"/>
      <c r="F51" s="360"/>
    </row>
    <row r="52" spans="1:6">
      <c r="A52" s="358" t="s">
        <v>343</v>
      </c>
      <c r="B52" s="360"/>
      <c r="C52" s="360"/>
      <c r="D52" s="360"/>
      <c r="E52" s="360"/>
      <c r="F52" s="360"/>
    </row>
    <row r="53" spans="1:6">
      <c r="A53" s="358" t="s">
        <v>344</v>
      </c>
      <c r="B53" s="360"/>
      <c r="C53" s="360"/>
      <c r="D53" s="360"/>
      <c r="E53" s="360"/>
      <c r="F53" s="360"/>
    </row>
    <row r="54" spans="1:6">
      <c r="A54" s="358"/>
      <c r="B54" s="360"/>
      <c r="C54" s="360"/>
      <c r="D54" s="360"/>
      <c r="E54" s="360"/>
      <c r="F54" s="360"/>
    </row>
    <row r="55" spans="1:6">
      <c r="A55" s="358" t="s">
        <v>992</v>
      </c>
      <c r="B55" s="360"/>
      <c r="C55" s="360"/>
      <c r="D55" s="360"/>
      <c r="E55" s="360"/>
      <c r="F55" s="360"/>
    </row>
    <row r="56" spans="1:6">
      <c r="A56" s="358" t="s">
        <v>993</v>
      </c>
      <c r="B56" s="360"/>
      <c r="C56" s="360"/>
      <c r="D56" s="360"/>
      <c r="E56" s="360"/>
      <c r="F56" s="360"/>
    </row>
    <row r="57" spans="1:6">
      <c r="A57" s="358" t="s">
        <v>994</v>
      </c>
      <c r="B57" s="360"/>
      <c r="C57" s="360"/>
      <c r="D57" s="360"/>
      <c r="E57" s="360"/>
      <c r="F57" s="360"/>
    </row>
    <row r="58" spans="1:6">
      <c r="A58" s="358" t="s">
        <v>995</v>
      </c>
      <c r="B58" s="360"/>
      <c r="C58" s="360"/>
      <c r="D58" s="360"/>
      <c r="E58" s="360"/>
      <c r="F58" s="360"/>
    </row>
    <row r="59" spans="1:6">
      <c r="A59" s="358" t="s">
        <v>996</v>
      </c>
      <c r="B59" s="360"/>
      <c r="C59" s="360"/>
      <c r="D59" s="360"/>
      <c r="E59" s="360"/>
      <c r="F59" s="360"/>
    </row>
    <row r="60" spans="1:6">
      <c r="A60" s="358"/>
      <c r="B60" s="360"/>
      <c r="C60" s="360"/>
      <c r="D60" s="360"/>
      <c r="E60" s="360"/>
      <c r="F60" s="360"/>
    </row>
    <row r="61" spans="1:6">
      <c r="A61" s="357" t="s">
        <v>997</v>
      </c>
      <c r="B61" s="360"/>
      <c r="C61" s="360"/>
      <c r="D61" s="360"/>
      <c r="E61" s="360"/>
      <c r="F61" s="360"/>
    </row>
    <row r="62" spans="1:6">
      <c r="A62" s="357" t="s">
        <v>998</v>
      </c>
      <c r="B62" s="360"/>
      <c r="C62" s="360"/>
      <c r="D62" s="360"/>
      <c r="E62" s="360"/>
      <c r="F62" s="360"/>
    </row>
    <row r="63" spans="1:6">
      <c r="A63" s="357" t="s">
        <v>999</v>
      </c>
      <c r="B63" s="360"/>
      <c r="C63" s="360"/>
      <c r="D63" s="360"/>
      <c r="E63" s="360"/>
      <c r="F63" s="360"/>
    </row>
    <row r="64" spans="1:6">
      <c r="A64" s="357" t="s">
        <v>1000</v>
      </c>
    </row>
    <row r="65" spans="1:1">
      <c r="A65" s="357" t="s">
        <v>1001</v>
      </c>
    </row>
    <row r="66" spans="1:1">
      <c r="A66" s="357" t="s">
        <v>1002</v>
      </c>
    </row>
    <row r="68" spans="1:1">
      <c r="A68" s="360" t="s">
        <v>1003</v>
      </c>
    </row>
    <row r="69" spans="1:1">
      <c r="A69" s="360" t="s">
        <v>1004</v>
      </c>
    </row>
    <row r="70" spans="1:1">
      <c r="A70" s="360" t="s">
        <v>1005</v>
      </c>
    </row>
    <row r="71" spans="1:1">
      <c r="A71" s="360" t="s">
        <v>1006</v>
      </c>
    </row>
    <row r="72" spans="1:1">
      <c r="A72" s="360" t="s">
        <v>1007</v>
      </c>
    </row>
    <row r="73" spans="1:1">
      <c r="A73" s="360" t="s">
        <v>1008</v>
      </c>
    </row>
    <row r="75" spans="1:1">
      <c r="A75" s="360" t="s">
        <v>913</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workbookViewId="0">
      <selection activeCell="A3" sqref="A3"/>
    </sheetView>
  </sheetViews>
  <sheetFormatPr defaultRowHeight="15"/>
  <cols>
    <col min="1" max="1" width="71.33203125" customWidth="1"/>
  </cols>
  <sheetData>
    <row r="3" spans="1:7" ht="16.5">
      <c r="A3" s="359" t="s">
        <v>1009</v>
      </c>
      <c r="B3" s="359"/>
      <c r="C3" s="359"/>
      <c r="D3" s="359"/>
      <c r="E3" s="359"/>
      <c r="F3" s="359"/>
      <c r="G3" s="359"/>
    </row>
    <row r="4" spans="1:7" ht="16.5">
      <c r="A4" s="359"/>
      <c r="B4" s="359"/>
      <c r="C4" s="359"/>
      <c r="D4" s="359"/>
      <c r="E4" s="359"/>
      <c r="F4" s="359"/>
      <c r="G4" s="359"/>
    </row>
    <row r="5" spans="1:7">
      <c r="A5" s="360" t="s">
        <v>915</v>
      </c>
    </row>
    <row r="6" spans="1:7">
      <c r="A6" s="360" t="str">
        <f ca="1">CONCATENATE(inputPrYr!C5," estimated expenditures show that at the end of this year")</f>
        <v>2014 estimated expenditures show that at the end of this year</v>
      </c>
    </row>
    <row r="7" spans="1:7">
      <c r="A7" s="360" t="s">
        <v>1010</v>
      </c>
    </row>
    <row r="8" spans="1:7">
      <c r="A8" s="360" t="s">
        <v>1011</v>
      </c>
    </row>
    <row r="10" spans="1:7">
      <c r="A10" t="s">
        <v>917</v>
      </c>
    </row>
    <row r="11" spans="1:7">
      <c r="A11" t="s">
        <v>918</v>
      </c>
    </row>
    <row r="12" spans="1:7">
      <c r="A12" t="s">
        <v>919</v>
      </c>
    </row>
    <row r="13" spans="1:7" ht="16.5">
      <c r="A13" s="359"/>
      <c r="B13" s="359"/>
      <c r="C13" s="359"/>
      <c r="D13" s="359"/>
      <c r="E13" s="359"/>
      <c r="F13" s="359"/>
      <c r="G13" s="359"/>
    </row>
    <row r="14" spans="1:7" ht="16.5">
      <c r="A14" s="361" t="s">
        <v>1012</v>
      </c>
    </row>
    <row r="15" spans="1:7">
      <c r="A15" s="360"/>
    </row>
    <row r="16" spans="1:7">
      <c r="A16" s="360" t="s">
        <v>1013</v>
      </c>
    </row>
    <row r="17" spans="1:7">
      <c r="A17" s="360" t="s">
        <v>1014</v>
      </c>
    </row>
    <row r="18" spans="1:7">
      <c r="A18" s="360" t="s">
        <v>1015</v>
      </c>
    </row>
    <row r="19" spans="1:7">
      <c r="A19" s="360"/>
    </row>
    <row r="20" spans="1:7">
      <c r="A20" s="360" t="s">
        <v>1016</v>
      </c>
    </row>
    <row r="21" spans="1:7">
      <c r="A21" s="360" t="s">
        <v>1017</v>
      </c>
    </row>
    <row r="22" spans="1:7">
      <c r="A22" s="360" t="s">
        <v>1018</v>
      </c>
    </row>
    <row r="23" spans="1:7">
      <c r="A23" s="360" t="s">
        <v>1019</v>
      </c>
    </row>
    <row r="24" spans="1:7">
      <c r="A24" s="360"/>
    </row>
    <row r="25" spans="1:7" ht="16.5">
      <c r="A25" s="361" t="s">
        <v>981</v>
      </c>
    </row>
    <row r="26" spans="1:7" ht="16.5">
      <c r="A26" s="361"/>
    </row>
    <row r="27" spans="1:7">
      <c r="A27" s="360" t="s">
        <v>982</v>
      </c>
    </row>
    <row r="28" spans="1:7">
      <c r="A28" s="360" t="s">
        <v>983</v>
      </c>
      <c r="B28" s="360"/>
      <c r="C28" s="360"/>
      <c r="D28" s="360"/>
      <c r="E28" s="360"/>
      <c r="F28" s="360"/>
    </row>
    <row r="29" spans="1:7">
      <c r="A29" s="360" t="s">
        <v>984</v>
      </c>
      <c r="B29" s="360"/>
      <c r="C29" s="360"/>
      <c r="D29" s="360"/>
      <c r="E29" s="360"/>
      <c r="F29" s="360"/>
    </row>
    <row r="30" spans="1:7">
      <c r="A30" s="360" t="s">
        <v>985</v>
      </c>
      <c r="B30" s="360"/>
      <c r="C30" s="360"/>
      <c r="D30" s="360"/>
      <c r="E30" s="360"/>
      <c r="F30" s="360"/>
    </row>
    <row r="31" spans="1:7">
      <c r="A31" s="360"/>
    </row>
    <row r="32" spans="1:7" ht="16.5">
      <c r="A32" s="361" t="s">
        <v>986</v>
      </c>
      <c r="B32" s="361"/>
      <c r="C32" s="361"/>
      <c r="D32" s="361"/>
      <c r="E32" s="361"/>
      <c r="F32" s="361"/>
      <c r="G32" s="361"/>
    </row>
    <row r="33" spans="1:7" ht="16.5">
      <c r="A33" s="361" t="s">
        <v>987</v>
      </c>
      <c r="B33" s="361"/>
      <c r="C33" s="361"/>
      <c r="D33" s="361"/>
      <c r="E33" s="361"/>
      <c r="F33" s="361"/>
      <c r="G33" s="361"/>
    </row>
    <row r="34" spans="1:7" ht="16.5">
      <c r="A34" s="361"/>
      <c r="B34" s="361"/>
      <c r="C34" s="361"/>
      <c r="D34" s="361"/>
      <c r="E34" s="361"/>
      <c r="F34" s="361"/>
      <c r="G34" s="361"/>
    </row>
    <row r="35" spans="1:7">
      <c r="A35" s="360" t="s">
        <v>1020</v>
      </c>
      <c r="B35" s="360"/>
      <c r="C35" s="360"/>
      <c r="D35" s="360"/>
      <c r="E35" s="360"/>
      <c r="F35" s="360"/>
      <c r="G35" s="360"/>
    </row>
    <row r="36" spans="1:7">
      <c r="A36" s="360" t="s">
        <v>1021</v>
      </c>
      <c r="B36" s="360"/>
      <c r="C36" s="360"/>
      <c r="D36" s="360"/>
      <c r="E36" s="360"/>
      <c r="F36" s="360"/>
      <c r="G36" s="360"/>
    </row>
    <row r="37" spans="1:7">
      <c r="A37" s="360" t="s">
        <v>1022</v>
      </c>
      <c r="B37" s="360"/>
      <c r="C37" s="360"/>
      <c r="D37" s="360"/>
      <c r="E37" s="360"/>
      <c r="F37" s="360"/>
      <c r="G37" s="360"/>
    </row>
    <row r="38" spans="1:7">
      <c r="A38" s="360" t="s">
        <v>1023</v>
      </c>
      <c r="B38" s="360"/>
      <c r="C38" s="360"/>
      <c r="D38" s="360"/>
      <c r="E38" s="360"/>
      <c r="F38" s="360"/>
      <c r="G38" s="360"/>
    </row>
    <row r="39" spans="1:7">
      <c r="A39" s="360" t="s">
        <v>1024</v>
      </c>
      <c r="B39" s="360"/>
      <c r="C39" s="360"/>
      <c r="D39" s="360"/>
      <c r="E39" s="360"/>
      <c r="F39" s="360"/>
      <c r="G39" s="360"/>
    </row>
    <row r="40" spans="1:7" ht="16.5">
      <c r="A40" s="361"/>
      <c r="B40" s="361"/>
      <c r="C40" s="361"/>
      <c r="D40" s="361"/>
      <c r="E40" s="361"/>
      <c r="F40" s="361"/>
      <c r="G40" s="361"/>
    </row>
    <row r="41" spans="1:7">
      <c r="A41" s="358" t="str">
        <f ca="1">CONCATENATE("So, let's look to see if any of your ",inputPrYr!C5-1," expenditures can")</f>
        <v>So, let's look to see if any of your 2013 expenditures can</v>
      </c>
      <c r="B41" s="360"/>
      <c r="C41" s="360"/>
      <c r="D41" s="360"/>
      <c r="E41" s="360"/>
      <c r="F41" s="360"/>
    </row>
    <row r="42" spans="1:7">
      <c r="A42" s="358" t="s">
        <v>988</v>
      </c>
      <c r="B42" s="360"/>
      <c r="C42" s="360"/>
      <c r="D42" s="360"/>
      <c r="E42" s="360"/>
      <c r="F42" s="360"/>
    </row>
    <row r="43" spans="1:7">
      <c r="A43" s="358" t="s">
        <v>330</v>
      </c>
      <c r="B43" s="360"/>
      <c r="C43" s="360"/>
      <c r="D43" s="360"/>
      <c r="E43" s="360"/>
      <c r="F43" s="360"/>
    </row>
    <row r="44" spans="1:7">
      <c r="A44" s="358" t="s">
        <v>331</v>
      </c>
      <c r="B44" s="360"/>
      <c r="C44" s="360"/>
      <c r="D44" s="360"/>
      <c r="E44" s="360"/>
      <c r="F44" s="360"/>
    </row>
    <row r="45" spans="1:7">
      <c r="A45" s="360"/>
    </row>
    <row r="46" spans="1:7">
      <c r="A46" s="358" t="str">
        <f ca="1">CONCATENATE("Additionally, do your ",inputPrYr!C5-1," receipts contain a reimbursement")</f>
        <v>Additionally, do your 2013 receipts contain a reimbursement</v>
      </c>
      <c r="B46" s="360"/>
      <c r="C46" s="360"/>
      <c r="D46" s="360"/>
      <c r="E46" s="360"/>
      <c r="F46" s="360"/>
    </row>
    <row r="47" spans="1:7">
      <c r="A47" s="358" t="s">
        <v>332</v>
      </c>
      <c r="B47" s="360"/>
      <c r="C47" s="360"/>
      <c r="D47" s="360"/>
      <c r="E47" s="360"/>
      <c r="F47" s="360"/>
    </row>
    <row r="48" spans="1:7" ht="16.5">
      <c r="A48" s="358" t="s">
        <v>333</v>
      </c>
      <c r="B48" s="360"/>
      <c r="C48" s="360"/>
      <c r="D48" s="360"/>
      <c r="E48" s="360"/>
      <c r="F48" s="360"/>
    </row>
    <row r="49" spans="1:7">
      <c r="A49" s="360"/>
      <c r="B49" s="360"/>
      <c r="C49" s="360"/>
      <c r="D49" s="360"/>
      <c r="E49" s="360"/>
      <c r="F49" s="360"/>
      <c r="G49" s="360"/>
    </row>
    <row r="50" spans="1:7">
      <c r="A50" s="360" t="s">
        <v>942</v>
      </c>
      <c r="B50" s="360"/>
      <c r="C50" s="360"/>
      <c r="D50" s="360"/>
      <c r="E50" s="360"/>
      <c r="F50" s="360"/>
      <c r="G50" s="360"/>
    </row>
    <row r="51" spans="1:7">
      <c r="A51" s="360" t="s">
        <v>943</v>
      </c>
      <c r="B51" s="360"/>
      <c r="C51" s="360"/>
      <c r="D51" s="360"/>
      <c r="E51" s="360"/>
      <c r="F51" s="360"/>
      <c r="G51" s="360"/>
    </row>
    <row r="52" spans="1:7">
      <c r="A52" s="360" t="s">
        <v>944</v>
      </c>
      <c r="B52" s="360"/>
      <c r="C52" s="360"/>
      <c r="D52" s="360"/>
      <c r="E52" s="360"/>
      <c r="F52" s="360"/>
      <c r="G52" s="360"/>
    </row>
    <row r="53" spans="1:7">
      <c r="A53" s="360" t="s">
        <v>945</v>
      </c>
      <c r="B53" s="360"/>
      <c r="C53" s="360"/>
      <c r="D53" s="360"/>
      <c r="E53" s="360"/>
      <c r="F53" s="360"/>
      <c r="G53" s="360"/>
    </row>
    <row r="54" spans="1:7">
      <c r="A54" s="360" t="s">
        <v>946</v>
      </c>
      <c r="B54" s="360"/>
      <c r="C54" s="360"/>
      <c r="D54" s="360"/>
      <c r="E54" s="360"/>
      <c r="F54" s="360"/>
      <c r="G54" s="360"/>
    </row>
    <row r="55" spans="1:7">
      <c r="A55" s="360"/>
      <c r="B55" s="360"/>
      <c r="C55" s="360"/>
      <c r="D55" s="360"/>
      <c r="E55" s="360"/>
      <c r="F55" s="360"/>
      <c r="G55" s="360"/>
    </row>
    <row r="56" spans="1:7">
      <c r="A56" s="358" t="s">
        <v>342</v>
      </c>
      <c r="B56" s="360"/>
      <c r="C56" s="360"/>
      <c r="D56" s="360"/>
      <c r="E56" s="360"/>
      <c r="F56" s="360"/>
    </row>
    <row r="57" spans="1:7">
      <c r="A57" s="358" t="s">
        <v>343</v>
      </c>
      <c r="B57" s="360"/>
      <c r="C57" s="360"/>
      <c r="D57" s="360"/>
      <c r="E57" s="360"/>
      <c r="F57" s="360"/>
    </row>
    <row r="58" spans="1:7">
      <c r="A58" s="358" t="s">
        <v>344</v>
      </c>
      <c r="B58" s="360"/>
      <c r="C58" s="360"/>
      <c r="D58" s="360"/>
      <c r="E58" s="360"/>
      <c r="F58" s="360"/>
    </row>
    <row r="59" spans="1:7">
      <c r="A59" s="358"/>
      <c r="B59" s="360"/>
      <c r="C59" s="360"/>
      <c r="D59" s="360"/>
      <c r="E59" s="360"/>
      <c r="F59" s="360"/>
    </row>
    <row r="60" spans="1:7">
      <c r="A60" s="360" t="s">
        <v>1025</v>
      </c>
      <c r="B60" s="360"/>
      <c r="C60" s="360"/>
      <c r="D60" s="360"/>
      <c r="E60" s="360"/>
      <c r="F60" s="360"/>
      <c r="G60" s="360"/>
    </row>
    <row r="61" spans="1:7">
      <c r="A61" s="360" t="s">
        <v>1026</v>
      </c>
      <c r="B61" s="360"/>
      <c r="C61" s="360"/>
      <c r="D61" s="360"/>
      <c r="E61" s="360"/>
      <c r="F61" s="360"/>
      <c r="G61" s="360"/>
    </row>
    <row r="62" spans="1:7">
      <c r="A62" s="360" t="s">
        <v>1027</v>
      </c>
      <c r="B62" s="360"/>
      <c r="C62" s="360"/>
      <c r="D62" s="360"/>
      <c r="E62" s="360"/>
      <c r="F62" s="360"/>
      <c r="G62" s="360"/>
    </row>
    <row r="63" spans="1:7">
      <c r="A63" s="360" t="s">
        <v>1028</v>
      </c>
      <c r="B63" s="360"/>
      <c r="C63" s="360"/>
      <c r="D63" s="360"/>
      <c r="E63" s="360"/>
      <c r="F63" s="360"/>
      <c r="G63" s="360"/>
    </row>
    <row r="64" spans="1:7">
      <c r="A64" s="360" t="s">
        <v>1029</v>
      </c>
      <c r="B64" s="360"/>
      <c r="C64" s="360"/>
      <c r="D64" s="360"/>
      <c r="E64" s="360"/>
      <c r="F64" s="360"/>
      <c r="G64" s="360"/>
    </row>
    <row r="66" spans="1:6">
      <c r="A66" s="358" t="s">
        <v>992</v>
      </c>
      <c r="B66" s="360"/>
      <c r="C66" s="360"/>
      <c r="D66" s="360"/>
      <c r="E66" s="360"/>
      <c r="F66" s="360"/>
    </row>
    <row r="67" spans="1:6">
      <c r="A67" s="358" t="s">
        <v>993</v>
      </c>
      <c r="B67" s="360"/>
      <c r="C67" s="360"/>
      <c r="D67" s="360"/>
      <c r="E67" s="360"/>
      <c r="F67" s="360"/>
    </row>
    <row r="68" spans="1:6">
      <c r="A68" s="358" t="s">
        <v>994</v>
      </c>
      <c r="B68" s="360"/>
      <c r="C68" s="360"/>
      <c r="D68" s="360"/>
      <c r="E68" s="360"/>
      <c r="F68" s="360"/>
    </row>
    <row r="69" spans="1:6">
      <c r="A69" s="358" t="s">
        <v>995</v>
      </c>
      <c r="B69" s="360"/>
      <c r="C69" s="360"/>
      <c r="D69" s="360"/>
      <c r="E69" s="360"/>
      <c r="F69" s="360"/>
    </row>
    <row r="70" spans="1:6">
      <c r="A70" s="358" t="s">
        <v>996</v>
      </c>
      <c r="B70" s="360"/>
      <c r="C70" s="360"/>
      <c r="D70" s="360"/>
      <c r="E70" s="360"/>
      <c r="F70" s="360"/>
    </row>
    <row r="71" spans="1:6">
      <c r="A71" s="360"/>
    </row>
    <row r="72" spans="1:6">
      <c r="A72" s="360" t="s">
        <v>913</v>
      </c>
    </row>
    <row r="73" spans="1:6">
      <c r="A73" s="360"/>
    </row>
    <row r="74" spans="1:6">
      <c r="A74" s="360"/>
    </row>
    <row r="75" spans="1:6">
      <c r="A75" s="360"/>
    </row>
    <row r="78" spans="1:6" ht="16.5">
      <c r="A78" s="361"/>
    </row>
    <row r="80" spans="1:6">
      <c r="A80" s="360"/>
    </row>
    <row r="81" spans="1:1">
      <c r="A81" s="360"/>
    </row>
    <row r="82" spans="1:1">
      <c r="A82" s="360"/>
    </row>
    <row r="83" spans="1:1">
      <c r="A83" s="360"/>
    </row>
    <row r="84" spans="1:1">
      <c r="A84" s="360"/>
    </row>
    <row r="85" spans="1:1">
      <c r="A85" s="360"/>
    </row>
    <row r="86" spans="1:1">
      <c r="A86" s="360"/>
    </row>
    <row r="87" spans="1:1">
      <c r="A87" s="360"/>
    </row>
    <row r="88" spans="1:1">
      <c r="A88" s="360"/>
    </row>
    <row r="89" spans="1:1">
      <c r="A89" s="360"/>
    </row>
    <row r="90" spans="1:1">
      <c r="A90" s="360"/>
    </row>
    <row r="92" spans="1:1">
      <c r="A92" s="360"/>
    </row>
    <row r="93" spans="1:1">
      <c r="A93" s="360"/>
    </row>
    <row r="94" spans="1:1">
      <c r="A94" s="360"/>
    </row>
    <row r="95" spans="1:1">
      <c r="A95" s="360"/>
    </row>
    <row r="96" spans="1:1">
      <c r="A96" s="360"/>
    </row>
    <row r="97" spans="1:1">
      <c r="A97" s="360"/>
    </row>
    <row r="98" spans="1:1">
      <c r="A98" s="360"/>
    </row>
    <row r="99" spans="1:1">
      <c r="A99" s="360"/>
    </row>
    <row r="100" spans="1:1">
      <c r="A100" s="360"/>
    </row>
    <row r="101" spans="1:1">
      <c r="A101" s="360"/>
    </row>
    <row r="102" spans="1:1">
      <c r="A102" s="360"/>
    </row>
    <row r="103" spans="1:1">
      <c r="A103" s="360"/>
    </row>
    <row r="104" spans="1:1">
      <c r="A104" s="360"/>
    </row>
    <row r="105" spans="1:1">
      <c r="A105" s="360"/>
    </row>
    <row r="106" spans="1:1">
      <c r="A106" s="360"/>
    </row>
  </sheetData>
  <sheetProtection sheet="1"/>
  <phoneticPr fontId="0" type="noConversion"/>
  <pageMargins left="0.7" right="0.7" top="0.75" bottom="0.75" header="0.3" footer="0.3"/>
  <pageSetup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workbookViewId="0">
      <selection activeCell="A3" sqref="A3"/>
    </sheetView>
  </sheetViews>
  <sheetFormatPr defaultRowHeight="15"/>
  <cols>
    <col min="1" max="1" width="71.33203125" customWidth="1"/>
  </cols>
  <sheetData>
    <row r="3" spans="1:7" ht="16.5">
      <c r="A3" s="359" t="s">
        <v>1030</v>
      </c>
      <c r="B3" s="359"/>
      <c r="C3" s="359"/>
      <c r="D3" s="359"/>
      <c r="E3" s="359"/>
      <c r="F3" s="359"/>
      <c r="G3" s="359"/>
    </row>
    <row r="4" spans="1:7" ht="16.5">
      <c r="A4" s="359" t="s">
        <v>1031</v>
      </c>
      <c r="B4" s="359"/>
      <c r="C4" s="359"/>
      <c r="D4" s="359"/>
      <c r="E4" s="359"/>
      <c r="F4" s="359"/>
      <c r="G4" s="359"/>
    </row>
    <row r="5" spans="1:7" ht="16.5">
      <c r="A5" s="359"/>
      <c r="B5" s="359"/>
      <c r="C5" s="359"/>
      <c r="D5" s="359"/>
      <c r="E5" s="359"/>
      <c r="F5" s="359"/>
      <c r="G5" s="359"/>
    </row>
    <row r="6" spans="1:7" ht="16.5">
      <c r="A6" s="359"/>
      <c r="B6" s="359"/>
      <c r="C6" s="359"/>
      <c r="D6" s="359"/>
      <c r="E6" s="359"/>
      <c r="F6" s="359"/>
      <c r="G6" s="359"/>
    </row>
    <row r="7" spans="1:7">
      <c r="A7" s="360" t="s">
        <v>316</v>
      </c>
    </row>
    <row r="8" spans="1:7">
      <c r="A8" s="360" t="str">
        <f ca="1">CONCATENATE("estimated ",inputPrYr!C5," 'total expenditures' exceed your ",inputPrYr!C5,"")</f>
        <v>estimated 2014 'total expenditures' exceed your 2014</v>
      </c>
    </row>
    <row r="9" spans="1:7">
      <c r="A9" s="363" t="s">
        <v>1032</v>
      </c>
    </row>
    <row r="10" spans="1:7">
      <c r="A10" s="360"/>
    </row>
    <row r="11" spans="1:7">
      <c r="A11" s="360" t="s">
        <v>1033</v>
      </c>
    </row>
    <row r="12" spans="1:7">
      <c r="A12" s="360" t="s">
        <v>1034</v>
      </c>
    </row>
    <row r="13" spans="1:7">
      <c r="A13" s="360" t="s">
        <v>1035</v>
      </c>
    </row>
    <row r="14" spans="1:7">
      <c r="A14" s="360"/>
    </row>
    <row r="15" spans="1:7" ht="16.5">
      <c r="A15" s="361" t="s">
        <v>1036</v>
      </c>
    </row>
    <row r="16" spans="1:7" ht="16.5">
      <c r="A16" s="359"/>
      <c r="B16" s="359"/>
      <c r="C16" s="359"/>
      <c r="D16" s="359"/>
      <c r="E16" s="359"/>
      <c r="F16" s="359"/>
      <c r="G16" s="359"/>
    </row>
    <row r="17" spans="1:8">
      <c r="A17" s="364" t="s">
        <v>1037</v>
      </c>
      <c r="B17" s="365"/>
      <c r="C17" s="365"/>
      <c r="D17" s="365"/>
      <c r="E17" s="365"/>
      <c r="F17" s="365"/>
      <c r="G17" s="365"/>
      <c r="H17" s="365"/>
    </row>
    <row r="18" spans="1:8" ht="16.5">
      <c r="A18" s="360" t="s">
        <v>1038</v>
      </c>
      <c r="B18" s="366"/>
      <c r="C18" s="366"/>
      <c r="D18" s="366"/>
      <c r="E18" s="366"/>
      <c r="F18" s="366"/>
      <c r="G18" s="366"/>
    </row>
    <row r="19" spans="1:8">
      <c r="A19" s="360" t="s">
        <v>1039</v>
      </c>
    </row>
    <row r="20" spans="1:8">
      <c r="A20" s="360" t="s">
        <v>1040</v>
      </c>
    </row>
    <row r="22" spans="1:8" ht="16.5">
      <c r="A22" s="361" t="s">
        <v>1041</v>
      </c>
    </row>
    <row r="24" spans="1:8">
      <c r="A24" s="360" t="s">
        <v>1042</v>
      </c>
    </row>
    <row r="25" spans="1:8">
      <c r="A25" s="360" t="s">
        <v>1043</v>
      </c>
    </row>
    <row r="26" spans="1:8">
      <c r="A26" s="360" t="s">
        <v>1044</v>
      </c>
    </row>
    <row r="28" spans="1:8" ht="16.5">
      <c r="A28" s="361" t="s">
        <v>1045</v>
      </c>
    </row>
    <row r="30" spans="1:8">
      <c r="A30" t="s">
        <v>1046</v>
      </c>
    </row>
    <row r="31" spans="1:8">
      <c r="A31" t="s">
        <v>1047</v>
      </c>
    </row>
    <row r="32" spans="1:8">
      <c r="A32" t="s">
        <v>1048</v>
      </c>
    </row>
    <row r="33" spans="1:1">
      <c r="A33" s="360" t="s">
        <v>1049</v>
      </c>
    </row>
    <row r="35" spans="1:1">
      <c r="A35" t="s">
        <v>1050</v>
      </c>
    </row>
    <row r="36" spans="1:1">
      <c r="A36" t="s">
        <v>1051</v>
      </c>
    </row>
    <row r="37" spans="1:1">
      <c r="A37" t="s">
        <v>1052</v>
      </c>
    </row>
    <row r="38" spans="1:1">
      <c r="A38" t="s">
        <v>1053</v>
      </c>
    </row>
    <row r="40" spans="1:1">
      <c r="A40" t="s">
        <v>1054</v>
      </c>
    </row>
    <row r="41" spans="1:1">
      <c r="A41" t="s">
        <v>1055</v>
      </c>
    </row>
    <row r="42" spans="1:1">
      <c r="A42" t="s">
        <v>1056</v>
      </c>
    </row>
    <row r="43" spans="1:1">
      <c r="A43" t="s">
        <v>1057</v>
      </c>
    </row>
    <row r="44" spans="1:1">
      <c r="A44" t="s">
        <v>1058</v>
      </c>
    </row>
    <row r="45" spans="1:1">
      <c r="A45" t="s">
        <v>360</v>
      </c>
    </row>
    <row r="47" spans="1:1">
      <c r="A47" t="s">
        <v>361</v>
      </c>
    </row>
    <row r="48" spans="1:1">
      <c r="A48" t="s">
        <v>362</v>
      </c>
    </row>
    <row r="49" spans="1:1">
      <c r="A49" s="360" t="s">
        <v>363</v>
      </c>
    </row>
    <row r="50" spans="1:1">
      <c r="A50" s="360" t="s">
        <v>364</v>
      </c>
    </row>
    <row r="52" spans="1:1">
      <c r="A52" t="s">
        <v>913</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topLeftCell="A145" zoomScaleNormal="100" zoomScaleSheetLayoutView="100" workbookViewId="0">
      <selection activeCell="B86" sqref="B86:K86"/>
    </sheetView>
  </sheetViews>
  <sheetFormatPr defaultRowHeight="14.25"/>
  <cols>
    <col min="1" max="1" width="7.5546875" style="437" customWidth="1"/>
    <col min="2" max="2" width="11.21875" style="439" customWidth="1"/>
    <col min="3" max="3" width="7.44140625" style="439" customWidth="1"/>
    <col min="4" max="4" width="8.88671875" style="439"/>
    <col min="5" max="5" width="1.5546875" style="439" customWidth="1"/>
    <col min="6" max="6" width="14.33203125" style="439" customWidth="1"/>
    <col min="7" max="7" width="2.5546875" style="439" customWidth="1"/>
    <col min="8" max="8" width="9.77734375" style="439" customWidth="1"/>
    <col min="9" max="9" width="2" style="439" customWidth="1"/>
    <col min="10" max="10" width="8.5546875" style="439" customWidth="1"/>
    <col min="11" max="11" width="11.6640625" style="439" customWidth="1"/>
    <col min="12" max="12" width="7.5546875" style="437" customWidth="1"/>
    <col min="13" max="14" width="8.88671875" style="437"/>
    <col min="15" max="15" width="9.88671875" style="437" bestFit="1" customWidth="1"/>
    <col min="16" max="16384" width="8.88671875" style="437"/>
  </cols>
  <sheetData>
    <row r="1" spans="1:12">
      <c r="A1" s="438"/>
      <c r="B1" s="438"/>
      <c r="C1" s="438"/>
      <c r="D1" s="438"/>
      <c r="E1" s="438"/>
      <c r="F1" s="438"/>
      <c r="G1" s="438"/>
      <c r="H1" s="438"/>
      <c r="I1" s="438"/>
      <c r="J1" s="438"/>
      <c r="K1" s="438"/>
      <c r="L1" s="438"/>
    </row>
    <row r="2" spans="1:12">
      <c r="A2" s="438"/>
      <c r="B2" s="438"/>
      <c r="C2" s="438"/>
      <c r="D2" s="438"/>
      <c r="E2" s="438"/>
      <c r="F2" s="438"/>
      <c r="G2" s="438"/>
      <c r="H2" s="438"/>
      <c r="I2" s="438"/>
      <c r="J2" s="438"/>
      <c r="K2" s="438"/>
      <c r="L2" s="438"/>
    </row>
    <row r="3" spans="1:12">
      <c r="A3" s="438"/>
      <c r="B3" s="438"/>
      <c r="C3" s="438"/>
      <c r="D3" s="438"/>
      <c r="E3" s="438"/>
      <c r="F3" s="438"/>
      <c r="G3" s="438"/>
      <c r="H3" s="438"/>
      <c r="I3" s="438"/>
      <c r="J3" s="438"/>
      <c r="K3" s="438"/>
      <c r="L3" s="438"/>
    </row>
    <row r="4" spans="1:12">
      <c r="A4" s="438"/>
      <c r="L4" s="438"/>
    </row>
    <row r="5" spans="1:12" ht="15" customHeight="1">
      <c r="A5" s="438"/>
      <c r="L5" s="438"/>
    </row>
    <row r="6" spans="1:12" ht="33" customHeight="1">
      <c r="A6" s="438"/>
      <c r="B6" s="827" t="s">
        <v>400</v>
      </c>
      <c r="C6" s="835"/>
      <c r="D6" s="835"/>
      <c r="E6" s="835"/>
      <c r="F6" s="835"/>
      <c r="G6" s="835"/>
      <c r="H6" s="835"/>
      <c r="I6" s="835"/>
      <c r="J6" s="835"/>
      <c r="K6" s="835"/>
      <c r="L6" s="440"/>
    </row>
    <row r="7" spans="1:12" ht="40.5" customHeight="1">
      <c r="A7" s="438"/>
      <c r="B7" s="839" t="s">
        <v>401</v>
      </c>
      <c r="C7" s="840"/>
      <c r="D7" s="840"/>
      <c r="E7" s="840"/>
      <c r="F7" s="840"/>
      <c r="G7" s="840"/>
      <c r="H7" s="840"/>
      <c r="I7" s="840"/>
      <c r="J7" s="840"/>
      <c r="K7" s="840"/>
      <c r="L7" s="438"/>
    </row>
    <row r="8" spans="1:12">
      <c r="A8" s="438"/>
      <c r="B8" s="841" t="s">
        <v>402</v>
      </c>
      <c r="C8" s="841"/>
      <c r="D8" s="841"/>
      <c r="E8" s="841"/>
      <c r="F8" s="841"/>
      <c r="G8" s="841"/>
      <c r="H8" s="841"/>
      <c r="I8" s="841"/>
      <c r="J8" s="841"/>
      <c r="K8" s="841"/>
      <c r="L8" s="438"/>
    </row>
    <row r="9" spans="1:12">
      <c r="A9" s="438"/>
      <c r="L9" s="438"/>
    </row>
    <row r="10" spans="1:12">
      <c r="A10" s="438"/>
      <c r="B10" s="841" t="s">
        <v>403</v>
      </c>
      <c r="C10" s="841"/>
      <c r="D10" s="841"/>
      <c r="E10" s="841"/>
      <c r="F10" s="841"/>
      <c r="G10" s="841"/>
      <c r="H10" s="841"/>
      <c r="I10" s="841"/>
      <c r="J10" s="841"/>
      <c r="K10" s="841"/>
      <c r="L10" s="438"/>
    </row>
    <row r="11" spans="1:12">
      <c r="A11" s="438"/>
      <c r="B11" s="600"/>
      <c r="C11" s="600"/>
      <c r="D11" s="600"/>
      <c r="E11" s="600"/>
      <c r="F11" s="600"/>
      <c r="G11" s="600"/>
      <c r="H11" s="600"/>
      <c r="I11" s="600"/>
      <c r="J11" s="600"/>
      <c r="K11" s="600"/>
      <c r="L11" s="438"/>
    </row>
    <row r="12" spans="1:12" ht="32.25" customHeight="1">
      <c r="A12" s="438"/>
      <c r="B12" s="829" t="s">
        <v>404</v>
      </c>
      <c r="C12" s="829"/>
      <c r="D12" s="829"/>
      <c r="E12" s="829"/>
      <c r="F12" s="829"/>
      <c r="G12" s="829"/>
      <c r="H12" s="829"/>
      <c r="I12" s="829"/>
      <c r="J12" s="829"/>
      <c r="K12" s="829"/>
      <c r="L12" s="438"/>
    </row>
    <row r="13" spans="1:12">
      <c r="A13" s="438"/>
      <c r="L13" s="438"/>
    </row>
    <row r="14" spans="1:12">
      <c r="A14" s="438"/>
      <c r="B14" s="441" t="s">
        <v>405</v>
      </c>
      <c r="L14" s="438"/>
    </row>
    <row r="15" spans="1:12">
      <c r="A15" s="438"/>
      <c r="L15" s="438"/>
    </row>
    <row r="16" spans="1:12">
      <c r="A16" s="438"/>
      <c r="B16" s="439" t="s">
        <v>406</v>
      </c>
      <c r="L16" s="438"/>
    </row>
    <row r="17" spans="1:12">
      <c r="A17" s="438"/>
      <c r="B17" s="439" t="s">
        <v>407</v>
      </c>
      <c r="L17" s="438"/>
    </row>
    <row r="18" spans="1:12">
      <c r="A18" s="438"/>
      <c r="L18" s="438"/>
    </row>
    <row r="19" spans="1:12">
      <c r="A19" s="438"/>
      <c r="B19" s="441" t="s">
        <v>584</v>
      </c>
      <c r="L19" s="438"/>
    </row>
    <row r="20" spans="1:12">
      <c r="A20" s="438"/>
      <c r="B20" s="441"/>
      <c r="L20" s="438"/>
    </row>
    <row r="21" spans="1:12">
      <c r="A21" s="438"/>
      <c r="B21" s="439" t="s">
        <v>585</v>
      </c>
      <c r="L21" s="438"/>
    </row>
    <row r="22" spans="1:12">
      <c r="A22" s="438"/>
      <c r="L22" s="438"/>
    </row>
    <row r="23" spans="1:12">
      <c r="A23" s="438"/>
      <c r="B23" s="439" t="s">
        <v>408</v>
      </c>
      <c r="E23" s="439" t="s">
        <v>409</v>
      </c>
      <c r="F23" s="826">
        <v>312000000</v>
      </c>
      <c r="G23" s="826"/>
      <c r="L23" s="438"/>
    </row>
    <row r="24" spans="1:12">
      <c r="A24" s="438"/>
      <c r="L24" s="438"/>
    </row>
    <row r="25" spans="1:12">
      <c r="A25" s="438"/>
      <c r="C25" s="842">
        <f>F23</f>
        <v>312000000</v>
      </c>
      <c r="D25" s="842"/>
      <c r="E25" s="439" t="s">
        <v>410</v>
      </c>
      <c r="F25" s="442">
        <v>1000</v>
      </c>
      <c r="G25" s="442" t="s">
        <v>409</v>
      </c>
      <c r="H25" s="601">
        <f>F23/F25</f>
        <v>312000</v>
      </c>
      <c r="L25" s="438"/>
    </row>
    <row r="26" spans="1:12" ht="15" thickBot="1">
      <c r="A26" s="438"/>
      <c r="L26" s="438"/>
    </row>
    <row r="27" spans="1:12">
      <c r="A27" s="438"/>
      <c r="B27" s="443" t="s">
        <v>405</v>
      </c>
      <c r="C27" s="444"/>
      <c r="D27" s="444"/>
      <c r="E27" s="444"/>
      <c r="F27" s="444"/>
      <c r="G27" s="444"/>
      <c r="H27" s="444"/>
      <c r="I27" s="444"/>
      <c r="J27" s="444"/>
      <c r="K27" s="445"/>
      <c r="L27" s="438"/>
    </row>
    <row r="28" spans="1:12">
      <c r="A28" s="438"/>
      <c r="B28" s="446">
        <f>F23</f>
        <v>312000000</v>
      </c>
      <c r="C28" s="447" t="s">
        <v>411</v>
      </c>
      <c r="D28" s="447"/>
      <c r="E28" s="447" t="s">
        <v>410</v>
      </c>
      <c r="F28" s="598">
        <v>1000</v>
      </c>
      <c r="G28" s="598" t="s">
        <v>409</v>
      </c>
      <c r="H28" s="448">
        <f>B28/F28</f>
        <v>312000</v>
      </c>
      <c r="I28" s="447" t="s">
        <v>412</v>
      </c>
      <c r="J28" s="447"/>
      <c r="K28" s="449"/>
      <c r="L28" s="438"/>
    </row>
    <row r="29" spans="1:12" ht="15" thickBot="1">
      <c r="A29" s="438"/>
      <c r="B29" s="450"/>
      <c r="C29" s="451"/>
      <c r="D29" s="451"/>
      <c r="E29" s="451"/>
      <c r="F29" s="451"/>
      <c r="G29" s="451"/>
      <c r="H29" s="451"/>
      <c r="I29" s="451"/>
      <c r="J29" s="451"/>
      <c r="K29" s="452"/>
      <c r="L29" s="438"/>
    </row>
    <row r="30" spans="1:12" ht="40.5" customHeight="1">
      <c r="A30" s="438"/>
      <c r="B30" s="831" t="s">
        <v>401</v>
      </c>
      <c r="C30" s="831"/>
      <c r="D30" s="831"/>
      <c r="E30" s="831"/>
      <c r="F30" s="831"/>
      <c r="G30" s="831"/>
      <c r="H30" s="831"/>
      <c r="I30" s="831"/>
      <c r="J30" s="831"/>
      <c r="K30" s="831"/>
      <c r="L30" s="438"/>
    </row>
    <row r="31" spans="1:12">
      <c r="A31" s="438"/>
      <c r="B31" s="841" t="s">
        <v>413</v>
      </c>
      <c r="C31" s="841"/>
      <c r="D31" s="841"/>
      <c r="E31" s="841"/>
      <c r="F31" s="841"/>
      <c r="G31" s="841"/>
      <c r="H31" s="841"/>
      <c r="I31" s="841"/>
      <c r="J31" s="841"/>
      <c r="K31" s="841"/>
      <c r="L31" s="438"/>
    </row>
    <row r="32" spans="1:12">
      <c r="A32" s="438"/>
      <c r="L32" s="438"/>
    </row>
    <row r="33" spans="1:12">
      <c r="A33" s="438"/>
      <c r="B33" s="841" t="s">
        <v>414</v>
      </c>
      <c r="C33" s="841"/>
      <c r="D33" s="841"/>
      <c r="E33" s="841"/>
      <c r="F33" s="841"/>
      <c r="G33" s="841"/>
      <c r="H33" s="841"/>
      <c r="I33" s="841"/>
      <c r="J33" s="841"/>
      <c r="K33" s="841"/>
      <c r="L33" s="438"/>
    </row>
    <row r="34" spans="1:12">
      <c r="A34" s="438"/>
      <c r="L34" s="438"/>
    </row>
    <row r="35" spans="1:12" ht="89.25" customHeight="1">
      <c r="A35" s="438"/>
      <c r="B35" s="829" t="s">
        <v>415</v>
      </c>
      <c r="C35" s="838"/>
      <c r="D35" s="838"/>
      <c r="E35" s="838"/>
      <c r="F35" s="838"/>
      <c r="G35" s="838"/>
      <c r="H35" s="838"/>
      <c r="I35" s="838"/>
      <c r="J35" s="838"/>
      <c r="K35" s="838"/>
      <c r="L35" s="438"/>
    </row>
    <row r="36" spans="1:12">
      <c r="A36" s="438"/>
      <c r="L36" s="438"/>
    </row>
    <row r="37" spans="1:12">
      <c r="A37" s="438"/>
      <c r="B37" s="441" t="s">
        <v>416</v>
      </c>
      <c r="L37" s="438"/>
    </row>
    <row r="38" spans="1:12">
      <c r="A38" s="438"/>
      <c r="L38" s="438"/>
    </row>
    <row r="39" spans="1:12">
      <c r="A39" s="438"/>
      <c r="B39" s="439" t="s">
        <v>417</v>
      </c>
      <c r="L39" s="438"/>
    </row>
    <row r="40" spans="1:12">
      <c r="A40" s="438"/>
      <c r="L40" s="438"/>
    </row>
    <row r="41" spans="1:12">
      <c r="A41" s="438"/>
      <c r="C41" s="845">
        <v>312000000</v>
      </c>
      <c r="D41" s="845"/>
      <c r="E41" s="439" t="s">
        <v>410</v>
      </c>
      <c r="F41" s="442">
        <v>1000</v>
      </c>
      <c r="G41" s="442" t="s">
        <v>409</v>
      </c>
      <c r="H41" s="453">
        <f>C41/F41</f>
        <v>312000</v>
      </c>
      <c r="L41" s="438"/>
    </row>
    <row r="42" spans="1:12">
      <c r="A42" s="438"/>
      <c r="L42" s="438"/>
    </row>
    <row r="43" spans="1:12">
      <c r="A43" s="438"/>
      <c r="B43" s="439" t="s">
        <v>418</v>
      </c>
      <c r="L43" s="438"/>
    </row>
    <row r="44" spans="1:12">
      <c r="A44" s="438"/>
      <c r="L44" s="438"/>
    </row>
    <row r="45" spans="1:12">
      <c r="A45" s="438"/>
      <c r="B45" s="439" t="s">
        <v>419</v>
      </c>
      <c r="L45" s="438"/>
    </row>
    <row r="46" spans="1:12" ht="15" thickBot="1">
      <c r="A46" s="438"/>
      <c r="L46" s="438"/>
    </row>
    <row r="47" spans="1:12">
      <c r="A47" s="438"/>
      <c r="B47" s="454" t="s">
        <v>405</v>
      </c>
      <c r="C47" s="444"/>
      <c r="D47" s="444"/>
      <c r="E47" s="444"/>
      <c r="F47" s="444"/>
      <c r="G47" s="444"/>
      <c r="H47" s="444"/>
      <c r="I47" s="444"/>
      <c r="J47" s="444"/>
      <c r="K47" s="445"/>
      <c r="L47" s="438"/>
    </row>
    <row r="48" spans="1:12">
      <c r="A48" s="438"/>
      <c r="B48" s="846">
        <v>312000000</v>
      </c>
      <c r="C48" s="826"/>
      <c r="D48" s="447" t="s">
        <v>420</v>
      </c>
      <c r="E48" s="447" t="s">
        <v>410</v>
      </c>
      <c r="F48" s="598">
        <v>1000</v>
      </c>
      <c r="G48" s="598" t="s">
        <v>409</v>
      </c>
      <c r="H48" s="448">
        <f>B48/F48</f>
        <v>312000</v>
      </c>
      <c r="I48" s="447" t="s">
        <v>421</v>
      </c>
      <c r="J48" s="447"/>
      <c r="K48" s="449"/>
      <c r="L48" s="438"/>
    </row>
    <row r="49" spans="1:24">
      <c r="A49" s="438"/>
      <c r="B49" s="455"/>
      <c r="C49" s="447"/>
      <c r="D49" s="447"/>
      <c r="E49" s="447"/>
      <c r="F49" s="447"/>
      <c r="G49" s="447"/>
      <c r="H49" s="447"/>
      <c r="I49" s="447"/>
      <c r="J49" s="447"/>
      <c r="K49" s="449"/>
      <c r="L49" s="438"/>
    </row>
    <row r="50" spans="1:24">
      <c r="A50" s="438"/>
      <c r="B50" s="456">
        <v>50000</v>
      </c>
      <c r="C50" s="447" t="s">
        <v>422</v>
      </c>
      <c r="D50" s="447"/>
      <c r="E50" s="447" t="s">
        <v>410</v>
      </c>
      <c r="F50" s="448">
        <f>H48</f>
        <v>312000</v>
      </c>
      <c r="G50" s="847" t="s">
        <v>423</v>
      </c>
      <c r="H50" s="848"/>
      <c r="I50" s="598" t="s">
        <v>409</v>
      </c>
      <c r="J50" s="457">
        <f>B50/F50</f>
        <v>0.16025641025641027</v>
      </c>
      <c r="K50" s="449"/>
      <c r="L50" s="438"/>
    </row>
    <row r="51" spans="1:24" ht="15" thickBot="1">
      <c r="A51" s="438"/>
      <c r="B51" s="450"/>
      <c r="C51" s="451"/>
      <c r="D51" s="451"/>
      <c r="E51" s="451"/>
      <c r="F51" s="451"/>
      <c r="G51" s="451"/>
      <c r="H51" s="451"/>
      <c r="I51" s="843" t="s">
        <v>424</v>
      </c>
      <c r="J51" s="843"/>
      <c r="K51" s="844"/>
      <c r="L51" s="438"/>
      <c r="O51" s="581"/>
    </row>
    <row r="52" spans="1:24" ht="40.5" customHeight="1">
      <c r="A52" s="438"/>
      <c r="B52" s="831" t="s">
        <v>401</v>
      </c>
      <c r="C52" s="831"/>
      <c r="D52" s="831"/>
      <c r="E52" s="831"/>
      <c r="F52" s="831"/>
      <c r="G52" s="831"/>
      <c r="H52" s="831"/>
      <c r="I52" s="831"/>
      <c r="J52" s="831"/>
      <c r="K52" s="831"/>
      <c r="L52" s="438"/>
    </row>
    <row r="53" spans="1:24">
      <c r="A53" s="438"/>
      <c r="B53" s="841" t="s">
        <v>425</v>
      </c>
      <c r="C53" s="841"/>
      <c r="D53" s="841"/>
      <c r="E53" s="841"/>
      <c r="F53" s="841"/>
      <c r="G53" s="841"/>
      <c r="H53" s="841"/>
      <c r="I53" s="841"/>
      <c r="J53" s="841"/>
      <c r="K53" s="841"/>
      <c r="L53" s="438"/>
    </row>
    <row r="54" spans="1:24">
      <c r="A54" s="438"/>
      <c r="B54" s="600"/>
      <c r="C54" s="600"/>
      <c r="D54" s="600"/>
      <c r="E54" s="600"/>
      <c r="F54" s="600"/>
      <c r="G54" s="600"/>
      <c r="H54" s="600"/>
      <c r="I54" s="600"/>
      <c r="J54" s="600"/>
      <c r="K54" s="600"/>
      <c r="L54" s="438"/>
    </row>
    <row r="55" spans="1:24">
      <c r="A55" s="438"/>
      <c r="B55" s="827" t="s">
        <v>426</v>
      </c>
      <c r="C55" s="827"/>
      <c r="D55" s="827"/>
      <c r="E55" s="827"/>
      <c r="F55" s="827"/>
      <c r="G55" s="827"/>
      <c r="H55" s="827"/>
      <c r="I55" s="827"/>
      <c r="J55" s="827"/>
      <c r="K55" s="827"/>
      <c r="L55" s="438"/>
    </row>
    <row r="56" spans="1:24" ht="15" customHeight="1">
      <c r="A56" s="438"/>
      <c r="L56" s="438"/>
    </row>
    <row r="57" spans="1:24" ht="74.25" customHeight="1">
      <c r="A57" s="438"/>
      <c r="B57" s="829" t="s">
        <v>427</v>
      </c>
      <c r="C57" s="838"/>
      <c r="D57" s="838"/>
      <c r="E57" s="838"/>
      <c r="F57" s="838"/>
      <c r="G57" s="838"/>
      <c r="H57" s="838"/>
      <c r="I57" s="838"/>
      <c r="J57" s="838"/>
      <c r="K57" s="838"/>
      <c r="L57" s="438"/>
      <c r="M57" s="458"/>
      <c r="N57" s="459"/>
      <c r="O57" s="459"/>
      <c r="P57" s="459"/>
      <c r="Q57" s="459"/>
      <c r="R57" s="459"/>
      <c r="S57" s="459"/>
      <c r="T57" s="459"/>
      <c r="U57" s="459"/>
      <c r="V57" s="459"/>
      <c r="W57" s="459"/>
      <c r="X57" s="459"/>
    </row>
    <row r="58" spans="1:24" ht="15" customHeight="1">
      <c r="A58" s="438"/>
      <c r="B58" s="829"/>
      <c r="C58" s="838"/>
      <c r="D58" s="838"/>
      <c r="E58" s="838"/>
      <c r="F58" s="838"/>
      <c r="G58" s="838"/>
      <c r="H58" s="838"/>
      <c r="I58" s="838"/>
      <c r="J58" s="838"/>
      <c r="K58" s="838"/>
      <c r="L58" s="438"/>
      <c r="M58" s="458"/>
      <c r="N58" s="459"/>
      <c r="O58" s="459"/>
      <c r="P58" s="459"/>
      <c r="Q58" s="459"/>
      <c r="R58" s="459"/>
      <c r="S58" s="459"/>
      <c r="T58" s="459"/>
      <c r="U58" s="459"/>
      <c r="V58" s="459"/>
      <c r="W58" s="459"/>
      <c r="X58" s="459"/>
    </row>
    <row r="59" spans="1:24">
      <c r="A59" s="438"/>
      <c r="B59" s="441" t="s">
        <v>416</v>
      </c>
      <c r="L59" s="438"/>
      <c r="M59" s="459"/>
      <c r="N59" s="459"/>
      <c r="O59" s="459"/>
      <c r="P59" s="459"/>
      <c r="Q59" s="459"/>
      <c r="R59" s="459"/>
      <c r="S59" s="459"/>
      <c r="T59" s="459"/>
      <c r="U59" s="459"/>
      <c r="V59" s="459"/>
      <c r="W59" s="459"/>
      <c r="X59" s="459"/>
    </row>
    <row r="60" spans="1:24">
      <c r="A60" s="438"/>
      <c r="L60" s="438"/>
      <c r="M60" s="459"/>
      <c r="N60" s="459"/>
      <c r="O60" s="459"/>
      <c r="P60" s="459"/>
      <c r="Q60" s="459"/>
      <c r="R60" s="459"/>
      <c r="S60" s="459"/>
      <c r="T60" s="459"/>
      <c r="U60" s="459"/>
      <c r="V60" s="459"/>
      <c r="W60" s="459"/>
      <c r="X60" s="459"/>
    </row>
    <row r="61" spans="1:24">
      <c r="A61" s="438"/>
      <c r="B61" s="439" t="s">
        <v>428</v>
      </c>
      <c r="L61" s="438"/>
      <c r="M61" s="459"/>
      <c r="N61" s="459"/>
      <c r="O61" s="459"/>
      <c r="P61" s="459"/>
      <c r="Q61" s="459"/>
      <c r="R61" s="459"/>
      <c r="S61" s="459"/>
      <c r="T61" s="459"/>
      <c r="U61" s="459"/>
      <c r="V61" s="459"/>
      <c r="W61" s="459"/>
      <c r="X61" s="459"/>
    </row>
    <row r="62" spans="1:24">
      <c r="A62" s="438"/>
      <c r="B62" s="439" t="s">
        <v>586</v>
      </c>
      <c r="L62" s="438"/>
      <c r="M62" s="459"/>
      <c r="N62" s="459"/>
      <c r="O62" s="459"/>
      <c r="P62" s="459"/>
      <c r="Q62" s="459"/>
      <c r="R62" s="459"/>
      <c r="S62" s="459"/>
      <c r="T62" s="459"/>
      <c r="U62" s="459"/>
      <c r="V62" s="459"/>
      <c r="W62" s="459"/>
      <c r="X62" s="459"/>
    </row>
    <row r="63" spans="1:24">
      <c r="A63" s="438"/>
      <c r="B63" s="439" t="s">
        <v>587</v>
      </c>
      <c r="L63" s="438"/>
      <c r="M63" s="459"/>
      <c r="N63" s="459"/>
      <c r="O63" s="459"/>
      <c r="P63" s="459"/>
      <c r="Q63" s="459"/>
      <c r="R63" s="459"/>
      <c r="S63" s="459"/>
      <c r="T63" s="459"/>
      <c r="U63" s="459"/>
      <c r="V63" s="459"/>
      <c r="W63" s="459"/>
      <c r="X63" s="459"/>
    </row>
    <row r="64" spans="1:24">
      <c r="A64" s="438"/>
      <c r="L64" s="438"/>
      <c r="M64" s="459"/>
      <c r="N64" s="459"/>
      <c r="O64" s="459"/>
      <c r="P64" s="459"/>
      <c r="Q64" s="459"/>
      <c r="R64" s="459"/>
      <c r="S64" s="459"/>
      <c r="T64" s="459"/>
      <c r="U64" s="459"/>
      <c r="V64" s="459"/>
      <c r="W64" s="459"/>
      <c r="X64" s="459"/>
    </row>
    <row r="65" spans="1:24">
      <c r="A65" s="438"/>
      <c r="B65" s="439" t="s">
        <v>429</v>
      </c>
      <c r="L65" s="438"/>
      <c r="M65" s="459"/>
      <c r="N65" s="459"/>
      <c r="O65" s="459"/>
      <c r="P65" s="459"/>
      <c r="Q65" s="459"/>
      <c r="R65" s="459"/>
      <c r="S65" s="459"/>
      <c r="T65" s="459"/>
      <c r="U65" s="459"/>
      <c r="V65" s="459"/>
      <c r="W65" s="459"/>
      <c r="X65" s="459"/>
    </row>
    <row r="66" spans="1:24">
      <c r="A66" s="438"/>
      <c r="B66" s="439" t="s">
        <v>430</v>
      </c>
      <c r="L66" s="438"/>
      <c r="M66" s="459"/>
      <c r="N66" s="459"/>
      <c r="O66" s="459"/>
      <c r="P66" s="459"/>
      <c r="Q66" s="459"/>
      <c r="R66" s="459"/>
      <c r="S66" s="459"/>
      <c r="T66" s="459"/>
      <c r="U66" s="459"/>
      <c r="V66" s="459"/>
      <c r="W66" s="459"/>
      <c r="X66" s="459"/>
    </row>
    <row r="67" spans="1:24">
      <c r="A67" s="438"/>
      <c r="L67" s="438"/>
      <c r="M67" s="459"/>
      <c r="N67" s="459"/>
      <c r="O67" s="459"/>
      <c r="P67" s="459"/>
      <c r="Q67" s="459"/>
      <c r="R67" s="459"/>
      <c r="S67" s="459"/>
      <c r="T67" s="459"/>
      <c r="U67" s="459"/>
      <c r="V67" s="459"/>
      <c r="W67" s="459"/>
      <c r="X67" s="459"/>
    </row>
    <row r="68" spans="1:24">
      <c r="A68" s="438"/>
      <c r="B68" s="439" t="s">
        <v>431</v>
      </c>
      <c r="L68" s="438"/>
      <c r="M68" s="460"/>
      <c r="N68" s="461"/>
      <c r="O68" s="461"/>
      <c r="P68" s="461"/>
      <c r="Q68" s="461"/>
      <c r="R68" s="461"/>
      <c r="S68" s="461"/>
      <c r="T68" s="461"/>
      <c r="U68" s="461"/>
      <c r="V68" s="461"/>
      <c r="W68" s="461"/>
      <c r="X68" s="459"/>
    </row>
    <row r="69" spans="1:24">
      <c r="A69" s="438"/>
      <c r="B69" s="439" t="s">
        <v>588</v>
      </c>
      <c r="L69" s="438"/>
      <c r="M69" s="459"/>
      <c r="N69" s="459"/>
      <c r="O69" s="459"/>
      <c r="P69" s="459"/>
      <c r="Q69" s="459"/>
      <c r="R69" s="459"/>
      <c r="S69" s="459"/>
      <c r="T69" s="459"/>
      <c r="U69" s="459"/>
      <c r="V69" s="459"/>
      <c r="W69" s="459"/>
      <c r="X69" s="459"/>
    </row>
    <row r="70" spans="1:24">
      <c r="A70" s="438"/>
      <c r="B70" s="439" t="s">
        <v>589</v>
      </c>
      <c r="L70" s="438"/>
      <c r="M70" s="459"/>
      <c r="N70" s="459"/>
      <c r="O70" s="459"/>
      <c r="P70" s="459"/>
      <c r="Q70" s="459"/>
      <c r="R70" s="459"/>
      <c r="S70" s="459"/>
      <c r="T70" s="459"/>
      <c r="U70" s="459"/>
      <c r="V70" s="459"/>
      <c r="W70" s="459"/>
      <c r="X70" s="459"/>
    </row>
    <row r="71" spans="1:24" ht="15" thickBot="1">
      <c r="A71" s="438"/>
      <c r="B71" s="447"/>
      <c r="C71" s="447"/>
      <c r="D71" s="447"/>
      <c r="E71" s="447"/>
      <c r="F71" s="447"/>
      <c r="G71" s="447"/>
      <c r="H71" s="447"/>
      <c r="I71" s="447"/>
      <c r="J71" s="447"/>
      <c r="K71" s="447"/>
      <c r="L71" s="438"/>
    </row>
    <row r="72" spans="1:24">
      <c r="A72" s="438"/>
      <c r="B72" s="443" t="s">
        <v>405</v>
      </c>
      <c r="C72" s="444"/>
      <c r="D72" s="444"/>
      <c r="E72" s="444"/>
      <c r="F72" s="444"/>
      <c r="G72" s="444"/>
      <c r="H72" s="444"/>
      <c r="I72" s="444"/>
      <c r="J72" s="444"/>
      <c r="K72" s="445"/>
      <c r="L72" s="462"/>
    </row>
    <row r="73" spans="1:24">
      <c r="A73" s="438"/>
      <c r="B73" s="455"/>
      <c r="C73" s="447" t="s">
        <v>411</v>
      </c>
      <c r="D73" s="447"/>
      <c r="E73" s="447"/>
      <c r="F73" s="447"/>
      <c r="G73" s="447"/>
      <c r="H73" s="447"/>
      <c r="I73" s="447"/>
      <c r="J73" s="447"/>
      <c r="K73" s="449"/>
      <c r="L73" s="462"/>
    </row>
    <row r="74" spans="1:24">
      <c r="A74" s="438"/>
      <c r="B74" s="455" t="s">
        <v>432</v>
      </c>
      <c r="C74" s="826">
        <v>312000000</v>
      </c>
      <c r="D74" s="826"/>
      <c r="E74" s="598" t="s">
        <v>410</v>
      </c>
      <c r="F74" s="598">
        <v>1000</v>
      </c>
      <c r="G74" s="598" t="s">
        <v>409</v>
      </c>
      <c r="H74" s="595">
        <f>C74/F74</f>
        <v>312000</v>
      </c>
      <c r="I74" s="447" t="s">
        <v>433</v>
      </c>
      <c r="J74" s="447"/>
      <c r="K74" s="449"/>
      <c r="L74" s="462"/>
    </row>
    <row r="75" spans="1:24">
      <c r="A75" s="438"/>
      <c r="B75" s="455"/>
      <c r="C75" s="447"/>
      <c r="D75" s="447"/>
      <c r="E75" s="598"/>
      <c r="F75" s="447"/>
      <c r="G75" s="447"/>
      <c r="H75" s="447"/>
      <c r="I75" s="447"/>
      <c r="J75" s="447"/>
      <c r="K75" s="449"/>
      <c r="L75" s="462"/>
    </row>
    <row r="76" spans="1:24">
      <c r="A76" s="438"/>
      <c r="B76" s="455"/>
      <c r="C76" s="447" t="s">
        <v>434</v>
      </c>
      <c r="D76" s="447"/>
      <c r="E76" s="598"/>
      <c r="F76" s="447" t="s">
        <v>433</v>
      </c>
      <c r="G76" s="447"/>
      <c r="H76" s="447"/>
      <c r="I76" s="447"/>
      <c r="J76" s="447"/>
      <c r="K76" s="449"/>
      <c r="L76" s="462"/>
    </row>
    <row r="77" spans="1:24">
      <c r="A77" s="438"/>
      <c r="B77" s="455" t="s">
        <v>437</v>
      </c>
      <c r="C77" s="826">
        <v>50000</v>
      </c>
      <c r="D77" s="826"/>
      <c r="E77" s="598" t="s">
        <v>410</v>
      </c>
      <c r="F77" s="595">
        <f>H74</f>
        <v>312000</v>
      </c>
      <c r="G77" s="598" t="s">
        <v>409</v>
      </c>
      <c r="H77" s="457">
        <f>C77/F77</f>
        <v>0.16025641025641027</v>
      </c>
      <c r="I77" s="447" t="s">
        <v>435</v>
      </c>
      <c r="J77" s="447"/>
      <c r="K77" s="449"/>
      <c r="L77" s="462"/>
    </row>
    <row r="78" spans="1:24">
      <c r="A78" s="438"/>
      <c r="B78" s="455"/>
      <c r="C78" s="447"/>
      <c r="D78" s="447"/>
      <c r="E78" s="598"/>
      <c r="F78" s="447"/>
      <c r="G78" s="447"/>
      <c r="H78" s="447"/>
      <c r="I78" s="447"/>
      <c r="J78" s="447"/>
      <c r="K78" s="449"/>
      <c r="L78" s="462"/>
    </row>
    <row r="79" spans="1:24">
      <c r="A79" s="438"/>
      <c r="B79" s="463"/>
      <c r="C79" s="464" t="s">
        <v>436</v>
      </c>
      <c r="D79" s="464"/>
      <c r="E79" s="604"/>
      <c r="F79" s="464"/>
      <c r="G79" s="464"/>
      <c r="H79" s="464"/>
      <c r="I79" s="464"/>
      <c r="J79" s="464"/>
      <c r="K79" s="465"/>
      <c r="L79" s="462"/>
    </row>
    <row r="80" spans="1:24">
      <c r="A80" s="438"/>
      <c r="B80" s="455" t="s">
        <v>498</v>
      </c>
      <c r="C80" s="826">
        <v>100000</v>
      </c>
      <c r="D80" s="826"/>
      <c r="E80" s="598" t="s">
        <v>736</v>
      </c>
      <c r="F80" s="598">
        <v>0.115</v>
      </c>
      <c r="G80" s="598" t="s">
        <v>409</v>
      </c>
      <c r="H80" s="595">
        <f>C80*F80</f>
        <v>11500</v>
      </c>
      <c r="I80" s="447" t="s">
        <v>438</v>
      </c>
      <c r="J80" s="447"/>
      <c r="K80" s="449"/>
      <c r="L80" s="462"/>
    </row>
    <row r="81" spans="1:12">
      <c r="A81" s="438"/>
      <c r="B81" s="455"/>
      <c r="C81" s="447"/>
      <c r="D81" s="447"/>
      <c r="E81" s="598"/>
      <c r="F81" s="447"/>
      <c r="G81" s="447"/>
      <c r="H81" s="447"/>
      <c r="I81" s="447"/>
      <c r="J81" s="447"/>
      <c r="K81" s="449"/>
      <c r="L81" s="462"/>
    </row>
    <row r="82" spans="1:12">
      <c r="A82" s="438"/>
      <c r="B82" s="463"/>
      <c r="C82" s="464" t="s">
        <v>439</v>
      </c>
      <c r="D82" s="464"/>
      <c r="E82" s="604"/>
      <c r="F82" s="464" t="s">
        <v>435</v>
      </c>
      <c r="G82" s="464"/>
      <c r="H82" s="464"/>
      <c r="I82" s="464"/>
      <c r="J82" s="464" t="s">
        <v>440</v>
      </c>
      <c r="K82" s="465"/>
      <c r="L82" s="462"/>
    </row>
    <row r="83" spans="1:12">
      <c r="A83" s="438"/>
      <c r="B83" s="455" t="s">
        <v>499</v>
      </c>
      <c r="C83" s="830">
        <f>H80</f>
        <v>11500</v>
      </c>
      <c r="D83" s="830"/>
      <c r="E83" s="598" t="s">
        <v>736</v>
      </c>
      <c r="F83" s="457">
        <f>H77</f>
        <v>0.16025641025641027</v>
      </c>
      <c r="G83" s="598" t="s">
        <v>410</v>
      </c>
      <c r="H83" s="598">
        <v>1000</v>
      </c>
      <c r="I83" s="598" t="s">
        <v>409</v>
      </c>
      <c r="J83" s="596">
        <f>C83*F83/H83</f>
        <v>1.8429487179487181</v>
      </c>
      <c r="K83" s="449"/>
      <c r="L83" s="462"/>
    </row>
    <row r="84" spans="1:12" ht="15" thickBot="1">
      <c r="A84" s="438"/>
      <c r="B84" s="450"/>
      <c r="C84" s="466"/>
      <c r="D84" s="466"/>
      <c r="E84" s="467"/>
      <c r="F84" s="468"/>
      <c r="G84" s="467"/>
      <c r="H84" s="467"/>
      <c r="I84" s="467"/>
      <c r="J84" s="469"/>
      <c r="K84" s="452"/>
      <c r="L84" s="462"/>
    </row>
    <row r="85" spans="1:12" ht="40.5" customHeight="1">
      <c r="A85" s="438"/>
      <c r="B85" s="831" t="s">
        <v>401</v>
      </c>
      <c r="C85" s="831"/>
      <c r="D85" s="831"/>
      <c r="E85" s="831"/>
      <c r="F85" s="831"/>
      <c r="G85" s="831"/>
      <c r="H85" s="831"/>
      <c r="I85" s="831"/>
      <c r="J85" s="831"/>
      <c r="K85" s="831"/>
      <c r="L85" s="438"/>
    </row>
    <row r="86" spans="1:12">
      <c r="A86" s="438"/>
      <c r="B86" s="827" t="s">
        <v>441</v>
      </c>
      <c r="C86" s="827"/>
      <c r="D86" s="827"/>
      <c r="E86" s="827"/>
      <c r="F86" s="827"/>
      <c r="G86" s="827"/>
      <c r="H86" s="827"/>
      <c r="I86" s="827"/>
      <c r="J86" s="827"/>
      <c r="K86" s="827"/>
      <c r="L86" s="438"/>
    </row>
    <row r="87" spans="1:12">
      <c r="A87" s="438"/>
      <c r="B87" s="470"/>
      <c r="C87" s="470"/>
      <c r="D87" s="470"/>
      <c r="E87" s="470"/>
      <c r="F87" s="470"/>
      <c r="G87" s="470"/>
      <c r="H87" s="470"/>
      <c r="I87" s="470"/>
      <c r="J87" s="470"/>
      <c r="K87" s="470"/>
      <c r="L87" s="438"/>
    </row>
    <row r="88" spans="1:12">
      <c r="A88" s="438"/>
      <c r="B88" s="827" t="s">
        <v>442</v>
      </c>
      <c r="C88" s="827"/>
      <c r="D88" s="827"/>
      <c r="E88" s="827"/>
      <c r="F88" s="827"/>
      <c r="G88" s="827"/>
      <c r="H88" s="827"/>
      <c r="I88" s="827"/>
      <c r="J88" s="827"/>
      <c r="K88" s="827"/>
      <c r="L88" s="438"/>
    </row>
    <row r="89" spans="1:12">
      <c r="A89" s="438"/>
      <c r="B89" s="597"/>
      <c r="C89" s="597"/>
      <c r="D89" s="597"/>
      <c r="E89" s="597"/>
      <c r="F89" s="597"/>
      <c r="G89" s="597"/>
      <c r="H89" s="597"/>
      <c r="I89" s="597"/>
      <c r="J89" s="597"/>
      <c r="K89" s="597"/>
      <c r="L89" s="438"/>
    </row>
    <row r="90" spans="1:12" ht="45" customHeight="1">
      <c r="A90" s="438"/>
      <c r="B90" s="829" t="s">
        <v>443</v>
      </c>
      <c r="C90" s="829"/>
      <c r="D90" s="829"/>
      <c r="E90" s="829"/>
      <c r="F90" s="829"/>
      <c r="G90" s="829"/>
      <c r="H90" s="829"/>
      <c r="I90" s="829"/>
      <c r="J90" s="829"/>
      <c r="K90" s="829"/>
      <c r="L90" s="438"/>
    </row>
    <row r="91" spans="1:12" ht="15" customHeight="1" thickBot="1">
      <c r="A91" s="438"/>
      <c r="L91" s="438"/>
    </row>
    <row r="92" spans="1:12" ht="15" customHeight="1">
      <c r="A92" s="438"/>
      <c r="B92" s="471" t="s">
        <v>405</v>
      </c>
      <c r="C92" s="472"/>
      <c r="D92" s="472"/>
      <c r="E92" s="472"/>
      <c r="F92" s="472"/>
      <c r="G92" s="472"/>
      <c r="H92" s="472"/>
      <c r="I92" s="472"/>
      <c r="J92" s="472"/>
      <c r="K92" s="473"/>
      <c r="L92" s="438"/>
    </row>
    <row r="93" spans="1:12" ht="15" customHeight="1">
      <c r="A93" s="438"/>
      <c r="B93" s="474"/>
      <c r="C93" s="602" t="s">
        <v>411</v>
      </c>
      <c r="D93" s="602"/>
      <c r="E93" s="602"/>
      <c r="F93" s="602"/>
      <c r="G93" s="602"/>
      <c r="H93" s="602"/>
      <c r="I93" s="602"/>
      <c r="J93" s="602"/>
      <c r="K93" s="475"/>
      <c r="L93" s="438"/>
    </row>
    <row r="94" spans="1:12" ht="15" customHeight="1">
      <c r="A94" s="438"/>
      <c r="B94" s="474" t="s">
        <v>432</v>
      </c>
      <c r="C94" s="826">
        <v>312000000</v>
      </c>
      <c r="D94" s="826"/>
      <c r="E94" s="598" t="s">
        <v>410</v>
      </c>
      <c r="F94" s="598">
        <v>1000</v>
      </c>
      <c r="G94" s="598" t="s">
        <v>409</v>
      </c>
      <c r="H94" s="595">
        <f>C94/F94</f>
        <v>312000</v>
      </c>
      <c r="I94" s="602" t="s">
        <v>433</v>
      </c>
      <c r="J94" s="602"/>
      <c r="K94" s="475"/>
      <c r="L94" s="438"/>
    </row>
    <row r="95" spans="1:12" ht="15" customHeight="1">
      <c r="A95" s="438"/>
      <c r="B95" s="474"/>
      <c r="C95" s="602"/>
      <c r="D95" s="602"/>
      <c r="E95" s="598"/>
      <c r="F95" s="602"/>
      <c r="G95" s="602"/>
      <c r="H95" s="602"/>
      <c r="I95" s="602"/>
      <c r="J95" s="602"/>
      <c r="K95" s="475"/>
      <c r="L95" s="438"/>
    </row>
    <row r="96" spans="1:12" ht="15" customHeight="1">
      <c r="A96" s="438"/>
      <c r="B96" s="474"/>
      <c r="C96" s="602" t="s">
        <v>434</v>
      </c>
      <c r="D96" s="602"/>
      <c r="E96" s="598"/>
      <c r="F96" s="602" t="s">
        <v>433</v>
      </c>
      <c r="G96" s="602"/>
      <c r="H96" s="602"/>
      <c r="I96" s="602"/>
      <c r="J96" s="602"/>
      <c r="K96" s="475"/>
      <c r="L96" s="438"/>
    </row>
    <row r="97" spans="1:12" ht="15" customHeight="1">
      <c r="A97" s="438"/>
      <c r="B97" s="474" t="s">
        <v>437</v>
      </c>
      <c r="C97" s="826">
        <v>50000</v>
      </c>
      <c r="D97" s="826"/>
      <c r="E97" s="598" t="s">
        <v>410</v>
      </c>
      <c r="F97" s="595">
        <f>H94</f>
        <v>312000</v>
      </c>
      <c r="G97" s="598" t="s">
        <v>409</v>
      </c>
      <c r="H97" s="457">
        <f>C97/F97</f>
        <v>0.16025641025641027</v>
      </c>
      <c r="I97" s="602" t="s">
        <v>435</v>
      </c>
      <c r="J97" s="602"/>
      <c r="K97" s="475"/>
      <c r="L97" s="438"/>
    </row>
    <row r="98" spans="1:12" ht="15" customHeight="1">
      <c r="A98" s="438"/>
      <c r="B98" s="474"/>
      <c r="C98" s="602"/>
      <c r="D98" s="602"/>
      <c r="E98" s="598"/>
      <c r="F98" s="602"/>
      <c r="G98" s="602"/>
      <c r="H98" s="602"/>
      <c r="I98" s="602"/>
      <c r="J98" s="602"/>
      <c r="K98" s="475"/>
      <c r="L98" s="438"/>
    </row>
    <row r="99" spans="1:12" ht="15" customHeight="1">
      <c r="A99" s="438"/>
      <c r="B99" s="476"/>
      <c r="C99" s="477" t="s">
        <v>444</v>
      </c>
      <c r="D99" s="477"/>
      <c r="E99" s="604"/>
      <c r="F99" s="477"/>
      <c r="G99" s="477"/>
      <c r="H99" s="477"/>
      <c r="I99" s="477"/>
      <c r="J99" s="477"/>
      <c r="K99" s="478"/>
      <c r="L99" s="438"/>
    </row>
    <row r="100" spans="1:12" ht="15" customHeight="1">
      <c r="A100" s="438"/>
      <c r="B100" s="474" t="s">
        <v>498</v>
      </c>
      <c r="C100" s="826">
        <v>2500000</v>
      </c>
      <c r="D100" s="826"/>
      <c r="E100" s="598" t="s">
        <v>736</v>
      </c>
      <c r="F100" s="479">
        <v>0.3</v>
      </c>
      <c r="G100" s="598" t="s">
        <v>409</v>
      </c>
      <c r="H100" s="595">
        <f>C100*F100</f>
        <v>750000</v>
      </c>
      <c r="I100" s="602" t="s">
        <v>438</v>
      </c>
      <c r="J100" s="602"/>
      <c r="K100" s="475"/>
      <c r="L100" s="438"/>
    </row>
    <row r="101" spans="1:12" ht="15" customHeight="1">
      <c r="A101" s="438"/>
      <c r="B101" s="474"/>
      <c r="C101" s="602"/>
      <c r="D101" s="602"/>
      <c r="E101" s="598"/>
      <c r="F101" s="602"/>
      <c r="G101" s="602"/>
      <c r="H101" s="602"/>
      <c r="I101" s="602"/>
      <c r="J101" s="602"/>
      <c r="K101" s="475"/>
      <c r="L101" s="438"/>
    </row>
    <row r="102" spans="1:12" ht="15" customHeight="1">
      <c r="A102" s="438"/>
      <c r="B102" s="476"/>
      <c r="C102" s="477" t="s">
        <v>439</v>
      </c>
      <c r="D102" s="477"/>
      <c r="E102" s="604"/>
      <c r="F102" s="477" t="s">
        <v>435</v>
      </c>
      <c r="G102" s="477"/>
      <c r="H102" s="477"/>
      <c r="I102" s="477"/>
      <c r="J102" s="477" t="s">
        <v>440</v>
      </c>
      <c r="K102" s="478"/>
      <c r="L102" s="438"/>
    </row>
    <row r="103" spans="1:12" ht="15" customHeight="1">
      <c r="A103" s="438"/>
      <c r="B103" s="474" t="s">
        <v>499</v>
      </c>
      <c r="C103" s="830">
        <f>H100</f>
        <v>750000</v>
      </c>
      <c r="D103" s="830"/>
      <c r="E103" s="598" t="s">
        <v>736</v>
      </c>
      <c r="F103" s="457">
        <f>H97</f>
        <v>0.16025641025641027</v>
      </c>
      <c r="G103" s="598" t="s">
        <v>410</v>
      </c>
      <c r="H103" s="598">
        <v>1000</v>
      </c>
      <c r="I103" s="598" t="s">
        <v>409</v>
      </c>
      <c r="J103" s="596">
        <f>C103*F103/H103</f>
        <v>120.19230769230771</v>
      </c>
      <c r="K103" s="475"/>
      <c r="L103" s="438"/>
    </row>
    <row r="104" spans="1:12" ht="15" customHeight="1" thickBot="1">
      <c r="A104" s="438"/>
      <c r="B104" s="480"/>
      <c r="C104" s="466"/>
      <c r="D104" s="466"/>
      <c r="E104" s="467"/>
      <c r="F104" s="468"/>
      <c r="G104" s="467"/>
      <c r="H104" s="467"/>
      <c r="I104" s="467"/>
      <c r="J104" s="469"/>
      <c r="K104" s="603"/>
      <c r="L104" s="438"/>
    </row>
    <row r="105" spans="1:12" ht="40.5" customHeight="1">
      <c r="A105" s="438"/>
      <c r="B105" s="831" t="s">
        <v>401</v>
      </c>
      <c r="C105" s="832"/>
      <c r="D105" s="832"/>
      <c r="E105" s="832"/>
      <c r="F105" s="832"/>
      <c r="G105" s="832"/>
      <c r="H105" s="832"/>
      <c r="I105" s="832"/>
      <c r="J105" s="832"/>
      <c r="K105" s="832"/>
      <c r="L105" s="438"/>
    </row>
    <row r="106" spans="1:12" ht="15" customHeight="1">
      <c r="A106" s="438"/>
      <c r="B106" s="834" t="s">
        <v>445</v>
      </c>
      <c r="C106" s="835"/>
      <c r="D106" s="835"/>
      <c r="E106" s="835"/>
      <c r="F106" s="835"/>
      <c r="G106" s="835"/>
      <c r="H106" s="835"/>
      <c r="I106" s="835"/>
      <c r="J106" s="835"/>
      <c r="K106" s="835"/>
      <c r="L106" s="438"/>
    </row>
    <row r="107" spans="1:12" ht="15" customHeight="1">
      <c r="A107" s="438"/>
      <c r="B107" s="602"/>
      <c r="C107" s="481"/>
      <c r="D107" s="481"/>
      <c r="E107" s="598"/>
      <c r="F107" s="457"/>
      <c r="G107" s="598"/>
      <c r="H107" s="598"/>
      <c r="I107" s="598"/>
      <c r="J107" s="596"/>
      <c r="K107" s="602"/>
      <c r="L107" s="438"/>
    </row>
    <row r="108" spans="1:12" ht="15" customHeight="1">
      <c r="A108" s="438"/>
      <c r="B108" s="834" t="s">
        <v>446</v>
      </c>
      <c r="C108" s="836"/>
      <c r="D108" s="836"/>
      <c r="E108" s="836"/>
      <c r="F108" s="836"/>
      <c r="G108" s="836"/>
      <c r="H108" s="836"/>
      <c r="I108" s="836"/>
      <c r="J108" s="836"/>
      <c r="K108" s="836"/>
      <c r="L108" s="438"/>
    </row>
    <row r="109" spans="1:12" ht="15" customHeight="1">
      <c r="A109" s="438"/>
      <c r="B109" s="602"/>
      <c r="C109" s="481"/>
      <c r="D109" s="481"/>
      <c r="E109" s="598"/>
      <c r="F109" s="457"/>
      <c r="G109" s="598"/>
      <c r="H109" s="598"/>
      <c r="I109" s="598"/>
      <c r="J109" s="596"/>
      <c r="K109" s="602"/>
      <c r="L109" s="438"/>
    </row>
    <row r="110" spans="1:12" ht="59.25" customHeight="1">
      <c r="A110" s="438"/>
      <c r="B110" s="837" t="s">
        <v>447</v>
      </c>
      <c r="C110" s="838"/>
      <c r="D110" s="838"/>
      <c r="E110" s="838"/>
      <c r="F110" s="838"/>
      <c r="G110" s="838"/>
      <c r="H110" s="838"/>
      <c r="I110" s="838"/>
      <c r="J110" s="838"/>
      <c r="K110" s="838"/>
      <c r="L110" s="438"/>
    </row>
    <row r="111" spans="1:12" ht="15" thickBot="1">
      <c r="A111" s="438"/>
      <c r="B111" s="600"/>
      <c r="C111" s="600"/>
      <c r="D111" s="600"/>
      <c r="E111" s="600"/>
      <c r="F111" s="600"/>
      <c r="G111" s="600"/>
      <c r="H111" s="600"/>
      <c r="I111" s="600"/>
      <c r="J111" s="600"/>
      <c r="K111" s="600"/>
      <c r="L111" s="482"/>
    </row>
    <row r="112" spans="1:12">
      <c r="A112" s="438"/>
      <c r="B112" s="443" t="s">
        <v>405</v>
      </c>
      <c r="C112" s="444"/>
      <c r="D112" s="444"/>
      <c r="E112" s="444"/>
      <c r="F112" s="444"/>
      <c r="G112" s="444"/>
      <c r="H112" s="444"/>
      <c r="I112" s="444"/>
      <c r="J112" s="444"/>
      <c r="K112" s="445"/>
      <c r="L112" s="438"/>
    </row>
    <row r="113" spans="1:12">
      <c r="A113" s="438"/>
      <c r="B113" s="455"/>
      <c r="C113" s="447" t="s">
        <v>411</v>
      </c>
      <c r="D113" s="447"/>
      <c r="E113" s="447"/>
      <c r="F113" s="447"/>
      <c r="G113" s="447"/>
      <c r="H113" s="447"/>
      <c r="I113" s="447"/>
      <c r="J113" s="447"/>
      <c r="K113" s="449"/>
      <c r="L113" s="438"/>
    </row>
    <row r="114" spans="1:12">
      <c r="A114" s="438"/>
      <c r="B114" s="455" t="s">
        <v>432</v>
      </c>
      <c r="C114" s="826">
        <v>312000000</v>
      </c>
      <c r="D114" s="826"/>
      <c r="E114" s="598" t="s">
        <v>410</v>
      </c>
      <c r="F114" s="598">
        <v>1000</v>
      </c>
      <c r="G114" s="598" t="s">
        <v>409</v>
      </c>
      <c r="H114" s="595">
        <f>C114/F114</f>
        <v>312000</v>
      </c>
      <c r="I114" s="447" t="s">
        <v>433</v>
      </c>
      <c r="J114" s="447"/>
      <c r="K114" s="449"/>
      <c r="L114" s="438"/>
    </row>
    <row r="115" spans="1:12">
      <c r="A115" s="438"/>
      <c r="B115" s="455"/>
      <c r="C115" s="447"/>
      <c r="D115" s="447"/>
      <c r="E115" s="598"/>
      <c r="F115" s="447"/>
      <c r="G115" s="447"/>
      <c r="H115" s="447"/>
      <c r="I115" s="447"/>
      <c r="J115" s="447"/>
      <c r="K115" s="449"/>
      <c r="L115" s="438"/>
    </row>
    <row r="116" spans="1:12">
      <c r="A116" s="438"/>
      <c r="B116" s="455"/>
      <c r="C116" s="447" t="s">
        <v>434</v>
      </c>
      <c r="D116" s="447"/>
      <c r="E116" s="598"/>
      <c r="F116" s="447" t="s">
        <v>433</v>
      </c>
      <c r="G116" s="447"/>
      <c r="H116" s="447"/>
      <c r="I116" s="447"/>
      <c r="J116" s="447"/>
      <c r="K116" s="449"/>
      <c r="L116" s="438"/>
    </row>
    <row r="117" spans="1:12">
      <c r="A117" s="438"/>
      <c r="B117" s="455" t="s">
        <v>437</v>
      </c>
      <c r="C117" s="826">
        <v>50000</v>
      </c>
      <c r="D117" s="826"/>
      <c r="E117" s="598" t="s">
        <v>410</v>
      </c>
      <c r="F117" s="595">
        <f>H114</f>
        <v>312000</v>
      </c>
      <c r="G117" s="598" t="s">
        <v>409</v>
      </c>
      <c r="H117" s="457">
        <f>C117/F117</f>
        <v>0.16025641025641027</v>
      </c>
      <c r="I117" s="447" t="s">
        <v>435</v>
      </c>
      <c r="J117" s="447"/>
      <c r="K117" s="449"/>
      <c r="L117" s="438"/>
    </row>
    <row r="118" spans="1:12">
      <c r="A118" s="438"/>
      <c r="B118" s="455"/>
      <c r="C118" s="447"/>
      <c r="D118" s="447"/>
      <c r="E118" s="598"/>
      <c r="F118" s="447"/>
      <c r="G118" s="447"/>
      <c r="H118" s="447"/>
      <c r="I118" s="447"/>
      <c r="J118" s="447"/>
      <c r="K118" s="449"/>
      <c r="L118" s="438"/>
    </row>
    <row r="119" spans="1:12">
      <c r="A119" s="438"/>
      <c r="B119" s="463"/>
      <c r="C119" s="464" t="s">
        <v>444</v>
      </c>
      <c r="D119" s="464"/>
      <c r="E119" s="604"/>
      <c r="F119" s="464"/>
      <c r="G119" s="464"/>
      <c r="H119" s="464"/>
      <c r="I119" s="464"/>
      <c r="J119" s="464"/>
      <c r="K119" s="465"/>
      <c r="L119" s="438"/>
    </row>
    <row r="120" spans="1:12">
      <c r="A120" s="438"/>
      <c r="B120" s="455" t="s">
        <v>498</v>
      </c>
      <c r="C120" s="826">
        <v>2500000</v>
      </c>
      <c r="D120" s="826"/>
      <c r="E120" s="598" t="s">
        <v>736</v>
      </c>
      <c r="F120" s="479">
        <v>0.25</v>
      </c>
      <c r="G120" s="598" t="s">
        <v>409</v>
      </c>
      <c r="H120" s="595">
        <f>C120*F120</f>
        <v>625000</v>
      </c>
      <c r="I120" s="447" t="s">
        <v>438</v>
      </c>
      <c r="J120" s="447"/>
      <c r="K120" s="449"/>
      <c r="L120" s="438"/>
    </row>
    <row r="121" spans="1:12">
      <c r="A121" s="438"/>
      <c r="B121" s="455"/>
      <c r="C121" s="447"/>
      <c r="D121" s="447"/>
      <c r="E121" s="598"/>
      <c r="F121" s="447"/>
      <c r="G121" s="447"/>
      <c r="H121" s="447"/>
      <c r="I121" s="447"/>
      <c r="J121" s="447"/>
      <c r="K121" s="449"/>
      <c r="L121" s="438"/>
    </row>
    <row r="122" spans="1:12">
      <c r="A122" s="438"/>
      <c r="B122" s="463"/>
      <c r="C122" s="464" t="s">
        <v>439</v>
      </c>
      <c r="D122" s="464"/>
      <c r="E122" s="604"/>
      <c r="F122" s="464" t="s">
        <v>435</v>
      </c>
      <c r="G122" s="464"/>
      <c r="H122" s="464"/>
      <c r="I122" s="464"/>
      <c r="J122" s="464" t="s">
        <v>440</v>
      </c>
      <c r="K122" s="465"/>
      <c r="L122" s="438"/>
    </row>
    <row r="123" spans="1:12">
      <c r="A123" s="438"/>
      <c r="B123" s="455" t="s">
        <v>499</v>
      </c>
      <c r="C123" s="830">
        <f>H120</f>
        <v>625000</v>
      </c>
      <c r="D123" s="830"/>
      <c r="E123" s="598" t="s">
        <v>736</v>
      </c>
      <c r="F123" s="457">
        <f>H117</f>
        <v>0.16025641025641027</v>
      </c>
      <c r="G123" s="598" t="s">
        <v>410</v>
      </c>
      <c r="H123" s="598">
        <v>1000</v>
      </c>
      <c r="I123" s="598" t="s">
        <v>409</v>
      </c>
      <c r="J123" s="596">
        <f>C123*F123/H123</f>
        <v>100.16025641025642</v>
      </c>
      <c r="K123" s="449"/>
      <c r="L123" s="438"/>
    </row>
    <row r="124" spans="1:12" ht="15" thickBot="1">
      <c r="A124" s="438"/>
      <c r="B124" s="450"/>
      <c r="C124" s="466"/>
      <c r="D124" s="466"/>
      <c r="E124" s="467"/>
      <c r="F124" s="468"/>
      <c r="G124" s="467"/>
      <c r="H124" s="467"/>
      <c r="I124" s="467"/>
      <c r="J124" s="469"/>
      <c r="K124" s="452"/>
      <c r="L124" s="438"/>
    </row>
    <row r="125" spans="1:12" ht="40.5" customHeight="1">
      <c r="A125" s="438"/>
      <c r="B125" s="831" t="s">
        <v>401</v>
      </c>
      <c r="C125" s="831"/>
      <c r="D125" s="831"/>
      <c r="E125" s="831"/>
      <c r="F125" s="831"/>
      <c r="G125" s="831"/>
      <c r="H125" s="831"/>
      <c r="I125" s="831"/>
      <c r="J125" s="831"/>
      <c r="K125" s="831"/>
      <c r="L125" s="482"/>
    </row>
    <row r="126" spans="1:12">
      <c r="A126" s="438"/>
      <c r="B126" s="827" t="s">
        <v>448</v>
      </c>
      <c r="C126" s="827"/>
      <c r="D126" s="827"/>
      <c r="E126" s="827"/>
      <c r="F126" s="827"/>
      <c r="G126" s="827"/>
      <c r="H126" s="827"/>
      <c r="I126" s="827"/>
      <c r="J126" s="827"/>
      <c r="K126" s="827"/>
      <c r="L126" s="482"/>
    </row>
    <row r="127" spans="1:12">
      <c r="A127" s="438"/>
      <c r="B127" s="600"/>
      <c r="C127" s="600"/>
      <c r="D127" s="600"/>
      <c r="E127" s="600"/>
      <c r="F127" s="600"/>
      <c r="G127" s="600"/>
      <c r="H127" s="600"/>
      <c r="I127" s="600"/>
      <c r="J127" s="600"/>
      <c r="K127" s="600"/>
      <c r="L127" s="482"/>
    </row>
    <row r="128" spans="1:12">
      <c r="A128" s="438"/>
      <c r="B128" s="827" t="s">
        <v>449</v>
      </c>
      <c r="C128" s="827"/>
      <c r="D128" s="827"/>
      <c r="E128" s="827"/>
      <c r="F128" s="827"/>
      <c r="G128" s="827"/>
      <c r="H128" s="827"/>
      <c r="I128" s="827"/>
      <c r="J128" s="827"/>
      <c r="K128" s="827"/>
      <c r="L128" s="482"/>
    </row>
    <row r="129" spans="1:12">
      <c r="A129" s="438"/>
      <c r="B129" s="597"/>
      <c r="C129" s="597"/>
      <c r="D129" s="597"/>
      <c r="E129" s="597"/>
      <c r="F129" s="597"/>
      <c r="G129" s="597"/>
      <c r="H129" s="597"/>
      <c r="I129" s="597"/>
      <c r="J129" s="597"/>
      <c r="K129" s="597"/>
      <c r="L129" s="482"/>
    </row>
    <row r="130" spans="1:12" ht="74.25" customHeight="1">
      <c r="A130" s="438"/>
      <c r="B130" s="829" t="s">
        <v>500</v>
      </c>
      <c r="C130" s="829"/>
      <c r="D130" s="829"/>
      <c r="E130" s="829"/>
      <c r="F130" s="829"/>
      <c r="G130" s="829"/>
      <c r="H130" s="829"/>
      <c r="I130" s="829"/>
      <c r="J130" s="829"/>
      <c r="K130" s="829"/>
      <c r="L130" s="482"/>
    </row>
    <row r="131" spans="1:12" ht="15" thickBot="1">
      <c r="A131" s="438"/>
      <c r="L131" s="438"/>
    </row>
    <row r="132" spans="1:12">
      <c r="A132" s="438"/>
      <c r="B132" s="443" t="s">
        <v>405</v>
      </c>
      <c r="C132" s="444"/>
      <c r="D132" s="444"/>
      <c r="E132" s="444"/>
      <c r="F132" s="444"/>
      <c r="G132" s="444"/>
      <c r="H132" s="444"/>
      <c r="I132" s="444"/>
      <c r="J132" s="444"/>
      <c r="K132" s="445"/>
      <c r="L132" s="438"/>
    </row>
    <row r="133" spans="1:12">
      <c r="A133" s="438"/>
      <c r="B133" s="455"/>
      <c r="C133" s="828" t="s">
        <v>450</v>
      </c>
      <c r="D133" s="828"/>
      <c r="E133" s="447"/>
      <c r="F133" s="598" t="s">
        <v>451</v>
      </c>
      <c r="G133" s="447"/>
      <c r="H133" s="828" t="s">
        <v>438</v>
      </c>
      <c r="I133" s="828"/>
      <c r="J133" s="447"/>
      <c r="K133" s="449"/>
      <c r="L133" s="438"/>
    </row>
    <row r="134" spans="1:12">
      <c r="A134" s="438"/>
      <c r="B134" s="455" t="s">
        <v>432</v>
      </c>
      <c r="C134" s="826">
        <v>100000</v>
      </c>
      <c r="D134" s="826"/>
      <c r="E134" s="598" t="s">
        <v>736</v>
      </c>
      <c r="F134" s="598">
        <v>0.115</v>
      </c>
      <c r="G134" s="598" t="s">
        <v>409</v>
      </c>
      <c r="H134" s="833">
        <f>C134*F134</f>
        <v>11500</v>
      </c>
      <c r="I134" s="833"/>
      <c r="J134" s="447"/>
      <c r="K134" s="449"/>
      <c r="L134" s="438"/>
    </row>
    <row r="135" spans="1:12">
      <c r="A135" s="438"/>
      <c r="B135" s="455"/>
      <c r="C135" s="447"/>
      <c r="D135" s="447"/>
      <c r="E135" s="447"/>
      <c r="F135" s="447"/>
      <c r="G135" s="447"/>
      <c r="H135" s="447"/>
      <c r="I135" s="447"/>
      <c r="J135" s="447"/>
      <c r="K135" s="449"/>
      <c r="L135" s="438"/>
    </row>
    <row r="136" spans="1:12">
      <c r="A136" s="438"/>
      <c r="B136" s="463"/>
      <c r="C136" s="825" t="s">
        <v>438</v>
      </c>
      <c r="D136" s="825"/>
      <c r="E136" s="464"/>
      <c r="F136" s="604" t="s">
        <v>452</v>
      </c>
      <c r="G136" s="604"/>
      <c r="H136" s="464"/>
      <c r="I136" s="464"/>
      <c r="J136" s="464" t="s">
        <v>453</v>
      </c>
      <c r="K136" s="465"/>
      <c r="L136" s="438"/>
    </row>
    <row r="137" spans="1:12">
      <c r="A137" s="438"/>
      <c r="B137" s="455" t="s">
        <v>437</v>
      </c>
      <c r="C137" s="833">
        <f>H134</f>
        <v>11500</v>
      </c>
      <c r="D137" s="833"/>
      <c r="E137" s="598" t="s">
        <v>736</v>
      </c>
      <c r="F137" s="483">
        <v>52.869</v>
      </c>
      <c r="G137" s="598" t="s">
        <v>410</v>
      </c>
      <c r="H137" s="598">
        <v>1000</v>
      </c>
      <c r="I137" s="598" t="s">
        <v>409</v>
      </c>
      <c r="J137" s="484">
        <f>C137*F137/H137</f>
        <v>607.99350000000004</v>
      </c>
      <c r="K137" s="449"/>
      <c r="L137" s="438"/>
    </row>
    <row r="138" spans="1:12" ht="15" thickBot="1">
      <c r="A138" s="438"/>
      <c r="B138" s="450"/>
      <c r="C138" s="582"/>
      <c r="D138" s="582"/>
      <c r="E138" s="467"/>
      <c r="F138" s="583"/>
      <c r="G138" s="467"/>
      <c r="H138" s="467"/>
      <c r="I138" s="467"/>
      <c r="J138" s="584"/>
      <c r="K138" s="452"/>
      <c r="L138" s="438"/>
    </row>
    <row r="139" spans="1:12" ht="40.5" customHeight="1">
      <c r="A139" s="438"/>
      <c r="B139" s="569" t="s">
        <v>401</v>
      </c>
      <c r="C139" s="570"/>
      <c r="D139" s="570"/>
      <c r="E139" s="571"/>
      <c r="F139" s="572"/>
      <c r="G139" s="571"/>
      <c r="H139" s="571"/>
      <c r="I139" s="571"/>
      <c r="J139" s="573"/>
      <c r="K139" s="574"/>
      <c r="L139" s="438"/>
    </row>
    <row r="140" spans="1:12">
      <c r="A140" s="438"/>
      <c r="B140" s="575" t="s">
        <v>501</v>
      </c>
      <c r="C140" s="576"/>
      <c r="D140" s="576"/>
      <c r="E140" s="577"/>
      <c r="F140" s="578"/>
      <c r="G140" s="577"/>
      <c r="H140" s="577"/>
      <c r="I140" s="577"/>
      <c r="J140" s="579"/>
      <c r="K140" s="580"/>
      <c r="L140" s="438"/>
    </row>
    <row r="141" spans="1:12">
      <c r="A141" s="438"/>
      <c r="B141" s="455"/>
      <c r="C141" s="595"/>
      <c r="D141" s="595"/>
      <c r="E141" s="598"/>
      <c r="F141" s="585"/>
      <c r="G141" s="598"/>
      <c r="H141" s="598"/>
      <c r="I141" s="598"/>
      <c r="J141" s="484"/>
      <c r="K141" s="449"/>
      <c r="L141" s="438"/>
    </row>
    <row r="142" spans="1:12">
      <c r="A142" s="438"/>
      <c r="B142" s="575" t="s">
        <v>502</v>
      </c>
      <c r="C142" s="576"/>
      <c r="D142" s="576"/>
      <c r="E142" s="577"/>
      <c r="F142" s="578"/>
      <c r="G142" s="577"/>
      <c r="H142" s="577"/>
      <c r="I142" s="577"/>
      <c r="J142" s="579"/>
      <c r="K142" s="580"/>
      <c r="L142" s="438"/>
    </row>
    <row r="143" spans="1:12">
      <c r="A143" s="438"/>
      <c r="B143" s="455"/>
      <c r="C143" s="595"/>
      <c r="D143" s="595"/>
      <c r="E143" s="598"/>
      <c r="F143" s="585"/>
      <c r="G143" s="598"/>
      <c r="H143" s="598"/>
      <c r="I143" s="598"/>
      <c r="J143" s="484"/>
      <c r="K143" s="449"/>
      <c r="L143" s="438"/>
    </row>
    <row r="144" spans="1:12" ht="76.5" customHeight="1">
      <c r="A144" s="438"/>
      <c r="B144" s="852" t="s">
        <v>503</v>
      </c>
      <c r="C144" s="853"/>
      <c r="D144" s="853"/>
      <c r="E144" s="853"/>
      <c r="F144" s="853"/>
      <c r="G144" s="853"/>
      <c r="H144" s="853"/>
      <c r="I144" s="853"/>
      <c r="J144" s="853"/>
      <c r="K144" s="854"/>
      <c r="L144" s="438"/>
    </row>
    <row r="145" spans="1:12" ht="15" thickBot="1">
      <c r="A145" s="438"/>
      <c r="B145" s="455"/>
      <c r="C145" s="595"/>
      <c r="D145" s="595"/>
      <c r="E145" s="598"/>
      <c r="F145" s="585"/>
      <c r="G145" s="598"/>
      <c r="H145" s="598"/>
      <c r="I145" s="598"/>
      <c r="J145" s="484"/>
      <c r="K145" s="449"/>
      <c r="L145" s="438"/>
    </row>
    <row r="146" spans="1:12">
      <c r="A146" s="438"/>
      <c r="B146" s="443" t="s">
        <v>405</v>
      </c>
      <c r="C146" s="586"/>
      <c r="D146" s="586"/>
      <c r="E146" s="587"/>
      <c r="F146" s="588"/>
      <c r="G146" s="587"/>
      <c r="H146" s="587"/>
      <c r="I146" s="587"/>
      <c r="J146" s="589"/>
      <c r="K146" s="445"/>
      <c r="L146" s="438"/>
    </row>
    <row r="147" spans="1:12">
      <c r="A147" s="438"/>
      <c r="B147" s="455"/>
      <c r="C147" s="833" t="s">
        <v>504</v>
      </c>
      <c r="D147" s="833"/>
      <c r="E147" s="598"/>
      <c r="F147" s="585" t="s">
        <v>505</v>
      </c>
      <c r="G147" s="598"/>
      <c r="H147" s="598"/>
      <c r="I147" s="598"/>
      <c r="J147" s="850" t="s">
        <v>506</v>
      </c>
      <c r="K147" s="855"/>
      <c r="L147" s="438"/>
    </row>
    <row r="148" spans="1:12">
      <c r="A148" s="438"/>
      <c r="B148" s="455"/>
      <c r="C148" s="849">
        <v>52.869</v>
      </c>
      <c r="D148" s="849"/>
      <c r="E148" s="598" t="s">
        <v>736</v>
      </c>
      <c r="F148" s="599">
        <v>312000000</v>
      </c>
      <c r="G148" s="590" t="s">
        <v>410</v>
      </c>
      <c r="H148" s="598">
        <v>1000</v>
      </c>
      <c r="I148" s="598" t="s">
        <v>409</v>
      </c>
      <c r="J148" s="850">
        <f>C148*(F148/1000)</f>
        <v>16495128</v>
      </c>
      <c r="K148" s="851"/>
      <c r="L148" s="438"/>
    </row>
    <row r="149" spans="1:12" ht="15" thickBot="1">
      <c r="A149" s="438"/>
      <c r="B149" s="450"/>
      <c r="C149" s="582"/>
      <c r="D149" s="582"/>
      <c r="E149" s="467"/>
      <c r="F149" s="583"/>
      <c r="G149" s="467"/>
      <c r="H149" s="467"/>
      <c r="I149" s="467"/>
      <c r="J149" s="584"/>
      <c r="K149" s="452"/>
      <c r="L149" s="438"/>
    </row>
    <row r="150" spans="1:12" ht="15" thickBot="1">
      <c r="A150" s="438"/>
      <c r="B150" s="450"/>
      <c r="C150" s="451"/>
      <c r="D150" s="451"/>
      <c r="E150" s="451"/>
      <c r="F150" s="451"/>
      <c r="G150" s="451"/>
      <c r="H150" s="451"/>
      <c r="I150" s="451"/>
      <c r="J150" s="451"/>
      <c r="K150" s="452"/>
      <c r="L150" s="438"/>
    </row>
    <row r="151" spans="1:12">
      <c r="A151" s="438"/>
      <c r="B151" s="438"/>
      <c r="C151" s="438"/>
      <c r="D151" s="438"/>
      <c r="E151" s="438"/>
      <c r="F151" s="438"/>
      <c r="G151" s="438"/>
      <c r="H151" s="438"/>
      <c r="I151" s="438"/>
      <c r="J151" s="438"/>
      <c r="K151" s="438"/>
      <c r="L151" s="438"/>
    </row>
    <row r="152" spans="1:12">
      <c r="A152" s="438"/>
      <c r="B152" s="438"/>
      <c r="C152" s="438"/>
      <c r="D152" s="438"/>
      <c r="E152" s="438"/>
      <c r="F152" s="438"/>
      <c r="G152" s="438"/>
      <c r="H152" s="438"/>
      <c r="I152" s="438"/>
      <c r="J152" s="438"/>
      <c r="K152" s="438"/>
      <c r="L152" s="438"/>
    </row>
    <row r="153" spans="1:12">
      <c r="A153" s="438"/>
      <c r="B153" s="438"/>
      <c r="C153" s="438"/>
      <c r="D153" s="438"/>
      <c r="E153" s="438"/>
      <c r="F153" s="438"/>
      <c r="G153" s="438"/>
      <c r="H153" s="438"/>
      <c r="I153" s="438"/>
      <c r="J153" s="438"/>
      <c r="K153" s="438"/>
      <c r="L153" s="438"/>
    </row>
    <row r="154" spans="1:12">
      <c r="A154" s="485"/>
      <c r="B154" s="485"/>
      <c r="C154" s="485"/>
      <c r="D154" s="485"/>
      <c r="E154" s="485"/>
      <c r="F154" s="485"/>
      <c r="G154" s="485"/>
      <c r="H154" s="485"/>
      <c r="I154" s="485"/>
      <c r="J154" s="485"/>
      <c r="K154" s="485"/>
      <c r="L154" s="485"/>
    </row>
    <row r="155" spans="1:12">
      <c r="A155" s="485"/>
      <c r="B155" s="485"/>
      <c r="C155" s="485"/>
      <c r="D155" s="485"/>
      <c r="E155" s="485"/>
      <c r="F155" s="485"/>
      <c r="G155" s="485"/>
      <c r="H155" s="485"/>
      <c r="I155" s="485"/>
      <c r="J155" s="485"/>
      <c r="K155" s="485"/>
      <c r="L155" s="485"/>
    </row>
    <row r="156" spans="1:12">
      <c r="A156" s="485"/>
      <c r="B156" s="485"/>
      <c r="C156" s="485"/>
      <c r="D156" s="485"/>
      <c r="E156" s="485"/>
      <c r="F156" s="485"/>
      <c r="G156" s="485"/>
      <c r="H156" s="485"/>
      <c r="I156" s="485"/>
      <c r="J156" s="485"/>
      <c r="K156" s="485"/>
      <c r="L156" s="485"/>
    </row>
    <row r="157" spans="1:12">
      <c r="A157" s="485"/>
      <c r="B157" s="485"/>
      <c r="C157" s="485"/>
      <c r="D157" s="485"/>
      <c r="E157" s="485"/>
      <c r="F157" s="485"/>
      <c r="G157" s="485"/>
      <c r="H157" s="485"/>
      <c r="I157" s="485"/>
      <c r="J157" s="485"/>
      <c r="K157" s="485"/>
      <c r="L157" s="485"/>
    </row>
    <row r="158" spans="1:12">
      <c r="A158" s="485"/>
      <c r="B158" s="485"/>
      <c r="C158" s="485"/>
      <c r="D158" s="485"/>
      <c r="E158" s="485"/>
      <c r="F158" s="485"/>
      <c r="G158" s="485"/>
      <c r="H158" s="485"/>
      <c r="I158" s="485"/>
      <c r="J158" s="485"/>
      <c r="K158" s="485"/>
      <c r="L158" s="485"/>
    </row>
    <row r="159" spans="1:12">
      <c r="A159" s="485"/>
      <c r="B159" s="485"/>
      <c r="C159" s="485"/>
      <c r="D159" s="485"/>
      <c r="E159" s="485"/>
      <c r="F159" s="485"/>
      <c r="G159" s="485"/>
      <c r="H159" s="485"/>
      <c r="I159" s="485"/>
      <c r="J159" s="485"/>
      <c r="K159" s="485"/>
      <c r="L159" s="485"/>
    </row>
    <row r="160" spans="1:12">
      <c r="A160" s="485"/>
      <c r="B160" s="485"/>
      <c r="C160" s="485"/>
      <c r="D160" s="485"/>
      <c r="E160" s="485"/>
      <c r="F160" s="485"/>
      <c r="G160" s="485"/>
      <c r="H160" s="485"/>
      <c r="I160" s="485"/>
      <c r="J160" s="485"/>
      <c r="K160" s="485"/>
      <c r="L160" s="485"/>
    </row>
    <row r="161" spans="1:12">
      <c r="A161" s="485"/>
      <c r="B161" s="485"/>
      <c r="C161" s="485"/>
      <c r="D161" s="485"/>
      <c r="E161" s="485"/>
      <c r="F161" s="485"/>
      <c r="G161" s="485"/>
      <c r="H161" s="485"/>
      <c r="I161" s="485"/>
      <c r="J161" s="485"/>
      <c r="K161" s="485"/>
      <c r="L161" s="485"/>
    </row>
    <row r="162" spans="1:12">
      <c r="A162" s="485"/>
      <c r="B162" s="485"/>
      <c r="C162" s="485"/>
      <c r="D162" s="485"/>
      <c r="E162" s="485"/>
      <c r="F162" s="485"/>
      <c r="G162" s="485"/>
      <c r="H162" s="485"/>
      <c r="I162" s="485"/>
      <c r="J162" s="485"/>
      <c r="K162" s="485"/>
      <c r="L162" s="485"/>
    </row>
    <row r="163" spans="1:12">
      <c r="A163" s="485"/>
      <c r="B163" s="485"/>
      <c r="C163" s="485"/>
      <c r="D163" s="485"/>
      <c r="E163" s="485"/>
      <c r="F163" s="485"/>
      <c r="G163" s="485"/>
      <c r="H163" s="485"/>
      <c r="I163" s="485"/>
      <c r="J163" s="485"/>
      <c r="K163" s="485"/>
      <c r="L163" s="485"/>
    </row>
    <row r="164" spans="1:12">
      <c r="A164" s="485"/>
      <c r="B164" s="485"/>
      <c r="C164" s="485"/>
      <c r="D164" s="485"/>
      <c r="E164" s="485"/>
      <c r="F164" s="485"/>
      <c r="G164" s="485"/>
      <c r="H164" s="485"/>
      <c r="I164" s="485"/>
      <c r="J164" s="485"/>
      <c r="K164" s="485"/>
      <c r="L164" s="485"/>
    </row>
    <row r="165" spans="1:12">
      <c r="A165" s="485"/>
      <c r="B165" s="485"/>
      <c r="C165" s="485"/>
      <c r="D165" s="485"/>
      <c r="E165" s="485"/>
      <c r="F165" s="485"/>
      <c r="G165" s="485"/>
      <c r="H165" s="485"/>
      <c r="I165" s="485"/>
      <c r="J165" s="485"/>
      <c r="K165" s="485"/>
      <c r="L165" s="485"/>
    </row>
    <row r="166" spans="1:12">
      <c r="A166" s="485"/>
      <c r="B166" s="485"/>
      <c r="C166" s="485"/>
      <c r="D166" s="485"/>
      <c r="E166" s="485"/>
      <c r="F166" s="485"/>
      <c r="G166" s="485"/>
      <c r="H166" s="485"/>
      <c r="I166" s="485"/>
      <c r="J166" s="485"/>
      <c r="K166" s="485"/>
      <c r="L166" s="485"/>
    </row>
    <row r="167" spans="1:12">
      <c r="A167" s="485"/>
      <c r="B167" s="485"/>
      <c r="C167" s="485"/>
      <c r="D167" s="485"/>
      <c r="E167" s="485"/>
      <c r="F167" s="485"/>
      <c r="G167" s="485"/>
      <c r="H167" s="485"/>
      <c r="I167" s="485"/>
      <c r="J167" s="485"/>
      <c r="K167" s="485"/>
      <c r="L167" s="485"/>
    </row>
    <row r="168" spans="1:12">
      <c r="A168" s="485"/>
      <c r="B168" s="485"/>
      <c r="C168" s="485"/>
      <c r="D168" s="485"/>
      <c r="E168" s="485"/>
      <c r="F168" s="485"/>
      <c r="G168" s="485"/>
      <c r="H168" s="485"/>
      <c r="I168" s="485"/>
      <c r="J168" s="485"/>
      <c r="K168" s="485"/>
      <c r="L168" s="485"/>
    </row>
    <row r="169" spans="1:12">
      <c r="A169" s="485"/>
      <c r="B169" s="485"/>
      <c r="C169" s="485"/>
      <c r="D169" s="485"/>
      <c r="E169" s="485"/>
      <c r="F169" s="485"/>
      <c r="G169" s="485"/>
      <c r="H169" s="485"/>
      <c r="I169" s="485"/>
      <c r="J169" s="485"/>
      <c r="K169" s="485"/>
      <c r="L169" s="485"/>
    </row>
    <row r="170" spans="1:12">
      <c r="A170" s="485"/>
      <c r="B170" s="485"/>
      <c r="C170" s="485"/>
      <c r="D170" s="485"/>
      <c r="E170" s="485"/>
      <c r="F170" s="485"/>
      <c r="G170" s="485"/>
      <c r="H170" s="485"/>
      <c r="I170" s="485"/>
      <c r="J170" s="485"/>
      <c r="K170" s="485"/>
      <c r="L170" s="485"/>
    </row>
    <row r="171" spans="1:12">
      <c r="A171" s="485"/>
      <c r="B171" s="485"/>
      <c r="C171" s="485"/>
      <c r="D171" s="485"/>
      <c r="E171" s="485"/>
      <c r="F171" s="485"/>
      <c r="G171" s="485"/>
      <c r="H171" s="485"/>
      <c r="I171" s="485"/>
      <c r="J171" s="485"/>
      <c r="K171" s="485"/>
      <c r="L171" s="485"/>
    </row>
    <row r="172" spans="1:12">
      <c r="A172" s="485"/>
      <c r="B172" s="485"/>
      <c r="C172" s="485"/>
      <c r="D172" s="485"/>
      <c r="E172" s="485"/>
      <c r="F172" s="485"/>
      <c r="G172" s="485"/>
      <c r="H172" s="485"/>
      <c r="I172" s="485"/>
      <c r="J172" s="485"/>
      <c r="K172" s="485"/>
      <c r="L172" s="485"/>
    </row>
    <row r="173" spans="1:12">
      <c r="A173" s="485"/>
      <c r="B173" s="485"/>
      <c r="C173" s="485"/>
      <c r="D173" s="485"/>
      <c r="E173" s="485"/>
      <c r="F173" s="485"/>
      <c r="G173" s="485"/>
      <c r="H173" s="485"/>
      <c r="I173" s="485"/>
      <c r="J173" s="485"/>
      <c r="K173" s="485"/>
      <c r="L173" s="485"/>
    </row>
    <row r="174" spans="1:12">
      <c r="A174" s="485"/>
      <c r="B174" s="485"/>
      <c r="C174" s="485"/>
      <c r="D174" s="485"/>
      <c r="E174" s="485"/>
      <c r="F174" s="485"/>
      <c r="G174" s="485"/>
      <c r="H174" s="485"/>
      <c r="I174" s="485"/>
      <c r="J174" s="485"/>
      <c r="K174" s="485"/>
      <c r="L174" s="485"/>
    </row>
    <row r="175" spans="1:12">
      <c r="A175" s="485"/>
      <c r="B175" s="485"/>
      <c r="C175" s="485"/>
      <c r="D175" s="485"/>
      <c r="E175" s="485"/>
      <c r="F175" s="485"/>
      <c r="G175" s="485"/>
      <c r="H175" s="485"/>
      <c r="I175" s="485"/>
      <c r="J175" s="485"/>
      <c r="K175" s="485"/>
      <c r="L175" s="485"/>
    </row>
    <row r="176" spans="1:12">
      <c r="A176" s="485"/>
      <c r="B176" s="485"/>
      <c r="C176" s="485"/>
      <c r="D176" s="485"/>
      <c r="E176" s="485"/>
      <c r="F176" s="485"/>
      <c r="G176" s="485"/>
      <c r="H176" s="485"/>
      <c r="I176" s="485"/>
      <c r="J176" s="485"/>
      <c r="K176" s="485"/>
      <c r="L176" s="485"/>
    </row>
    <row r="177" spans="1:12">
      <c r="A177" s="485"/>
      <c r="B177" s="485"/>
      <c r="C177" s="485"/>
      <c r="D177" s="485"/>
      <c r="E177" s="485"/>
      <c r="F177" s="485"/>
      <c r="G177" s="485"/>
      <c r="H177" s="485"/>
      <c r="I177" s="485"/>
      <c r="J177" s="485"/>
      <c r="K177" s="485"/>
      <c r="L177" s="485"/>
    </row>
    <row r="178" spans="1:12">
      <c r="A178" s="485"/>
      <c r="B178" s="485"/>
      <c r="C178" s="485"/>
      <c r="D178" s="485"/>
      <c r="E178" s="485"/>
      <c r="F178" s="485"/>
      <c r="G178" s="485"/>
      <c r="H178" s="485"/>
      <c r="I178" s="485"/>
      <c r="J178" s="485"/>
      <c r="K178" s="485"/>
      <c r="L178" s="485"/>
    </row>
    <row r="179" spans="1:12">
      <c r="A179" s="485"/>
      <c r="B179" s="485"/>
      <c r="C179" s="485"/>
      <c r="D179" s="485"/>
      <c r="E179" s="485"/>
      <c r="F179" s="485"/>
      <c r="G179" s="485"/>
      <c r="H179" s="485"/>
      <c r="I179" s="485"/>
      <c r="J179" s="485"/>
      <c r="K179" s="485"/>
      <c r="L179" s="485"/>
    </row>
    <row r="180" spans="1:12">
      <c r="A180" s="485"/>
      <c r="B180" s="485"/>
      <c r="C180" s="485"/>
      <c r="D180" s="485"/>
      <c r="E180" s="485"/>
      <c r="F180" s="485"/>
      <c r="G180" s="485"/>
      <c r="H180" s="485"/>
      <c r="I180" s="485"/>
      <c r="J180" s="485"/>
      <c r="K180" s="485"/>
      <c r="L180" s="485"/>
    </row>
    <row r="181" spans="1:12">
      <c r="A181" s="485"/>
      <c r="B181" s="485"/>
      <c r="C181" s="485"/>
      <c r="D181" s="485"/>
      <c r="E181" s="485"/>
      <c r="F181" s="485"/>
      <c r="G181" s="485"/>
      <c r="H181" s="485"/>
      <c r="I181" s="485"/>
      <c r="J181" s="485"/>
      <c r="K181" s="485"/>
      <c r="L181" s="485"/>
    </row>
    <row r="182" spans="1:12">
      <c r="A182" s="485"/>
      <c r="B182" s="485"/>
      <c r="C182" s="485"/>
      <c r="D182" s="485"/>
      <c r="E182" s="485"/>
      <c r="F182" s="485"/>
      <c r="G182" s="485"/>
      <c r="H182" s="485"/>
      <c r="I182" s="485"/>
      <c r="J182" s="485"/>
      <c r="K182" s="485"/>
      <c r="L182" s="485"/>
    </row>
    <row r="183" spans="1:12">
      <c r="A183" s="485"/>
      <c r="B183" s="485"/>
      <c r="C183" s="485"/>
      <c r="D183" s="485"/>
      <c r="E183" s="485"/>
      <c r="F183" s="485"/>
      <c r="G183" s="485"/>
      <c r="H183" s="485"/>
      <c r="I183" s="485"/>
      <c r="J183" s="485"/>
      <c r="K183" s="485"/>
      <c r="L183" s="485"/>
    </row>
    <row r="184" spans="1:12">
      <c r="A184" s="485"/>
      <c r="B184" s="485"/>
      <c r="C184" s="485"/>
      <c r="D184" s="485"/>
      <c r="E184" s="485"/>
      <c r="F184" s="485"/>
      <c r="G184" s="485"/>
      <c r="H184" s="485"/>
      <c r="I184" s="485"/>
      <c r="J184" s="485"/>
      <c r="K184" s="485"/>
      <c r="L184" s="485"/>
    </row>
    <row r="185" spans="1:12">
      <c r="A185" s="485"/>
      <c r="B185" s="485"/>
      <c r="C185" s="485"/>
      <c r="D185" s="485"/>
      <c r="E185" s="485"/>
      <c r="F185" s="485"/>
      <c r="G185" s="485"/>
      <c r="H185" s="485"/>
      <c r="I185" s="485"/>
      <c r="J185" s="485"/>
      <c r="K185" s="485"/>
      <c r="L185" s="485"/>
    </row>
    <row r="186" spans="1:12">
      <c r="A186" s="485"/>
      <c r="B186" s="485"/>
      <c r="C186" s="485"/>
      <c r="D186" s="485"/>
      <c r="E186" s="485"/>
      <c r="F186" s="485"/>
      <c r="G186" s="485"/>
      <c r="H186" s="485"/>
      <c r="I186" s="485"/>
      <c r="J186" s="485"/>
      <c r="K186" s="485"/>
      <c r="L186" s="485"/>
    </row>
    <row r="187" spans="1:12">
      <c r="A187" s="485"/>
      <c r="B187" s="485"/>
      <c r="C187" s="485"/>
      <c r="D187" s="485"/>
      <c r="E187" s="485"/>
      <c r="F187" s="485"/>
      <c r="G187" s="485"/>
      <c r="H187" s="485"/>
      <c r="I187" s="485"/>
      <c r="J187" s="485"/>
      <c r="K187" s="485"/>
      <c r="L187" s="485"/>
    </row>
    <row r="188" spans="1:12">
      <c r="A188" s="485"/>
      <c r="B188" s="485"/>
      <c r="C188" s="485"/>
      <c r="D188" s="485"/>
      <c r="E188" s="485"/>
      <c r="F188" s="485"/>
      <c r="G188" s="485"/>
      <c r="H188" s="485"/>
      <c r="I188" s="485"/>
      <c r="J188" s="485"/>
      <c r="K188" s="485"/>
      <c r="L188" s="485"/>
    </row>
    <row r="189" spans="1:12">
      <c r="A189" s="485"/>
      <c r="B189" s="485"/>
      <c r="C189" s="485"/>
      <c r="D189" s="485"/>
      <c r="E189" s="485"/>
      <c r="F189" s="485"/>
      <c r="G189" s="485"/>
      <c r="H189" s="485"/>
      <c r="I189" s="485"/>
      <c r="J189" s="485"/>
      <c r="K189" s="485"/>
      <c r="L189" s="485"/>
    </row>
    <row r="190" spans="1:12">
      <c r="A190" s="485"/>
      <c r="B190" s="485"/>
      <c r="C190" s="485"/>
      <c r="D190" s="485"/>
      <c r="E190" s="485"/>
      <c r="F190" s="485"/>
      <c r="G190" s="485"/>
      <c r="H190" s="485"/>
      <c r="I190" s="485"/>
      <c r="J190" s="485"/>
      <c r="K190" s="485"/>
      <c r="L190" s="485"/>
    </row>
    <row r="191" spans="1:12">
      <c r="A191" s="485"/>
      <c r="B191" s="485"/>
      <c r="C191" s="485"/>
      <c r="D191" s="485"/>
      <c r="E191" s="485"/>
      <c r="F191" s="485"/>
      <c r="G191" s="485"/>
      <c r="H191" s="485"/>
      <c r="I191" s="485"/>
      <c r="J191" s="485"/>
      <c r="K191" s="485"/>
      <c r="L191" s="485"/>
    </row>
    <row r="192" spans="1:12">
      <c r="A192" s="485"/>
      <c r="B192" s="485"/>
      <c r="C192" s="485"/>
      <c r="D192" s="485"/>
      <c r="E192" s="485"/>
      <c r="F192" s="485"/>
      <c r="G192" s="485"/>
      <c r="H192" s="485"/>
      <c r="I192" s="485"/>
      <c r="J192" s="485"/>
      <c r="K192" s="485"/>
      <c r="L192" s="485"/>
    </row>
    <row r="193" spans="1:12">
      <c r="A193" s="485"/>
      <c r="B193" s="485"/>
      <c r="C193" s="485"/>
      <c r="D193" s="485"/>
      <c r="E193" s="485"/>
      <c r="F193" s="485"/>
      <c r="G193" s="485"/>
      <c r="H193" s="485"/>
      <c r="I193" s="485"/>
      <c r="J193" s="485"/>
      <c r="K193" s="485"/>
      <c r="L193" s="485"/>
    </row>
    <row r="194" spans="1:12">
      <c r="A194" s="485"/>
      <c r="B194" s="485"/>
      <c r="C194" s="485"/>
      <c r="D194" s="485"/>
      <c r="E194" s="485"/>
      <c r="F194" s="485"/>
      <c r="G194" s="485"/>
      <c r="H194" s="485"/>
      <c r="I194" s="485"/>
      <c r="J194" s="485"/>
      <c r="K194" s="485"/>
      <c r="L194" s="485"/>
    </row>
    <row r="195" spans="1:12">
      <c r="A195" s="485"/>
      <c r="B195" s="485"/>
      <c r="C195" s="485"/>
      <c r="D195" s="485"/>
      <c r="E195" s="485"/>
      <c r="F195" s="485"/>
      <c r="G195" s="485"/>
      <c r="H195" s="485"/>
      <c r="I195" s="485"/>
      <c r="J195" s="485"/>
      <c r="K195" s="485"/>
      <c r="L195" s="485"/>
    </row>
    <row r="196" spans="1:12">
      <c r="A196" s="485"/>
      <c r="B196" s="485"/>
      <c r="C196" s="485"/>
      <c r="D196" s="485"/>
      <c r="E196" s="485"/>
      <c r="F196" s="485"/>
      <c r="G196" s="485"/>
      <c r="H196" s="485"/>
      <c r="I196" s="485"/>
      <c r="J196" s="485"/>
      <c r="K196" s="485"/>
      <c r="L196" s="485"/>
    </row>
    <row r="197" spans="1:12">
      <c r="A197" s="485"/>
      <c r="B197" s="485"/>
      <c r="C197" s="485"/>
      <c r="D197" s="485"/>
      <c r="E197" s="485"/>
      <c r="F197" s="485"/>
      <c r="G197" s="485"/>
      <c r="H197" s="485"/>
      <c r="I197" s="485"/>
      <c r="J197" s="485"/>
      <c r="K197" s="485"/>
      <c r="L197" s="485"/>
    </row>
    <row r="198" spans="1:12">
      <c r="A198" s="485"/>
      <c r="B198" s="485"/>
      <c r="C198" s="485"/>
      <c r="D198" s="485"/>
      <c r="E198" s="485"/>
      <c r="F198" s="485"/>
      <c r="G198" s="485"/>
      <c r="H198" s="485"/>
      <c r="I198" s="485"/>
      <c r="J198" s="485"/>
      <c r="K198" s="485"/>
      <c r="L198" s="485"/>
    </row>
    <row r="199" spans="1:12">
      <c r="A199" s="485"/>
      <c r="B199" s="485"/>
      <c r="C199" s="485"/>
      <c r="D199" s="485"/>
      <c r="E199" s="485"/>
      <c r="F199" s="485"/>
      <c r="G199" s="485"/>
      <c r="H199" s="485"/>
      <c r="I199" s="485"/>
      <c r="J199" s="485"/>
      <c r="K199" s="485"/>
      <c r="L199" s="485"/>
    </row>
    <row r="200" spans="1:12">
      <c r="A200" s="485"/>
      <c r="B200" s="485"/>
      <c r="C200" s="485"/>
      <c r="D200" s="485"/>
      <c r="E200" s="485"/>
      <c r="F200" s="485"/>
      <c r="G200" s="485"/>
      <c r="H200" s="485"/>
      <c r="I200" s="485"/>
      <c r="J200" s="485"/>
      <c r="K200" s="485"/>
      <c r="L200" s="485"/>
    </row>
    <row r="201" spans="1:12">
      <c r="A201" s="485"/>
      <c r="B201" s="485"/>
      <c r="C201" s="485"/>
      <c r="D201" s="485"/>
      <c r="E201" s="485"/>
      <c r="F201" s="485"/>
      <c r="G201" s="485"/>
      <c r="H201" s="485"/>
      <c r="I201" s="485"/>
      <c r="J201" s="485"/>
      <c r="K201" s="485"/>
      <c r="L201" s="485"/>
    </row>
    <row r="202" spans="1:12">
      <c r="A202" s="485"/>
      <c r="B202" s="485"/>
      <c r="C202" s="485"/>
      <c r="D202" s="485"/>
      <c r="E202" s="485"/>
      <c r="F202" s="485"/>
      <c r="G202" s="485"/>
      <c r="H202" s="485"/>
      <c r="I202" s="485"/>
      <c r="J202" s="485"/>
      <c r="K202" s="485"/>
      <c r="L202" s="485"/>
    </row>
    <row r="203" spans="1:12">
      <c r="A203" s="485"/>
      <c r="B203" s="485"/>
      <c r="C203" s="485"/>
      <c r="D203" s="485"/>
      <c r="E203" s="485"/>
      <c r="F203" s="485"/>
      <c r="G203" s="485"/>
      <c r="H203" s="485"/>
      <c r="I203" s="485"/>
      <c r="J203" s="485"/>
      <c r="K203" s="485"/>
      <c r="L203" s="485"/>
    </row>
    <row r="204" spans="1:12">
      <c r="A204" s="485"/>
      <c r="B204" s="485"/>
      <c r="C204" s="485"/>
      <c r="D204" s="485"/>
      <c r="E204" s="485"/>
      <c r="F204" s="485"/>
      <c r="G204" s="485"/>
      <c r="H204" s="485"/>
      <c r="I204" s="485"/>
      <c r="J204" s="485"/>
      <c r="K204" s="485"/>
      <c r="L204" s="485"/>
    </row>
    <row r="205" spans="1:12">
      <c r="A205" s="485"/>
      <c r="B205" s="485"/>
      <c r="C205" s="485"/>
      <c r="D205" s="485"/>
      <c r="E205" s="485"/>
      <c r="F205" s="485"/>
      <c r="G205" s="485"/>
      <c r="H205" s="485"/>
      <c r="I205" s="485"/>
      <c r="J205" s="485"/>
      <c r="K205" s="485"/>
      <c r="L205" s="485"/>
    </row>
    <row r="206" spans="1:12">
      <c r="A206" s="485"/>
      <c r="B206" s="485"/>
      <c r="C206" s="485"/>
      <c r="D206" s="485"/>
      <c r="E206" s="485"/>
      <c r="F206" s="485"/>
      <c r="G206" s="485"/>
      <c r="H206" s="485"/>
      <c r="I206" s="485"/>
      <c r="J206" s="485"/>
      <c r="K206" s="485"/>
      <c r="L206" s="485"/>
    </row>
    <row r="207" spans="1:12">
      <c r="A207" s="485"/>
      <c r="B207" s="485"/>
      <c r="C207" s="485"/>
      <c r="D207" s="485"/>
      <c r="E207" s="485"/>
      <c r="F207" s="485"/>
      <c r="G207" s="485"/>
      <c r="H207" s="485"/>
      <c r="I207" s="485"/>
      <c r="J207" s="485"/>
      <c r="K207" s="485"/>
      <c r="L207" s="485"/>
    </row>
    <row r="208" spans="1:12">
      <c r="A208" s="485"/>
      <c r="B208" s="485"/>
      <c r="C208" s="485"/>
      <c r="D208" s="485"/>
      <c r="E208" s="485"/>
      <c r="F208" s="485"/>
      <c r="G208" s="485"/>
      <c r="H208" s="485"/>
      <c r="I208" s="485"/>
      <c r="J208" s="485"/>
      <c r="K208" s="485"/>
      <c r="L208" s="485"/>
    </row>
    <row r="209" spans="1:12">
      <c r="A209" s="485"/>
      <c r="B209" s="485"/>
      <c r="C209" s="485"/>
      <c r="D209" s="485"/>
      <c r="E209" s="485"/>
      <c r="F209" s="485"/>
      <c r="G209" s="485"/>
      <c r="H209" s="485"/>
      <c r="I209" s="485"/>
      <c r="J209" s="485"/>
      <c r="K209" s="485"/>
      <c r="L209" s="485"/>
    </row>
    <row r="210" spans="1:12">
      <c r="A210" s="485"/>
      <c r="B210" s="485"/>
      <c r="C210" s="485"/>
      <c r="D210" s="485"/>
      <c r="E210" s="485"/>
      <c r="F210" s="485"/>
      <c r="G210" s="485"/>
      <c r="H210" s="485"/>
      <c r="I210" s="485"/>
      <c r="J210" s="485"/>
      <c r="K210" s="485"/>
      <c r="L210" s="485"/>
    </row>
    <row r="211" spans="1:12">
      <c r="A211" s="485"/>
      <c r="B211" s="485"/>
      <c r="C211" s="485"/>
      <c r="D211" s="485"/>
      <c r="E211" s="485"/>
      <c r="F211" s="485"/>
      <c r="G211" s="485"/>
      <c r="H211" s="485"/>
      <c r="I211" s="485"/>
      <c r="J211" s="485"/>
      <c r="K211" s="485"/>
      <c r="L211" s="485"/>
    </row>
    <row r="212" spans="1:12">
      <c r="A212" s="485"/>
      <c r="B212" s="485"/>
      <c r="C212" s="485"/>
      <c r="D212" s="485"/>
      <c r="E212" s="485"/>
      <c r="F212" s="485"/>
      <c r="G212" s="485"/>
      <c r="H212" s="485"/>
      <c r="I212" s="485"/>
      <c r="J212" s="485"/>
      <c r="K212" s="485"/>
      <c r="L212" s="485"/>
    </row>
    <row r="213" spans="1:12">
      <c r="A213" s="485"/>
      <c r="B213" s="485"/>
      <c r="C213" s="485"/>
      <c r="D213" s="485"/>
      <c r="E213" s="485"/>
      <c r="F213" s="485"/>
      <c r="G213" s="485"/>
      <c r="H213" s="485"/>
      <c r="I213" s="485"/>
      <c r="J213" s="485"/>
      <c r="K213" s="485"/>
      <c r="L213" s="485"/>
    </row>
    <row r="214" spans="1:12">
      <c r="A214" s="485"/>
      <c r="B214" s="485"/>
      <c r="C214" s="485"/>
      <c r="D214" s="485"/>
      <c r="E214" s="485"/>
      <c r="F214" s="485"/>
      <c r="G214" s="485"/>
      <c r="H214" s="485"/>
      <c r="I214" s="485"/>
      <c r="J214" s="485"/>
      <c r="K214" s="485"/>
      <c r="L214" s="485"/>
    </row>
    <row r="215" spans="1:12">
      <c r="A215" s="485"/>
      <c r="B215" s="485"/>
      <c r="C215" s="485"/>
      <c r="D215" s="485"/>
      <c r="E215" s="485"/>
      <c r="F215" s="485"/>
      <c r="G215" s="485"/>
      <c r="H215" s="485"/>
      <c r="I215" s="485"/>
      <c r="J215" s="485"/>
      <c r="K215" s="485"/>
      <c r="L215" s="485"/>
    </row>
    <row r="216" spans="1:12">
      <c r="A216" s="485"/>
      <c r="B216" s="485"/>
      <c r="C216" s="485"/>
      <c r="D216" s="485"/>
      <c r="E216" s="485"/>
      <c r="F216" s="485"/>
      <c r="G216" s="485"/>
      <c r="H216" s="485"/>
      <c r="I216" s="485"/>
      <c r="J216" s="485"/>
      <c r="K216" s="485"/>
      <c r="L216" s="485"/>
    </row>
    <row r="217" spans="1:12">
      <c r="A217" s="485"/>
      <c r="B217" s="485"/>
      <c r="C217" s="485"/>
      <c r="D217" s="485"/>
      <c r="E217" s="485"/>
      <c r="F217" s="485"/>
      <c r="G217" s="485"/>
      <c r="H217" s="485"/>
      <c r="I217" s="485"/>
      <c r="J217" s="485"/>
      <c r="K217" s="485"/>
      <c r="L217" s="485"/>
    </row>
    <row r="218" spans="1:12">
      <c r="A218" s="485"/>
      <c r="B218" s="485"/>
      <c r="C218" s="485"/>
      <c r="D218" s="485"/>
      <c r="E218" s="485"/>
      <c r="F218" s="485"/>
      <c r="G218" s="485"/>
      <c r="H218" s="485"/>
      <c r="I218" s="485"/>
      <c r="J218" s="485"/>
      <c r="K218" s="485"/>
      <c r="L218" s="485"/>
    </row>
    <row r="219" spans="1:12">
      <c r="A219" s="485"/>
      <c r="B219" s="485"/>
      <c r="C219" s="485"/>
      <c r="D219" s="485"/>
      <c r="E219" s="485"/>
      <c r="F219" s="485"/>
      <c r="G219" s="485"/>
      <c r="H219" s="485"/>
      <c r="I219" s="485"/>
      <c r="J219" s="485"/>
      <c r="K219" s="485"/>
      <c r="L219" s="485"/>
    </row>
    <row r="220" spans="1:12">
      <c r="A220" s="485"/>
      <c r="B220" s="485"/>
      <c r="C220" s="485"/>
      <c r="D220" s="485"/>
      <c r="E220" s="485"/>
      <c r="F220" s="485"/>
      <c r="G220" s="485"/>
      <c r="H220" s="485"/>
      <c r="I220" s="485"/>
      <c r="J220" s="485"/>
      <c r="K220" s="485"/>
      <c r="L220" s="485"/>
    </row>
    <row r="221" spans="1:12">
      <c r="A221" s="485"/>
      <c r="B221" s="485"/>
      <c r="C221" s="485"/>
      <c r="D221" s="485"/>
      <c r="E221" s="485"/>
      <c r="F221" s="485"/>
      <c r="G221" s="485"/>
      <c r="H221" s="485"/>
      <c r="I221" s="485"/>
      <c r="J221" s="485"/>
      <c r="K221" s="485"/>
      <c r="L221" s="485"/>
    </row>
    <row r="222" spans="1:12">
      <c r="A222" s="485"/>
      <c r="B222" s="485"/>
      <c r="C222" s="485"/>
      <c r="D222" s="485"/>
      <c r="E222" s="485"/>
      <c r="F222" s="485"/>
      <c r="G222" s="485"/>
      <c r="H222" s="485"/>
      <c r="I222" s="485"/>
      <c r="J222" s="485"/>
      <c r="K222" s="485"/>
      <c r="L222" s="485"/>
    </row>
    <row r="223" spans="1:12">
      <c r="A223" s="485"/>
      <c r="B223" s="485"/>
      <c r="C223" s="485"/>
      <c r="D223" s="485"/>
      <c r="E223" s="485"/>
      <c r="F223" s="485"/>
      <c r="G223" s="485"/>
      <c r="H223" s="485"/>
      <c r="I223" s="485"/>
      <c r="J223" s="485"/>
      <c r="K223" s="485"/>
      <c r="L223" s="485"/>
    </row>
    <row r="224" spans="1:12">
      <c r="A224" s="485"/>
      <c r="B224" s="485"/>
      <c r="C224" s="485"/>
      <c r="D224" s="485"/>
      <c r="E224" s="485"/>
      <c r="F224" s="485"/>
      <c r="G224" s="485"/>
      <c r="H224" s="485"/>
      <c r="I224" s="485"/>
      <c r="J224" s="485"/>
      <c r="K224" s="485"/>
      <c r="L224" s="485"/>
    </row>
    <row r="225" spans="1:12">
      <c r="A225" s="485"/>
      <c r="B225" s="485"/>
      <c r="C225" s="485"/>
      <c r="D225" s="485"/>
      <c r="E225" s="485"/>
      <c r="F225" s="485"/>
      <c r="G225" s="485"/>
      <c r="H225" s="485"/>
      <c r="I225" s="485"/>
      <c r="J225" s="485"/>
      <c r="K225" s="485"/>
      <c r="L225" s="485"/>
    </row>
    <row r="226" spans="1:12">
      <c r="A226" s="485"/>
      <c r="B226" s="485"/>
      <c r="C226" s="485"/>
      <c r="D226" s="485"/>
      <c r="E226" s="485"/>
      <c r="F226" s="485"/>
      <c r="G226" s="485"/>
      <c r="H226" s="485"/>
      <c r="I226" s="485"/>
      <c r="J226" s="485"/>
      <c r="K226" s="485"/>
      <c r="L226" s="485"/>
    </row>
    <row r="227" spans="1:12">
      <c r="A227" s="485"/>
      <c r="B227" s="485"/>
      <c r="C227" s="485"/>
      <c r="D227" s="485"/>
      <c r="E227" s="485"/>
      <c r="F227" s="485"/>
      <c r="G227" s="485"/>
      <c r="H227" s="485"/>
      <c r="I227" s="485"/>
      <c r="J227" s="485"/>
      <c r="K227" s="485"/>
      <c r="L227" s="485"/>
    </row>
    <row r="228" spans="1:12">
      <c r="A228" s="485"/>
      <c r="B228" s="485"/>
      <c r="C228" s="485"/>
      <c r="D228" s="485"/>
      <c r="E228" s="485"/>
      <c r="F228" s="485"/>
      <c r="G228" s="485"/>
      <c r="H228" s="485"/>
      <c r="I228" s="485"/>
      <c r="J228" s="485"/>
      <c r="K228" s="485"/>
      <c r="L228" s="485"/>
    </row>
    <row r="229" spans="1:12">
      <c r="A229" s="485"/>
      <c r="B229" s="485"/>
      <c r="C229" s="485"/>
      <c r="D229" s="485"/>
      <c r="E229" s="485"/>
      <c r="F229" s="485"/>
      <c r="G229" s="485"/>
      <c r="H229" s="485"/>
      <c r="I229" s="485"/>
      <c r="J229" s="485"/>
      <c r="K229" s="485"/>
      <c r="L229" s="485"/>
    </row>
    <row r="230" spans="1:12">
      <c r="A230" s="485"/>
      <c r="B230" s="485"/>
      <c r="C230" s="485"/>
      <c r="D230" s="485"/>
      <c r="E230" s="485"/>
      <c r="F230" s="485"/>
      <c r="G230" s="485"/>
      <c r="H230" s="485"/>
      <c r="I230" s="485"/>
      <c r="J230" s="485"/>
      <c r="K230" s="485"/>
      <c r="L230" s="485"/>
    </row>
    <row r="231" spans="1:12">
      <c r="A231" s="485"/>
      <c r="B231" s="485"/>
      <c r="C231" s="485"/>
      <c r="D231" s="485"/>
      <c r="E231" s="485"/>
      <c r="F231" s="485"/>
      <c r="G231" s="485"/>
      <c r="H231" s="485"/>
      <c r="I231" s="485"/>
      <c r="J231" s="485"/>
      <c r="K231" s="485"/>
      <c r="L231" s="485"/>
    </row>
    <row r="232" spans="1:12">
      <c r="A232" s="485"/>
      <c r="B232" s="485"/>
      <c r="C232" s="485"/>
      <c r="D232" s="485"/>
      <c r="E232" s="485"/>
      <c r="F232" s="485"/>
      <c r="G232" s="485"/>
      <c r="H232" s="485"/>
      <c r="I232" s="485"/>
      <c r="J232" s="485"/>
      <c r="K232" s="485"/>
      <c r="L232" s="485"/>
    </row>
    <row r="233" spans="1:12">
      <c r="A233" s="485"/>
      <c r="B233" s="485"/>
      <c r="C233" s="485"/>
      <c r="D233" s="485"/>
      <c r="E233" s="485"/>
      <c r="F233" s="485"/>
      <c r="G233" s="485"/>
      <c r="H233" s="485"/>
      <c r="I233" s="485"/>
      <c r="J233" s="485"/>
      <c r="K233" s="485"/>
      <c r="L233" s="485"/>
    </row>
    <row r="234" spans="1:12">
      <c r="A234" s="485"/>
      <c r="B234" s="485"/>
      <c r="C234" s="485"/>
      <c r="D234" s="485"/>
      <c r="E234" s="485"/>
      <c r="F234" s="485"/>
      <c r="G234" s="485"/>
      <c r="H234" s="485"/>
      <c r="I234" s="485"/>
      <c r="J234" s="485"/>
      <c r="K234" s="485"/>
      <c r="L234" s="485"/>
    </row>
    <row r="235" spans="1:12">
      <c r="A235" s="485"/>
      <c r="B235" s="485"/>
      <c r="C235" s="485"/>
      <c r="D235" s="485"/>
      <c r="E235" s="485"/>
      <c r="F235" s="485"/>
      <c r="G235" s="485"/>
      <c r="H235" s="485"/>
      <c r="I235" s="485"/>
      <c r="J235" s="485"/>
      <c r="K235" s="485"/>
      <c r="L235" s="485"/>
    </row>
    <row r="236" spans="1:12">
      <c r="A236" s="485"/>
      <c r="B236" s="485"/>
      <c r="C236" s="485"/>
      <c r="D236" s="485"/>
      <c r="E236" s="485"/>
      <c r="F236" s="485"/>
      <c r="G236" s="485"/>
      <c r="H236" s="485"/>
      <c r="I236" s="485"/>
      <c r="J236" s="485"/>
      <c r="K236" s="485"/>
      <c r="L236" s="485"/>
    </row>
    <row r="237" spans="1:12">
      <c r="A237" s="485"/>
      <c r="B237" s="485"/>
      <c r="C237" s="485"/>
      <c r="D237" s="485"/>
      <c r="E237" s="485"/>
      <c r="F237" s="485"/>
      <c r="G237" s="485"/>
      <c r="H237" s="485"/>
      <c r="I237" s="485"/>
      <c r="J237" s="485"/>
      <c r="K237" s="485"/>
      <c r="L237" s="485"/>
    </row>
    <row r="238" spans="1:12">
      <c r="A238" s="485"/>
      <c r="B238" s="485"/>
      <c r="C238" s="485"/>
      <c r="D238" s="485"/>
      <c r="E238" s="485"/>
      <c r="F238" s="485"/>
      <c r="G238" s="485"/>
      <c r="H238" s="485"/>
      <c r="I238" s="485"/>
      <c r="J238" s="485"/>
      <c r="K238" s="485"/>
      <c r="L238" s="485"/>
    </row>
    <row r="239" spans="1:12">
      <c r="A239" s="485"/>
      <c r="B239" s="485"/>
      <c r="C239" s="485"/>
      <c r="D239" s="485"/>
      <c r="E239" s="485"/>
      <c r="F239" s="485"/>
      <c r="G239" s="485"/>
      <c r="H239" s="485"/>
      <c r="I239" s="485"/>
      <c r="J239" s="485"/>
      <c r="K239" s="485"/>
      <c r="L239" s="485"/>
    </row>
    <row r="240" spans="1:12">
      <c r="A240" s="485"/>
      <c r="B240" s="485"/>
      <c r="C240" s="485"/>
      <c r="D240" s="485"/>
      <c r="E240" s="485"/>
      <c r="F240" s="485"/>
      <c r="G240" s="485"/>
      <c r="H240" s="485"/>
      <c r="I240" s="485"/>
      <c r="J240" s="485"/>
      <c r="K240" s="485"/>
      <c r="L240" s="485"/>
    </row>
    <row r="241" spans="1:12">
      <c r="A241" s="485"/>
      <c r="B241" s="485"/>
      <c r="C241" s="485"/>
      <c r="D241" s="485"/>
      <c r="E241" s="485"/>
      <c r="F241" s="485"/>
      <c r="G241" s="485"/>
      <c r="H241" s="485"/>
      <c r="I241" s="485"/>
      <c r="J241" s="485"/>
      <c r="K241" s="485"/>
      <c r="L241" s="485"/>
    </row>
    <row r="242" spans="1:12">
      <c r="A242" s="485"/>
      <c r="B242" s="485"/>
      <c r="C242" s="485"/>
      <c r="D242" s="485"/>
      <c r="E242" s="485"/>
      <c r="F242" s="485"/>
      <c r="G242" s="485"/>
      <c r="H242" s="485"/>
      <c r="I242" s="485"/>
      <c r="J242" s="485"/>
      <c r="K242" s="485"/>
      <c r="L242" s="485"/>
    </row>
    <row r="243" spans="1:12">
      <c r="A243" s="485"/>
      <c r="B243" s="485"/>
      <c r="C243" s="485"/>
      <c r="D243" s="485"/>
      <c r="E243" s="485"/>
      <c r="F243" s="485"/>
      <c r="G243" s="485"/>
      <c r="H243" s="485"/>
      <c r="I243" s="485"/>
      <c r="J243" s="485"/>
      <c r="K243" s="485"/>
      <c r="L243" s="485"/>
    </row>
    <row r="244" spans="1:12">
      <c r="A244" s="485"/>
      <c r="B244" s="485"/>
      <c r="C244" s="485"/>
      <c r="D244" s="485"/>
      <c r="E244" s="485"/>
      <c r="F244" s="485"/>
      <c r="G244" s="485"/>
      <c r="H244" s="485"/>
      <c r="I244" s="485"/>
      <c r="J244" s="485"/>
      <c r="K244" s="485"/>
      <c r="L244" s="485"/>
    </row>
    <row r="245" spans="1:12">
      <c r="A245" s="485"/>
      <c r="B245" s="485"/>
      <c r="C245" s="485"/>
      <c r="D245" s="485"/>
      <c r="E245" s="485"/>
      <c r="F245" s="485"/>
      <c r="G245" s="485"/>
      <c r="H245" s="485"/>
      <c r="I245" s="485"/>
      <c r="J245" s="485"/>
      <c r="K245" s="485"/>
      <c r="L245" s="485"/>
    </row>
    <row r="246" spans="1:12">
      <c r="A246" s="485"/>
      <c r="B246" s="485"/>
      <c r="C246" s="485"/>
      <c r="D246" s="485"/>
      <c r="E246" s="485"/>
      <c r="F246" s="485"/>
      <c r="G246" s="485"/>
      <c r="H246" s="485"/>
      <c r="I246" s="485"/>
      <c r="J246" s="485"/>
      <c r="K246" s="485"/>
      <c r="L246" s="485"/>
    </row>
    <row r="247" spans="1:12">
      <c r="A247" s="485"/>
      <c r="B247" s="485"/>
      <c r="C247" s="485"/>
      <c r="D247" s="485"/>
      <c r="E247" s="485"/>
      <c r="F247" s="485"/>
      <c r="G247" s="485"/>
      <c r="H247" s="485"/>
      <c r="I247" s="485"/>
      <c r="J247" s="485"/>
      <c r="K247" s="485"/>
      <c r="L247" s="485"/>
    </row>
    <row r="248" spans="1:12">
      <c r="A248" s="485"/>
      <c r="B248" s="485"/>
      <c r="C248" s="485"/>
      <c r="D248" s="485"/>
      <c r="E248" s="485"/>
      <c r="F248" s="485"/>
      <c r="G248" s="485"/>
      <c r="H248" s="485"/>
      <c r="I248" s="485"/>
      <c r="J248" s="485"/>
      <c r="K248" s="485"/>
      <c r="L248" s="485"/>
    </row>
    <row r="249" spans="1:12">
      <c r="A249" s="485"/>
      <c r="B249" s="485"/>
      <c r="C249" s="485"/>
      <c r="D249" s="485"/>
      <c r="E249" s="485"/>
      <c r="F249" s="485"/>
      <c r="G249" s="485"/>
      <c r="H249" s="485"/>
      <c r="I249" s="485"/>
      <c r="J249" s="485"/>
      <c r="K249" s="485"/>
      <c r="L249" s="485"/>
    </row>
    <row r="250" spans="1:12">
      <c r="A250" s="485"/>
      <c r="B250" s="485"/>
      <c r="C250" s="485"/>
      <c r="D250" s="485"/>
      <c r="E250" s="485"/>
      <c r="F250" s="485"/>
      <c r="G250" s="485"/>
      <c r="H250" s="485"/>
      <c r="I250" s="485"/>
      <c r="J250" s="485"/>
      <c r="K250" s="485"/>
      <c r="L250" s="485"/>
    </row>
    <row r="251" spans="1:12">
      <c r="A251" s="485"/>
      <c r="B251" s="485"/>
      <c r="C251" s="485"/>
      <c r="D251" s="485"/>
      <c r="E251" s="485"/>
      <c r="F251" s="485"/>
      <c r="G251" s="485"/>
      <c r="H251" s="485"/>
      <c r="I251" s="485"/>
      <c r="J251" s="485"/>
      <c r="K251" s="485"/>
      <c r="L251" s="485"/>
    </row>
    <row r="252" spans="1:12">
      <c r="A252" s="485"/>
      <c r="B252" s="485"/>
      <c r="C252" s="485"/>
      <c r="D252" s="485"/>
      <c r="E252" s="485"/>
      <c r="F252" s="485"/>
      <c r="G252" s="485"/>
      <c r="H252" s="485"/>
      <c r="I252" s="485"/>
      <c r="J252" s="485"/>
      <c r="K252" s="485"/>
      <c r="L252" s="485"/>
    </row>
    <row r="253" spans="1:12">
      <c r="A253" s="485"/>
      <c r="B253" s="485"/>
      <c r="C253" s="485"/>
      <c r="D253" s="485"/>
      <c r="E253" s="485"/>
      <c r="F253" s="485"/>
      <c r="G253" s="485"/>
      <c r="H253" s="485"/>
      <c r="I253" s="485"/>
      <c r="J253" s="485"/>
      <c r="K253" s="485"/>
      <c r="L253" s="485"/>
    </row>
    <row r="254" spans="1:12">
      <c r="A254" s="485"/>
      <c r="B254" s="485"/>
      <c r="C254" s="485"/>
      <c r="D254" s="485"/>
      <c r="E254" s="485"/>
      <c r="F254" s="485"/>
      <c r="G254" s="485"/>
      <c r="H254" s="485"/>
      <c r="I254" s="485"/>
      <c r="J254" s="485"/>
      <c r="K254" s="485"/>
      <c r="L254" s="485"/>
    </row>
    <row r="255" spans="1:12">
      <c r="A255" s="485"/>
      <c r="B255" s="485"/>
      <c r="C255" s="485"/>
      <c r="D255" s="485"/>
      <c r="E255" s="485"/>
      <c r="F255" s="485"/>
      <c r="G255" s="485"/>
      <c r="H255" s="485"/>
      <c r="I255" s="485"/>
      <c r="J255" s="485"/>
      <c r="K255" s="485"/>
      <c r="L255" s="485"/>
    </row>
    <row r="256" spans="1:12">
      <c r="A256" s="485"/>
      <c r="B256" s="485"/>
      <c r="C256" s="485"/>
      <c r="D256" s="485"/>
      <c r="E256" s="485"/>
      <c r="F256" s="485"/>
      <c r="G256" s="485"/>
      <c r="H256" s="485"/>
      <c r="I256" s="485"/>
      <c r="J256" s="485"/>
      <c r="K256" s="485"/>
      <c r="L256" s="485"/>
    </row>
    <row r="257" spans="1:12">
      <c r="A257" s="485"/>
      <c r="B257" s="485"/>
      <c r="C257" s="485"/>
      <c r="D257" s="485"/>
      <c r="E257" s="485"/>
      <c r="F257" s="485"/>
      <c r="G257" s="485"/>
      <c r="H257" s="485"/>
      <c r="I257" s="485"/>
      <c r="J257" s="485"/>
      <c r="K257" s="485"/>
      <c r="L257" s="485"/>
    </row>
    <row r="258" spans="1:12">
      <c r="A258" s="485"/>
      <c r="B258" s="485"/>
      <c r="C258" s="485"/>
      <c r="D258" s="485"/>
      <c r="E258" s="485"/>
      <c r="F258" s="485"/>
      <c r="G258" s="485"/>
      <c r="H258" s="485"/>
      <c r="I258" s="485"/>
      <c r="J258" s="485"/>
      <c r="K258" s="485"/>
      <c r="L258" s="485"/>
    </row>
    <row r="259" spans="1:12">
      <c r="A259" s="485"/>
      <c r="B259" s="485"/>
      <c r="C259" s="485"/>
      <c r="D259" s="485"/>
      <c r="E259" s="485"/>
      <c r="F259" s="485"/>
      <c r="G259" s="485"/>
      <c r="H259" s="485"/>
      <c r="I259" s="485"/>
      <c r="J259" s="485"/>
      <c r="K259" s="485"/>
      <c r="L259" s="485"/>
    </row>
    <row r="260" spans="1:12">
      <c r="A260" s="485"/>
      <c r="B260" s="485"/>
      <c r="C260" s="485"/>
      <c r="D260" s="485"/>
      <c r="E260" s="485"/>
      <c r="F260" s="485"/>
      <c r="G260" s="485"/>
      <c r="H260" s="485"/>
      <c r="I260" s="485"/>
      <c r="J260" s="485"/>
      <c r="K260" s="485"/>
      <c r="L260" s="485"/>
    </row>
    <row r="261" spans="1:12">
      <c r="A261" s="485"/>
      <c r="B261" s="485"/>
      <c r="C261" s="485"/>
      <c r="D261" s="485"/>
      <c r="E261" s="485"/>
      <c r="F261" s="485"/>
      <c r="G261" s="485"/>
      <c r="H261" s="485"/>
      <c r="I261" s="485"/>
      <c r="J261" s="485"/>
      <c r="K261" s="485"/>
      <c r="L261" s="485"/>
    </row>
    <row r="262" spans="1:12">
      <c r="A262" s="485"/>
      <c r="B262" s="485"/>
      <c r="C262" s="485"/>
      <c r="D262" s="485"/>
      <c r="E262" s="485"/>
      <c r="F262" s="485"/>
      <c r="G262" s="485"/>
      <c r="H262" s="485"/>
      <c r="I262" s="485"/>
      <c r="J262" s="485"/>
      <c r="K262" s="485"/>
      <c r="L262" s="485"/>
    </row>
    <row r="263" spans="1:12">
      <c r="A263" s="485"/>
      <c r="B263" s="485"/>
      <c r="C263" s="485"/>
      <c r="D263" s="485"/>
      <c r="E263" s="485"/>
      <c r="F263" s="485"/>
      <c r="G263" s="485"/>
      <c r="H263" s="485"/>
      <c r="I263" s="485"/>
      <c r="J263" s="485"/>
      <c r="K263" s="485"/>
      <c r="L263" s="485"/>
    </row>
    <row r="264" spans="1:12">
      <c r="A264" s="485"/>
      <c r="B264" s="485"/>
      <c r="C264" s="485"/>
      <c r="D264" s="485"/>
      <c r="E264" s="485"/>
      <c r="F264" s="485"/>
      <c r="G264" s="485"/>
      <c r="H264" s="485"/>
      <c r="I264" s="485"/>
      <c r="J264" s="485"/>
      <c r="K264" s="485"/>
      <c r="L264" s="485"/>
    </row>
    <row r="265" spans="1:12">
      <c r="A265" s="485"/>
      <c r="B265" s="485"/>
      <c r="C265" s="485"/>
      <c r="D265" s="485"/>
      <c r="E265" s="485"/>
      <c r="F265" s="485"/>
      <c r="G265" s="485"/>
      <c r="H265" s="485"/>
      <c r="I265" s="485"/>
      <c r="J265" s="485"/>
      <c r="K265" s="485"/>
      <c r="L265" s="485"/>
    </row>
    <row r="266" spans="1:12">
      <c r="A266" s="485"/>
      <c r="B266" s="485"/>
      <c r="C266" s="485"/>
      <c r="D266" s="485"/>
      <c r="E266" s="485"/>
      <c r="F266" s="485"/>
      <c r="G266" s="485"/>
      <c r="H266" s="485"/>
      <c r="I266" s="485"/>
      <c r="J266" s="485"/>
      <c r="K266" s="485"/>
      <c r="L266" s="485"/>
    </row>
    <row r="267" spans="1:12">
      <c r="A267" s="485"/>
      <c r="B267" s="485"/>
      <c r="C267" s="485"/>
      <c r="D267" s="485"/>
      <c r="E267" s="485"/>
      <c r="F267" s="485"/>
      <c r="G267" s="485"/>
      <c r="H267" s="485"/>
      <c r="I267" s="485"/>
      <c r="J267" s="485"/>
      <c r="K267" s="485"/>
      <c r="L267" s="485"/>
    </row>
    <row r="268" spans="1:12">
      <c r="A268" s="485"/>
      <c r="B268" s="485"/>
      <c r="C268" s="485"/>
      <c r="D268" s="485"/>
      <c r="E268" s="485"/>
      <c r="F268" s="485"/>
      <c r="G268" s="485"/>
      <c r="H268" s="485"/>
      <c r="I268" s="485"/>
      <c r="J268" s="485"/>
      <c r="K268" s="485"/>
      <c r="L268" s="485"/>
    </row>
    <row r="269" spans="1:12">
      <c r="A269" s="485"/>
      <c r="B269" s="485"/>
      <c r="C269" s="485"/>
      <c r="D269" s="485"/>
      <c r="E269" s="485"/>
      <c r="F269" s="485"/>
      <c r="G269" s="485"/>
      <c r="H269" s="485"/>
      <c r="I269" s="485"/>
      <c r="J269" s="485"/>
      <c r="K269" s="485"/>
      <c r="L269" s="485"/>
    </row>
    <row r="270" spans="1:12">
      <c r="A270" s="485"/>
      <c r="B270" s="485"/>
      <c r="C270" s="485"/>
      <c r="D270" s="485"/>
      <c r="E270" s="485"/>
      <c r="F270" s="485"/>
      <c r="G270" s="485"/>
      <c r="H270" s="485"/>
      <c r="I270" s="485"/>
      <c r="J270" s="485"/>
      <c r="K270" s="485"/>
      <c r="L270" s="485"/>
    </row>
    <row r="271" spans="1:12">
      <c r="A271" s="485"/>
      <c r="B271" s="485"/>
      <c r="C271" s="485"/>
      <c r="D271" s="485"/>
      <c r="E271" s="485"/>
      <c r="F271" s="485"/>
      <c r="G271" s="485"/>
      <c r="H271" s="485"/>
      <c r="I271" s="485"/>
      <c r="J271" s="485"/>
      <c r="K271" s="485"/>
      <c r="L271" s="485"/>
    </row>
    <row r="272" spans="1:12">
      <c r="A272" s="485"/>
      <c r="B272" s="485"/>
      <c r="C272" s="485"/>
      <c r="D272" s="485"/>
      <c r="E272" s="485"/>
      <c r="F272" s="485"/>
      <c r="G272" s="485"/>
      <c r="H272" s="485"/>
      <c r="I272" s="485"/>
      <c r="J272" s="485"/>
      <c r="K272" s="485"/>
      <c r="L272" s="485"/>
    </row>
    <row r="273" spans="1:12">
      <c r="A273" s="485"/>
      <c r="B273" s="485"/>
      <c r="C273" s="485"/>
      <c r="D273" s="485"/>
      <c r="E273" s="485"/>
      <c r="F273" s="485"/>
      <c r="G273" s="485"/>
      <c r="H273" s="485"/>
      <c r="I273" s="485"/>
      <c r="J273" s="485"/>
      <c r="K273" s="485"/>
      <c r="L273" s="485"/>
    </row>
    <row r="274" spans="1:12">
      <c r="A274" s="485"/>
      <c r="B274" s="485"/>
      <c r="C274" s="485"/>
      <c r="D274" s="485"/>
      <c r="E274" s="485"/>
      <c r="F274" s="485"/>
      <c r="G274" s="485"/>
      <c r="H274" s="485"/>
      <c r="I274" s="485"/>
      <c r="J274" s="485"/>
      <c r="K274" s="485"/>
      <c r="L274" s="485"/>
    </row>
    <row r="275" spans="1:12">
      <c r="A275" s="485"/>
      <c r="B275" s="485"/>
      <c r="C275" s="485"/>
      <c r="D275" s="485"/>
      <c r="E275" s="485"/>
      <c r="F275" s="485"/>
      <c r="G275" s="485"/>
      <c r="H275" s="485"/>
      <c r="I275" s="485"/>
      <c r="J275" s="485"/>
      <c r="K275" s="485"/>
      <c r="L275" s="485"/>
    </row>
    <row r="276" spans="1:12">
      <c r="A276" s="485"/>
      <c r="B276" s="485"/>
      <c r="C276" s="485"/>
      <c r="D276" s="485"/>
      <c r="E276" s="485"/>
      <c r="F276" s="485"/>
      <c r="G276" s="485"/>
      <c r="H276" s="485"/>
      <c r="I276" s="485"/>
      <c r="J276" s="485"/>
      <c r="K276" s="485"/>
      <c r="L276" s="485"/>
    </row>
    <row r="277" spans="1:12">
      <c r="A277" s="485"/>
      <c r="B277" s="485"/>
      <c r="C277" s="485"/>
      <c r="D277" s="485"/>
      <c r="E277" s="485"/>
      <c r="F277" s="485"/>
      <c r="G277" s="485"/>
      <c r="H277" s="485"/>
      <c r="I277" s="485"/>
      <c r="J277" s="485"/>
      <c r="K277" s="485"/>
      <c r="L277" s="485"/>
    </row>
    <row r="278" spans="1:12">
      <c r="A278" s="485"/>
      <c r="B278" s="485"/>
      <c r="C278" s="485"/>
      <c r="D278" s="485"/>
      <c r="E278" s="485"/>
      <c r="F278" s="485"/>
      <c r="G278" s="485"/>
      <c r="H278" s="485"/>
      <c r="I278" s="485"/>
      <c r="J278" s="485"/>
      <c r="K278" s="485"/>
      <c r="L278" s="485"/>
    </row>
    <row r="279" spans="1:12">
      <c r="A279" s="485"/>
      <c r="B279" s="485"/>
      <c r="C279" s="485"/>
      <c r="D279" s="485"/>
      <c r="E279" s="485"/>
      <c r="F279" s="485"/>
      <c r="G279" s="485"/>
      <c r="H279" s="485"/>
      <c r="I279" s="485"/>
      <c r="J279" s="485"/>
      <c r="K279" s="485"/>
      <c r="L279" s="485"/>
    </row>
    <row r="280" spans="1:12">
      <c r="A280" s="485"/>
      <c r="B280" s="485"/>
      <c r="C280" s="485"/>
      <c r="D280" s="485"/>
      <c r="E280" s="485"/>
      <c r="F280" s="485"/>
      <c r="G280" s="485"/>
      <c r="H280" s="485"/>
      <c r="I280" s="485"/>
      <c r="J280" s="485"/>
      <c r="K280" s="485"/>
      <c r="L280" s="485"/>
    </row>
    <row r="281" spans="1:12">
      <c r="A281" s="485"/>
      <c r="B281" s="485"/>
      <c r="C281" s="485"/>
      <c r="D281" s="485"/>
      <c r="E281" s="485"/>
      <c r="F281" s="485"/>
      <c r="G281" s="485"/>
      <c r="H281" s="485"/>
      <c r="I281" s="485"/>
      <c r="J281" s="485"/>
      <c r="K281" s="485"/>
      <c r="L281" s="485"/>
    </row>
    <row r="282" spans="1:12">
      <c r="A282" s="485"/>
      <c r="B282" s="485"/>
      <c r="C282" s="485"/>
      <c r="D282" s="485"/>
      <c r="E282" s="485"/>
      <c r="F282" s="485"/>
      <c r="G282" s="485"/>
      <c r="H282" s="485"/>
      <c r="I282" s="485"/>
      <c r="J282" s="485"/>
      <c r="K282" s="485"/>
      <c r="L282" s="485"/>
    </row>
    <row r="283" spans="1:12">
      <c r="A283" s="485"/>
      <c r="B283" s="485"/>
      <c r="C283" s="485"/>
      <c r="D283" s="485"/>
      <c r="E283" s="485"/>
      <c r="F283" s="485"/>
      <c r="G283" s="485"/>
      <c r="H283" s="485"/>
      <c r="I283" s="485"/>
      <c r="J283" s="485"/>
      <c r="K283" s="485"/>
      <c r="L283" s="485"/>
    </row>
    <row r="284" spans="1:12">
      <c r="A284" s="485"/>
      <c r="B284" s="485"/>
      <c r="C284" s="485"/>
      <c r="D284" s="485"/>
      <c r="E284" s="485"/>
      <c r="F284" s="485"/>
      <c r="G284" s="485"/>
      <c r="H284" s="485"/>
      <c r="I284" s="485"/>
      <c r="J284" s="485"/>
      <c r="K284" s="485"/>
      <c r="L284" s="485"/>
    </row>
    <row r="285" spans="1:12">
      <c r="A285" s="485"/>
      <c r="B285" s="485"/>
      <c r="C285" s="485"/>
      <c r="D285" s="485"/>
      <c r="E285" s="485"/>
      <c r="F285" s="485"/>
      <c r="G285" s="485"/>
      <c r="H285" s="485"/>
      <c r="I285" s="485"/>
      <c r="J285" s="485"/>
      <c r="K285" s="485"/>
      <c r="L285" s="485"/>
    </row>
    <row r="286" spans="1:12">
      <c r="A286" s="485"/>
      <c r="B286" s="485"/>
      <c r="C286" s="485"/>
      <c r="D286" s="485"/>
      <c r="E286" s="485"/>
      <c r="F286" s="485"/>
      <c r="G286" s="485"/>
      <c r="H286" s="485"/>
      <c r="I286" s="485"/>
      <c r="J286" s="485"/>
      <c r="K286" s="485"/>
      <c r="L286" s="485"/>
    </row>
    <row r="287" spans="1:12">
      <c r="A287" s="485"/>
      <c r="B287" s="485"/>
      <c r="C287" s="485"/>
      <c r="D287" s="485"/>
      <c r="E287" s="485"/>
      <c r="F287" s="485"/>
      <c r="G287" s="485"/>
      <c r="H287" s="485"/>
      <c r="I287" s="485"/>
      <c r="J287" s="485"/>
      <c r="K287" s="485"/>
      <c r="L287" s="485"/>
    </row>
    <row r="288" spans="1:12">
      <c r="A288" s="485"/>
      <c r="B288" s="485"/>
      <c r="C288" s="485"/>
      <c r="D288" s="485"/>
      <c r="E288" s="485"/>
      <c r="F288" s="485"/>
      <c r="G288" s="485"/>
      <c r="H288" s="485"/>
      <c r="I288" s="485"/>
      <c r="J288" s="485"/>
      <c r="K288" s="485"/>
      <c r="L288" s="485"/>
    </row>
    <row r="289" spans="1:12">
      <c r="A289" s="485"/>
      <c r="B289" s="485"/>
      <c r="C289" s="485"/>
      <c r="D289" s="485"/>
      <c r="E289" s="485"/>
      <c r="F289" s="485"/>
      <c r="G289" s="485"/>
      <c r="H289" s="485"/>
      <c r="I289" s="485"/>
      <c r="J289" s="485"/>
      <c r="K289" s="485"/>
      <c r="L289" s="485"/>
    </row>
    <row r="290" spans="1:12">
      <c r="A290" s="485"/>
      <c r="B290" s="485"/>
      <c r="C290" s="485"/>
      <c r="D290" s="485"/>
      <c r="E290" s="485"/>
      <c r="F290" s="485"/>
      <c r="G290" s="485"/>
      <c r="H290" s="485"/>
      <c r="I290" s="485"/>
      <c r="J290" s="485"/>
      <c r="K290" s="485"/>
      <c r="L290" s="485"/>
    </row>
    <row r="291" spans="1:12">
      <c r="A291" s="485"/>
      <c r="B291" s="485"/>
      <c r="C291" s="485"/>
      <c r="D291" s="485"/>
      <c r="E291" s="485"/>
      <c r="F291" s="485"/>
      <c r="G291" s="485"/>
      <c r="H291" s="485"/>
      <c r="I291" s="485"/>
      <c r="J291" s="485"/>
      <c r="K291" s="485"/>
      <c r="L291" s="485"/>
    </row>
    <row r="292" spans="1:12">
      <c r="A292" s="485"/>
      <c r="B292" s="485"/>
      <c r="C292" s="485"/>
      <c r="D292" s="485"/>
      <c r="E292" s="485"/>
      <c r="F292" s="485"/>
      <c r="G292" s="485"/>
      <c r="H292" s="485"/>
      <c r="I292" s="485"/>
      <c r="J292" s="485"/>
      <c r="K292" s="485"/>
      <c r="L292" s="485"/>
    </row>
    <row r="293" spans="1:12">
      <c r="A293" s="485"/>
      <c r="B293" s="485"/>
      <c r="C293" s="485"/>
      <c r="D293" s="485"/>
      <c r="E293" s="485"/>
      <c r="F293" s="485"/>
      <c r="G293" s="485"/>
      <c r="H293" s="485"/>
      <c r="I293" s="485"/>
      <c r="J293" s="485"/>
      <c r="K293" s="485"/>
      <c r="L293" s="485"/>
    </row>
    <row r="294" spans="1:12">
      <c r="A294" s="485"/>
      <c r="B294" s="485"/>
      <c r="C294" s="485"/>
      <c r="D294" s="485"/>
      <c r="E294" s="485"/>
      <c r="F294" s="485"/>
      <c r="G294" s="485"/>
      <c r="H294" s="485"/>
      <c r="I294" s="485"/>
      <c r="J294" s="485"/>
      <c r="K294" s="485"/>
      <c r="L294" s="485"/>
    </row>
    <row r="295" spans="1:12">
      <c r="A295" s="485"/>
      <c r="B295" s="485"/>
      <c r="C295" s="485"/>
      <c r="D295" s="485"/>
      <c r="E295" s="485"/>
      <c r="F295" s="485"/>
      <c r="G295" s="485"/>
      <c r="H295" s="485"/>
      <c r="I295" s="485"/>
      <c r="J295" s="485"/>
      <c r="K295" s="485"/>
      <c r="L295" s="485"/>
    </row>
    <row r="296" spans="1:12">
      <c r="A296" s="485"/>
      <c r="B296" s="485"/>
      <c r="C296" s="485"/>
      <c r="D296" s="485"/>
      <c r="E296" s="485"/>
      <c r="F296" s="485"/>
      <c r="G296" s="485"/>
      <c r="H296" s="485"/>
      <c r="I296" s="485"/>
      <c r="J296" s="485"/>
      <c r="K296" s="485"/>
      <c r="L296" s="485"/>
    </row>
    <row r="297" spans="1:12">
      <c r="A297" s="485"/>
      <c r="B297" s="485"/>
      <c r="C297" s="485"/>
      <c r="D297" s="485"/>
      <c r="E297" s="485"/>
      <c r="F297" s="485"/>
      <c r="G297" s="485"/>
      <c r="H297" s="485"/>
      <c r="I297" s="485"/>
      <c r="J297" s="485"/>
      <c r="K297" s="485"/>
      <c r="L297" s="485"/>
    </row>
    <row r="298" spans="1:12">
      <c r="A298" s="485"/>
      <c r="B298" s="485"/>
      <c r="C298" s="485"/>
      <c r="D298" s="485"/>
      <c r="E298" s="485"/>
      <c r="F298" s="485"/>
      <c r="G298" s="485"/>
      <c r="H298" s="485"/>
      <c r="I298" s="485"/>
      <c r="J298" s="485"/>
      <c r="K298" s="485"/>
      <c r="L298" s="485"/>
    </row>
    <row r="299" spans="1:12">
      <c r="A299" s="485"/>
      <c r="B299" s="485"/>
      <c r="C299" s="485"/>
      <c r="D299" s="485"/>
      <c r="E299" s="485"/>
      <c r="F299" s="485"/>
      <c r="G299" s="485"/>
      <c r="H299" s="485"/>
      <c r="I299" s="485"/>
      <c r="J299" s="485"/>
      <c r="K299" s="485"/>
      <c r="L299" s="485"/>
    </row>
    <row r="300" spans="1:12">
      <c r="A300" s="485"/>
      <c r="B300" s="485"/>
      <c r="C300" s="485"/>
      <c r="D300" s="485"/>
      <c r="E300" s="485"/>
      <c r="F300" s="485"/>
      <c r="G300" s="485"/>
      <c r="H300" s="485"/>
      <c r="I300" s="485"/>
      <c r="J300" s="485"/>
      <c r="K300" s="485"/>
      <c r="L300" s="485"/>
    </row>
    <row r="301" spans="1:12">
      <c r="A301" s="485"/>
      <c r="B301" s="485"/>
      <c r="C301" s="485"/>
      <c r="D301" s="485"/>
      <c r="E301" s="485"/>
      <c r="F301" s="485"/>
      <c r="G301" s="485"/>
      <c r="H301" s="485"/>
      <c r="I301" s="485"/>
      <c r="J301" s="485"/>
      <c r="K301" s="485"/>
      <c r="L301" s="485"/>
    </row>
    <row r="302" spans="1:12">
      <c r="A302" s="485"/>
      <c r="B302" s="485"/>
      <c r="C302" s="485"/>
      <c r="D302" s="485"/>
      <c r="E302" s="485"/>
      <c r="F302" s="485"/>
      <c r="G302" s="485"/>
      <c r="H302" s="485"/>
      <c r="I302" s="485"/>
      <c r="J302" s="485"/>
      <c r="K302" s="485"/>
      <c r="L302" s="485"/>
    </row>
    <row r="303" spans="1:12">
      <c r="A303" s="485"/>
      <c r="B303" s="485"/>
      <c r="C303" s="485"/>
      <c r="D303" s="485"/>
      <c r="E303" s="485"/>
      <c r="F303" s="485"/>
      <c r="G303" s="485"/>
      <c r="H303" s="485"/>
      <c r="I303" s="485"/>
      <c r="J303" s="485"/>
      <c r="K303" s="485"/>
      <c r="L303" s="485"/>
    </row>
    <row r="304" spans="1:12">
      <c r="A304" s="485"/>
      <c r="B304" s="485"/>
      <c r="C304" s="485"/>
      <c r="D304" s="485"/>
      <c r="E304" s="485"/>
      <c r="F304" s="485"/>
      <c r="G304" s="485"/>
      <c r="H304" s="485"/>
      <c r="I304" s="485"/>
      <c r="J304" s="485"/>
      <c r="K304" s="485"/>
      <c r="L304" s="485"/>
    </row>
    <row r="305" spans="1:12">
      <c r="A305" s="485"/>
      <c r="B305" s="485"/>
      <c r="C305" s="485"/>
      <c r="D305" s="485"/>
      <c r="E305" s="485"/>
      <c r="F305" s="485"/>
      <c r="G305" s="485"/>
      <c r="H305" s="485"/>
      <c r="I305" s="485"/>
      <c r="J305" s="485"/>
      <c r="K305" s="485"/>
      <c r="L305" s="485"/>
    </row>
    <row r="306" spans="1:12">
      <c r="A306" s="485"/>
      <c r="B306" s="485"/>
      <c r="C306" s="485"/>
      <c r="D306" s="485"/>
      <c r="E306" s="485"/>
      <c r="F306" s="485"/>
      <c r="G306" s="485"/>
      <c r="H306" s="485"/>
      <c r="I306" s="485"/>
      <c r="J306" s="485"/>
      <c r="K306" s="485"/>
      <c r="L306" s="485"/>
    </row>
    <row r="307" spans="1:12">
      <c r="A307" s="485"/>
      <c r="B307" s="485"/>
      <c r="C307" s="485"/>
      <c r="D307" s="485"/>
      <c r="E307" s="485"/>
      <c r="F307" s="485"/>
      <c r="G307" s="485"/>
      <c r="H307" s="485"/>
      <c r="I307" s="485"/>
      <c r="J307" s="485"/>
      <c r="K307" s="485"/>
      <c r="L307" s="485"/>
    </row>
    <row r="308" spans="1:12">
      <c r="A308" s="485"/>
      <c r="B308" s="485"/>
      <c r="C308" s="485"/>
      <c r="D308" s="485"/>
      <c r="E308" s="485"/>
      <c r="F308" s="485"/>
      <c r="G308" s="485"/>
      <c r="H308" s="485"/>
      <c r="I308" s="485"/>
      <c r="J308" s="485"/>
      <c r="K308" s="485"/>
      <c r="L308" s="485"/>
    </row>
    <row r="309" spans="1:12">
      <c r="A309" s="485"/>
      <c r="B309" s="485"/>
      <c r="C309" s="485"/>
      <c r="D309" s="485"/>
      <c r="E309" s="485"/>
      <c r="F309" s="485"/>
      <c r="G309" s="485"/>
      <c r="H309" s="485"/>
      <c r="I309" s="485"/>
      <c r="J309" s="485"/>
      <c r="K309" s="485"/>
      <c r="L309" s="485"/>
    </row>
    <row r="310" spans="1:12">
      <c r="A310" s="485"/>
      <c r="B310" s="485"/>
      <c r="C310" s="485"/>
      <c r="D310" s="485"/>
      <c r="E310" s="485"/>
      <c r="F310" s="485"/>
      <c r="G310" s="485"/>
      <c r="H310" s="485"/>
      <c r="I310" s="485"/>
      <c r="J310" s="485"/>
      <c r="K310" s="485"/>
      <c r="L310" s="485"/>
    </row>
    <row r="311" spans="1:12">
      <c r="A311" s="485"/>
      <c r="B311" s="485"/>
      <c r="C311" s="485"/>
      <c r="D311" s="485"/>
      <c r="E311" s="485"/>
      <c r="F311" s="485"/>
      <c r="G311" s="485"/>
      <c r="H311" s="485"/>
      <c r="I311" s="485"/>
      <c r="J311" s="485"/>
      <c r="K311" s="485"/>
      <c r="L311" s="485"/>
    </row>
    <row r="312" spans="1:12">
      <c r="A312" s="485"/>
      <c r="B312" s="485"/>
      <c r="C312" s="485"/>
      <c r="D312" s="485"/>
      <c r="E312" s="485"/>
      <c r="F312" s="485"/>
      <c r="G312" s="485"/>
      <c r="H312" s="485"/>
      <c r="I312" s="485"/>
      <c r="J312" s="485"/>
      <c r="K312" s="485"/>
      <c r="L312" s="485"/>
    </row>
    <row r="313" spans="1:12">
      <c r="A313" s="485"/>
      <c r="B313" s="485"/>
      <c r="C313" s="485"/>
      <c r="D313" s="485"/>
      <c r="E313" s="485"/>
      <c r="F313" s="485"/>
      <c r="G313" s="485"/>
      <c r="H313" s="485"/>
      <c r="I313" s="485"/>
      <c r="J313" s="485"/>
      <c r="K313" s="485"/>
      <c r="L313" s="485"/>
    </row>
    <row r="314" spans="1:12">
      <c r="A314" s="485"/>
      <c r="B314" s="485"/>
      <c r="C314" s="485"/>
      <c r="D314" s="485"/>
      <c r="E314" s="485"/>
      <c r="F314" s="485"/>
      <c r="G314" s="485"/>
      <c r="H314" s="485"/>
      <c r="I314" s="485"/>
      <c r="J314" s="485"/>
      <c r="K314" s="485"/>
      <c r="L314" s="485"/>
    </row>
    <row r="315" spans="1:12">
      <c r="A315" s="485"/>
      <c r="B315" s="485"/>
      <c r="C315" s="485"/>
      <c r="D315" s="485"/>
      <c r="E315" s="485"/>
      <c r="F315" s="485"/>
      <c r="G315" s="485"/>
      <c r="H315" s="485"/>
      <c r="I315" s="485"/>
      <c r="J315" s="485"/>
      <c r="K315" s="485"/>
      <c r="L315" s="485"/>
    </row>
    <row r="316" spans="1:12">
      <c r="A316" s="485"/>
      <c r="B316" s="485"/>
      <c r="C316" s="485"/>
      <c r="D316" s="485"/>
      <c r="E316" s="485"/>
      <c r="F316" s="485"/>
      <c r="G316" s="485"/>
      <c r="H316" s="485"/>
      <c r="I316" s="485"/>
      <c r="J316" s="485"/>
      <c r="K316" s="485"/>
      <c r="L316" s="485"/>
    </row>
    <row r="317" spans="1:12">
      <c r="A317" s="485"/>
      <c r="B317" s="485"/>
      <c r="C317" s="485"/>
      <c r="D317" s="485"/>
      <c r="E317" s="485"/>
      <c r="F317" s="485"/>
      <c r="G317" s="485"/>
      <c r="H317" s="485"/>
      <c r="I317" s="485"/>
      <c r="J317" s="485"/>
      <c r="K317" s="485"/>
      <c r="L317" s="485"/>
    </row>
    <row r="318" spans="1:12">
      <c r="A318" s="485"/>
      <c r="B318" s="485"/>
      <c r="C318" s="485"/>
      <c r="D318" s="485"/>
      <c r="E318" s="485"/>
      <c r="F318" s="485"/>
      <c r="G318" s="485"/>
      <c r="H318" s="485"/>
      <c r="I318" s="485"/>
      <c r="J318" s="485"/>
      <c r="K318" s="485"/>
      <c r="L318" s="485"/>
    </row>
    <row r="319" spans="1:12">
      <c r="A319" s="485"/>
      <c r="B319" s="485"/>
      <c r="C319" s="485"/>
      <c r="D319" s="485"/>
      <c r="E319" s="485"/>
      <c r="F319" s="485"/>
      <c r="G319" s="485"/>
      <c r="H319" s="485"/>
      <c r="I319" s="485"/>
      <c r="J319" s="485"/>
      <c r="K319" s="485"/>
      <c r="L319" s="485"/>
    </row>
    <row r="320" spans="1:12">
      <c r="A320" s="485"/>
      <c r="B320" s="485"/>
      <c r="C320" s="485"/>
      <c r="D320" s="485"/>
      <c r="E320" s="485"/>
      <c r="F320" s="485"/>
      <c r="G320" s="485"/>
      <c r="H320" s="485"/>
      <c r="I320" s="485"/>
      <c r="J320" s="485"/>
      <c r="K320" s="485"/>
      <c r="L320" s="485"/>
    </row>
    <row r="321" spans="1:12">
      <c r="A321" s="485"/>
      <c r="B321" s="485"/>
      <c r="C321" s="485"/>
      <c r="D321" s="485"/>
      <c r="E321" s="485"/>
      <c r="F321" s="485"/>
      <c r="G321" s="485"/>
      <c r="H321" s="485"/>
      <c r="I321" s="485"/>
      <c r="J321" s="485"/>
      <c r="K321" s="485"/>
      <c r="L321" s="485"/>
    </row>
    <row r="322" spans="1:12">
      <c r="A322" s="485"/>
      <c r="B322" s="485"/>
      <c r="C322" s="485"/>
      <c r="D322" s="485"/>
      <c r="E322" s="485"/>
      <c r="F322" s="485"/>
      <c r="G322" s="485"/>
      <c r="H322" s="485"/>
      <c r="I322" s="485"/>
      <c r="J322" s="485"/>
      <c r="K322" s="485"/>
      <c r="L322" s="485"/>
    </row>
    <row r="323" spans="1:12">
      <c r="A323" s="485"/>
      <c r="B323" s="485"/>
      <c r="C323" s="485"/>
      <c r="D323" s="485"/>
      <c r="E323" s="485"/>
      <c r="F323" s="485"/>
      <c r="G323" s="485"/>
      <c r="H323" s="485"/>
      <c r="I323" s="485"/>
      <c r="J323" s="485"/>
      <c r="K323" s="485"/>
      <c r="L323" s="485"/>
    </row>
    <row r="324" spans="1:12">
      <c r="A324" s="485"/>
      <c r="B324" s="485"/>
      <c r="C324" s="485"/>
      <c r="D324" s="485"/>
      <c r="E324" s="485"/>
      <c r="F324" s="485"/>
      <c r="G324" s="485"/>
      <c r="H324" s="485"/>
      <c r="I324" s="485"/>
      <c r="J324" s="485"/>
      <c r="K324" s="485"/>
      <c r="L324" s="485"/>
    </row>
    <row r="325" spans="1:12">
      <c r="A325" s="485"/>
      <c r="B325" s="485"/>
      <c r="C325" s="485"/>
      <c r="D325" s="485"/>
      <c r="E325" s="485"/>
      <c r="F325" s="485"/>
      <c r="G325" s="485"/>
      <c r="H325" s="485"/>
      <c r="I325" s="485"/>
      <c r="J325" s="485"/>
      <c r="K325" s="485"/>
      <c r="L325" s="485"/>
    </row>
    <row r="326" spans="1:12">
      <c r="A326" s="485"/>
      <c r="B326" s="485"/>
      <c r="C326" s="485"/>
      <c r="D326" s="485"/>
      <c r="E326" s="485"/>
      <c r="F326" s="485"/>
      <c r="G326" s="485"/>
      <c r="H326" s="485"/>
      <c r="I326" s="485"/>
      <c r="J326" s="485"/>
      <c r="K326" s="485"/>
      <c r="L326" s="485"/>
    </row>
    <row r="327" spans="1:12">
      <c r="A327" s="485"/>
      <c r="B327" s="485"/>
      <c r="C327" s="485"/>
      <c r="D327" s="485"/>
      <c r="E327" s="485"/>
      <c r="F327" s="485"/>
      <c r="G327" s="485"/>
      <c r="H327" s="485"/>
      <c r="I327" s="485"/>
      <c r="J327" s="485"/>
      <c r="K327" s="485"/>
      <c r="L327" s="485"/>
    </row>
    <row r="328" spans="1:12">
      <c r="A328" s="485"/>
      <c r="B328" s="485"/>
      <c r="C328" s="485"/>
      <c r="D328" s="485"/>
      <c r="E328" s="485"/>
      <c r="F328" s="485"/>
      <c r="G328" s="485"/>
      <c r="H328" s="485"/>
      <c r="I328" s="485"/>
      <c r="J328" s="485"/>
      <c r="K328" s="485"/>
      <c r="L328" s="485"/>
    </row>
    <row r="329" spans="1:12">
      <c r="A329" s="485"/>
      <c r="B329" s="485"/>
      <c r="C329" s="485"/>
      <c r="D329" s="485"/>
      <c r="E329" s="485"/>
      <c r="F329" s="485"/>
      <c r="G329" s="485"/>
      <c r="H329" s="485"/>
      <c r="I329" s="485"/>
      <c r="J329" s="485"/>
      <c r="K329" s="485"/>
      <c r="L329" s="485"/>
    </row>
    <row r="330" spans="1:12">
      <c r="A330" s="485"/>
      <c r="B330" s="485"/>
      <c r="C330" s="485"/>
      <c r="D330" s="485"/>
      <c r="E330" s="485"/>
      <c r="F330" s="485"/>
      <c r="G330" s="485"/>
      <c r="H330" s="485"/>
      <c r="I330" s="485"/>
      <c r="J330" s="485"/>
      <c r="K330" s="485"/>
      <c r="L330" s="485"/>
    </row>
    <row r="331" spans="1:12">
      <c r="A331" s="485"/>
      <c r="B331" s="485"/>
      <c r="C331" s="485"/>
      <c r="D331" s="485"/>
      <c r="E331" s="485"/>
      <c r="F331" s="485"/>
      <c r="G331" s="485"/>
      <c r="H331" s="485"/>
      <c r="I331" s="485"/>
      <c r="J331" s="485"/>
      <c r="K331" s="485"/>
      <c r="L331" s="485"/>
    </row>
    <row r="332" spans="1:12">
      <c r="A332" s="485"/>
      <c r="B332" s="485"/>
      <c r="C332" s="485"/>
      <c r="D332" s="485"/>
      <c r="E332" s="485"/>
      <c r="F332" s="485"/>
      <c r="G332" s="485"/>
      <c r="H332" s="485"/>
      <c r="I332" s="485"/>
      <c r="J332" s="485"/>
      <c r="K332" s="485"/>
      <c r="L332" s="485"/>
    </row>
    <row r="333" spans="1:12">
      <c r="A333" s="485"/>
      <c r="B333" s="485"/>
      <c r="C333" s="485"/>
      <c r="D333" s="485"/>
      <c r="E333" s="485"/>
      <c r="F333" s="485"/>
      <c r="G333" s="485"/>
      <c r="H333" s="485"/>
      <c r="I333" s="485"/>
      <c r="J333" s="485"/>
      <c r="K333" s="485"/>
      <c r="L333" s="485"/>
    </row>
    <row r="334" spans="1:12">
      <c r="A334" s="485"/>
      <c r="B334" s="485"/>
      <c r="C334" s="485"/>
      <c r="D334" s="485"/>
      <c r="E334" s="485"/>
      <c r="F334" s="485"/>
      <c r="G334" s="485"/>
      <c r="H334" s="485"/>
      <c r="I334" s="485"/>
      <c r="J334" s="485"/>
      <c r="K334" s="485"/>
      <c r="L334" s="485"/>
    </row>
    <row r="335" spans="1:12">
      <c r="A335" s="485"/>
      <c r="B335" s="485"/>
      <c r="C335" s="485"/>
      <c r="D335" s="485"/>
      <c r="E335" s="485"/>
      <c r="F335" s="485"/>
      <c r="G335" s="485"/>
      <c r="H335" s="485"/>
      <c r="I335" s="485"/>
      <c r="J335" s="485"/>
      <c r="K335" s="485"/>
      <c r="L335" s="485"/>
    </row>
    <row r="336" spans="1:12">
      <c r="A336" s="485"/>
      <c r="B336" s="485"/>
      <c r="C336" s="485"/>
      <c r="D336" s="485"/>
      <c r="E336" s="485"/>
      <c r="F336" s="485"/>
      <c r="G336" s="485"/>
      <c r="H336" s="485"/>
      <c r="I336" s="485"/>
      <c r="J336" s="485"/>
      <c r="K336" s="485"/>
      <c r="L336" s="485"/>
    </row>
    <row r="337" spans="1:12">
      <c r="A337" s="485"/>
      <c r="B337" s="485"/>
      <c r="C337" s="485"/>
      <c r="D337" s="485"/>
      <c r="E337" s="485"/>
      <c r="F337" s="485"/>
      <c r="G337" s="485"/>
      <c r="H337" s="485"/>
      <c r="I337" s="485"/>
      <c r="J337" s="485"/>
      <c r="K337" s="485"/>
      <c r="L337" s="485"/>
    </row>
    <row r="338" spans="1:12">
      <c r="A338" s="485"/>
      <c r="B338" s="485"/>
      <c r="C338" s="485"/>
      <c r="D338" s="485"/>
      <c r="E338" s="485"/>
      <c r="F338" s="485"/>
      <c r="G338" s="485"/>
      <c r="H338" s="485"/>
      <c r="I338" s="485"/>
      <c r="J338" s="485"/>
      <c r="K338" s="485"/>
      <c r="L338" s="485"/>
    </row>
    <row r="339" spans="1:12">
      <c r="A339" s="485"/>
      <c r="B339" s="485"/>
      <c r="C339" s="485"/>
      <c r="D339" s="485"/>
      <c r="E339" s="485"/>
      <c r="F339" s="485"/>
      <c r="G339" s="485"/>
      <c r="H339" s="485"/>
      <c r="I339" s="485"/>
      <c r="J339" s="485"/>
      <c r="K339" s="485"/>
      <c r="L339" s="485"/>
    </row>
    <row r="340" spans="1:12">
      <c r="A340" s="485"/>
      <c r="B340" s="485"/>
      <c r="C340" s="485"/>
      <c r="D340" s="485"/>
      <c r="E340" s="485"/>
      <c r="F340" s="485"/>
      <c r="G340" s="485"/>
      <c r="H340" s="485"/>
      <c r="I340" s="485"/>
      <c r="J340" s="485"/>
      <c r="K340" s="485"/>
      <c r="L340" s="485"/>
    </row>
    <row r="341" spans="1:12">
      <c r="A341" s="485"/>
      <c r="B341" s="485"/>
      <c r="C341" s="485"/>
      <c r="D341" s="485"/>
      <c r="E341" s="485"/>
      <c r="F341" s="485"/>
      <c r="G341" s="485"/>
      <c r="H341" s="485"/>
      <c r="I341" s="485"/>
      <c r="J341" s="485"/>
      <c r="K341" s="485"/>
      <c r="L341" s="485"/>
    </row>
    <row r="342" spans="1:12">
      <c r="A342" s="485"/>
      <c r="B342" s="485"/>
      <c r="C342" s="485"/>
      <c r="D342" s="485"/>
      <c r="E342" s="485"/>
      <c r="F342" s="485"/>
      <c r="G342" s="485"/>
      <c r="H342" s="485"/>
      <c r="I342" s="485"/>
      <c r="J342" s="485"/>
      <c r="K342" s="485"/>
      <c r="L342" s="485"/>
    </row>
    <row r="343" spans="1:12">
      <c r="A343" s="485"/>
      <c r="B343" s="485"/>
      <c r="C343" s="485"/>
      <c r="D343" s="485"/>
      <c r="E343" s="485"/>
      <c r="F343" s="485"/>
      <c r="G343" s="485"/>
      <c r="H343" s="485"/>
      <c r="I343" s="485"/>
      <c r="J343" s="485"/>
      <c r="K343" s="485"/>
      <c r="L343" s="485"/>
    </row>
    <row r="344" spans="1:12">
      <c r="A344" s="485"/>
      <c r="B344" s="485"/>
      <c r="C344" s="485"/>
      <c r="D344" s="485"/>
      <c r="E344" s="485"/>
      <c r="F344" s="485"/>
      <c r="G344" s="485"/>
      <c r="H344" s="485"/>
      <c r="I344" s="485"/>
      <c r="J344" s="485"/>
      <c r="K344" s="485"/>
      <c r="L344" s="485"/>
    </row>
    <row r="345" spans="1:12">
      <c r="A345" s="485"/>
      <c r="B345" s="485"/>
      <c r="C345" s="485"/>
      <c r="D345" s="485"/>
      <c r="E345" s="485"/>
      <c r="F345" s="485"/>
      <c r="G345" s="485"/>
      <c r="H345" s="485"/>
      <c r="I345" s="485"/>
      <c r="J345" s="485"/>
      <c r="K345" s="485"/>
      <c r="L345" s="485"/>
    </row>
    <row r="346" spans="1:12">
      <c r="A346" s="485"/>
      <c r="B346" s="485"/>
      <c r="C346" s="485"/>
      <c r="D346" s="485"/>
      <c r="E346" s="485"/>
      <c r="F346" s="485"/>
      <c r="G346" s="485"/>
      <c r="H346" s="485"/>
      <c r="I346" s="485"/>
      <c r="J346" s="485"/>
      <c r="K346" s="485"/>
      <c r="L346" s="485"/>
    </row>
    <row r="347" spans="1:12">
      <c r="A347" s="485"/>
      <c r="B347" s="485"/>
      <c r="C347" s="485"/>
      <c r="D347" s="485"/>
      <c r="E347" s="485"/>
      <c r="F347" s="485"/>
      <c r="G347" s="485"/>
      <c r="H347" s="485"/>
      <c r="I347" s="485"/>
      <c r="J347" s="485"/>
      <c r="K347" s="485"/>
      <c r="L347" s="485"/>
    </row>
    <row r="348" spans="1:12">
      <c r="A348" s="485"/>
      <c r="B348" s="485"/>
      <c r="C348" s="485"/>
      <c r="D348" s="485"/>
      <c r="E348" s="485"/>
      <c r="F348" s="485"/>
      <c r="G348" s="485"/>
      <c r="H348" s="485"/>
      <c r="I348" s="485"/>
      <c r="J348" s="485"/>
      <c r="K348" s="485"/>
      <c r="L348" s="485"/>
    </row>
    <row r="349" spans="1:12">
      <c r="A349" s="485"/>
      <c r="B349" s="485"/>
      <c r="C349" s="485"/>
      <c r="D349" s="485"/>
      <c r="E349" s="485"/>
      <c r="F349" s="485"/>
      <c r="G349" s="485"/>
      <c r="H349" s="485"/>
      <c r="I349" s="485"/>
      <c r="J349" s="485"/>
      <c r="K349" s="485"/>
      <c r="L349" s="485"/>
    </row>
    <row r="350" spans="1:12">
      <c r="A350" s="485"/>
      <c r="B350" s="485"/>
      <c r="C350" s="485"/>
      <c r="D350" s="485"/>
      <c r="E350" s="485"/>
      <c r="F350" s="485"/>
      <c r="G350" s="485"/>
      <c r="H350" s="485"/>
      <c r="I350" s="485"/>
      <c r="J350" s="485"/>
      <c r="K350" s="485"/>
      <c r="L350" s="485"/>
    </row>
    <row r="351" spans="1:12">
      <c r="A351" s="485"/>
      <c r="B351" s="485"/>
      <c r="C351" s="485"/>
      <c r="D351" s="485"/>
      <c r="E351" s="485"/>
      <c r="F351" s="485"/>
      <c r="G351" s="485"/>
      <c r="H351" s="485"/>
      <c r="I351" s="485"/>
      <c r="J351" s="485"/>
      <c r="K351" s="485"/>
      <c r="L351" s="485"/>
    </row>
    <row r="352" spans="1:12">
      <c r="A352" s="485"/>
      <c r="B352" s="485"/>
      <c r="C352" s="485"/>
      <c r="D352" s="485"/>
      <c r="E352" s="485"/>
      <c r="F352" s="485"/>
      <c r="G352" s="485"/>
      <c r="H352" s="485"/>
      <c r="I352" s="485"/>
      <c r="J352" s="485"/>
      <c r="K352" s="485"/>
      <c r="L352" s="485"/>
    </row>
    <row r="353" spans="1:12">
      <c r="A353" s="485"/>
      <c r="B353" s="485"/>
      <c r="C353" s="485"/>
      <c r="D353" s="485"/>
      <c r="E353" s="485"/>
      <c r="F353" s="485"/>
      <c r="G353" s="485"/>
      <c r="H353" s="485"/>
      <c r="I353" s="485"/>
      <c r="J353" s="485"/>
      <c r="K353" s="485"/>
      <c r="L353" s="485"/>
    </row>
    <row r="354" spans="1:12">
      <c r="A354" s="485"/>
      <c r="B354" s="485"/>
      <c r="C354" s="485"/>
      <c r="D354" s="485"/>
      <c r="E354" s="485"/>
      <c r="F354" s="485"/>
      <c r="G354" s="485"/>
      <c r="H354" s="485"/>
      <c r="I354" s="485"/>
      <c r="J354" s="485"/>
      <c r="K354" s="485"/>
      <c r="L354" s="485"/>
    </row>
  </sheetData>
  <sheetProtection sheet="1" objects="1" scenarios="1"/>
  <mergeCells count="55">
    <mergeCell ref="C148:D148"/>
    <mergeCell ref="J148:K148"/>
    <mergeCell ref="C137:D137"/>
    <mergeCell ref="B144:K144"/>
    <mergeCell ref="C147:D147"/>
    <mergeCell ref="J147:K147"/>
    <mergeCell ref="B31:K31"/>
    <mergeCell ref="C41:D41"/>
    <mergeCell ref="B48:C48"/>
    <mergeCell ref="G50:H50"/>
    <mergeCell ref="B58:K58"/>
    <mergeCell ref="B52:K52"/>
    <mergeCell ref="B53:K53"/>
    <mergeCell ref="B55:K55"/>
    <mergeCell ref="B57:K57"/>
    <mergeCell ref="C74:D74"/>
    <mergeCell ref="B33:K33"/>
    <mergeCell ref="B35:K35"/>
    <mergeCell ref="B125:K125"/>
    <mergeCell ref="B6:K6"/>
    <mergeCell ref="B7:K7"/>
    <mergeCell ref="B8:K8"/>
    <mergeCell ref="B10:K10"/>
    <mergeCell ref="B85:K85"/>
    <mergeCell ref="B12:K12"/>
    <mergeCell ref="C25:D25"/>
    <mergeCell ref="F23:G23"/>
    <mergeCell ref="B30:K30"/>
    <mergeCell ref="I51:K51"/>
    <mergeCell ref="B86:K86"/>
    <mergeCell ref="C77:D77"/>
    <mergeCell ref="C117:D117"/>
    <mergeCell ref="C123:D123"/>
    <mergeCell ref="C80:D80"/>
    <mergeCell ref="C83:D83"/>
    <mergeCell ref="B88:K88"/>
    <mergeCell ref="B106:K106"/>
    <mergeCell ref="B108:K108"/>
    <mergeCell ref="B110:K110"/>
    <mergeCell ref="C103:D103"/>
    <mergeCell ref="B105:K105"/>
    <mergeCell ref="C114:D114"/>
    <mergeCell ref="C134:D134"/>
    <mergeCell ref="H134:I134"/>
    <mergeCell ref="B90:K90"/>
    <mergeCell ref="C94:D94"/>
    <mergeCell ref="C97:D97"/>
    <mergeCell ref="C100:D100"/>
    <mergeCell ref="C136:D136"/>
    <mergeCell ref="C120:D120"/>
    <mergeCell ref="B126:K126"/>
    <mergeCell ref="B128:K128"/>
    <mergeCell ref="C133:D133"/>
    <mergeCell ref="H133:I133"/>
    <mergeCell ref="B130:K130"/>
  </mergeCells>
  <phoneticPr fontId="0" type="noConversion"/>
  <pageMargins left="0.7" right="0.7" top="0.75" bottom="0.75" header="0.3" footer="0.3"/>
  <pageSetup scale="80" orientation="portrait" blackAndWhite="1" r:id="rId1"/>
  <colBreaks count="1" manualBreakCount="1">
    <brk id="11" max="1048575" man="1"/>
  </colBreaks>
</worksheet>
</file>

<file path=xl/worksheets/sheet47.xml><?xml version="1.0" encoding="utf-8"?>
<worksheet xmlns="http://schemas.openxmlformats.org/spreadsheetml/2006/main" xmlns:r="http://schemas.openxmlformats.org/officeDocument/2006/relationships">
  <dimension ref="A1:A40"/>
  <sheetViews>
    <sheetView workbookViewId="0">
      <selection activeCell="C9" sqref="C9"/>
    </sheetView>
  </sheetViews>
  <sheetFormatPr defaultRowHeight="15.75"/>
  <cols>
    <col min="1" max="1" width="71.21875" style="1" customWidth="1"/>
    <col min="2" max="16384" width="8.88671875" style="1"/>
  </cols>
  <sheetData>
    <row r="1" spans="1:1" ht="16.5">
      <c r="A1" s="486" t="s">
        <v>454</v>
      </c>
    </row>
    <row r="3" spans="1:1" ht="31.5">
      <c r="A3" s="487" t="s">
        <v>455</v>
      </c>
    </row>
    <row r="4" spans="1:1">
      <c r="A4" s="488" t="s">
        <v>456</v>
      </c>
    </row>
    <row r="7" spans="1:1" ht="31.5">
      <c r="A7" s="487" t="s">
        <v>457</v>
      </c>
    </row>
    <row r="8" spans="1:1">
      <c r="A8" s="488" t="s">
        <v>458</v>
      </c>
    </row>
    <row r="11" spans="1:1">
      <c r="A11" s="1" t="s">
        <v>459</v>
      </c>
    </row>
    <row r="12" spans="1:1">
      <c r="A12" s="488" t="s">
        <v>460</v>
      </c>
    </row>
    <row r="15" spans="1:1">
      <c r="A15" s="1" t="s">
        <v>461</v>
      </c>
    </row>
    <row r="16" spans="1:1">
      <c r="A16" s="488" t="s">
        <v>462</v>
      </c>
    </row>
    <row r="19" spans="1:1">
      <c r="A19" s="1" t="s">
        <v>463</v>
      </c>
    </row>
    <row r="20" spans="1:1">
      <c r="A20" s="488" t="s">
        <v>464</v>
      </c>
    </row>
    <row r="23" spans="1:1">
      <c r="A23" s="1" t="s">
        <v>465</v>
      </c>
    </row>
    <row r="24" spans="1:1">
      <c r="A24" s="488" t="s">
        <v>466</v>
      </c>
    </row>
    <row r="27" spans="1:1">
      <c r="A27" s="1" t="s">
        <v>467</v>
      </c>
    </row>
    <row r="28" spans="1:1">
      <c r="A28" s="488" t="s">
        <v>468</v>
      </c>
    </row>
    <row r="31" spans="1:1">
      <c r="A31" s="1" t="s">
        <v>469</v>
      </c>
    </row>
    <row r="32" spans="1:1">
      <c r="A32" s="488" t="s">
        <v>470</v>
      </c>
    </row>
    <row r="35" spans="1:1">
      <c r="A35" s="1" t="s">
        <v>471</v>
      </c>
    </row>
    <row r="36" spans="1:1">
      <c r="A36" s="488" t="s">
        <v>472</v>
      </c>
    </row>
    <row r="39" spans="1:1">
      <c r="A39" s="1" t="s">
        <v>473</v>
      </c>
    </row>
    <row r="40" spans="1:1">
      <c r="A40" s="488" t="s">
        <v>474</v>
      </c>
    </row>
  </sheetData>
  <sheetProtection sheet="1" objects="1" scenarios="1"/>
  <phoneticPr fontId="0"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8.xml><?xml version="1.0" encoding="utf-8"?>
<worksheet xmlns="http://schemas.openxmlformats.org/spreadsheetml/2006/main" xmlns:r="http://schemas.openxmlformats.org/officeDocument/2006/relationships">
  <dimension ref="A1:E257"/>
  <sheetViews>
    <sheetView workbookViewId="0">
      <selection activeCell="H34" sqref="H34"/>
    </sheetView>
  </sheetViews>
  <sheetFormatPr defaultRowHeight="15.75"/>
  <cols>
    <col min="1" max="1" width="81.88671875" style="32" customWidth="1"/>
    <col min="2" max="16384" width="8.88671875" style="32"/>
  </cols>
  <sheetData>
    <row r="1" spans="1:1">
      <c r="A1" s="525" t="s">
        <v>853</v>
      </c>
    </row>
    <row r="2" spans="1:1">
      <c r="A2" s="32" t="s">
        <v>854</v>
      </c>
    </row>
    <row r="4" spans="1:1">
      <c r="A4" s="525" t="s">
        <v>851</v>
      </c>
    </row>
    <row r="5" spans="1:1">
      <c r="A5" s="32" t="s">
        <v>852</v>
      </c>
    </row>
    <row r="7" spans="1:1">
      <c r="A7" s="525" t="s">
        <v>848</v>
      </c>
    </row>
    <row r="8" spans="1:1">
      <c r="A8" s="32" t="s">
        <v>849</v>
      </c>
    </row>
    <row r="10" spans="1:1">
      <c r="A10" s="525" t="s">
        <v>846</v>
      </c>
    </row>
    <row r="11" spans="1:1">
      <c r="A11" s="606" t="s">
        <v>847</v>
      </c>
    </row>
    <row r="13" spans="1:1">
      <c r="A13" s="525" t="s">
        <v>844</v>
      </c>
    </row>
    <row r="14" spans="1:1">
      <c r="A14" s="606" t="s">
        <v>843</v>
      </c>
    </row>
    <row r="15" spans="1:1">
      <c r="A15" s="525"/>
    </row>
    <row r="16" spans="1:1">
      <c r="A16" s="525" t="s">
        <v>838</v>
      </c>
    </row>
    <row r="17" spans="1:5">
      <c r="A17" s="32" t="s">
        <v>839</v>
      </c>
    </row>
    <row r="19" spans="1:5">
      <c r="A19" s="525" t="s">
        <v>836</v>
      </c>
      <c r="B19" s="737"/>
      <c r="C19" s="737"/>
      <c r="D19" s="737"/>
      <c r="E19" s="737"/>
    </row>
    <row r="20" spans="1:5">
      <c r="A20" s="738" t="s">
        <v>837</v>
      </c>
      <c r="B20" s="737"/>
      <c r="C20" s="737"/>
      <c r="D20" s="737"/>
      <c r="E20" s="737"/>
    </row>
    <row r="22" spans="1:5">
      <c r="A22" s="525" t="s">
        <v>833</v>
      </c>
    </row>
    <row r="23" spans="1:5">
      <c r="A23" s="32" t="s">
        <v>834</v>
      </c>
    </row>
    <row r="25" spans="1:5">
      <c r="A25" s="525" t="s">
        <v>548</v>
      </c>
    </row>
    <row r="26" spans="1:5">
      <c r="A26" s="606" t="s">
        <v>549</v>
      </c>
    </row>
    <row r="27" spans="1:5">
      <c r="A27" s="32" t="s">
        <v>550</v>
      </c>
    </row>
    <row r="28" spans="1:5">
      <c r="A28" s="32" t="s">
        <v>551</v>
      </c>
    </row>
    <row r="29" spans="1:5">
      <c r="A29" s="32" t="s">
        <v>552</v>
      </c>
    </row>
    <row r="30" spans="1:5">
      <c r="A30" s="32" t="s">
        <v>553</v>
      </c>
    </row>
    <row r="31" spans="1:5">
      <c r="A31" s="32" t="s">
        <v>554</v>
      </c>
    </row>
    <row r="32" spans="1:5">
      <c r="A32" s="32" t="s">
        <v>555</v>
      </c>
    </row>
    <row r="33" spans="1:1">
      <c r="A33" s="32" t="s">
        <v>556</v>
      </c>
    </row>
    <row r="34" spans="1:1">
      <c r="A34" s="32" t="s">
        <v>557</v>
      </c>
    </row>
    <row r="35" spans="1:1">
      <c r="A35" s="32" t="s">
        <v>558</v>
      </c>
    </row>
    <row r="36" spans="1:1">
      <c r="A36" s="32" t="s">
        <v>559</v>
      </c>
    </row>
    <row r="37" spans="1:1">
      <c r="A37" s="32" t="s">
        <v>560</v>
      </c>
    </row>
    <row r="38" spans="1:1">
      <c r="A38" s="32" t="s">
        <v>561</v>
      </c>
    </row>
    <row r="39" spans="1:1">
      <c r="A39" s="32" t="s">
        <v>562</v>
      </c>
    </row>
    <row r="40" spans="1:1">
      <c r="A40" s="32" t="s">
        <v>563</v>
      </c>
    </row>
    <row r="41" spans="1:1">
      <c r="A41" s="32" t="s">
        <v>564</v>
      </c>
    </row>
    <row r="42" spans="1:1" ht="47.25">
      <c r="A42" s="34" t="s">
        <v>565</v>
      </c>
    </row>
    <row r="43" spans="1:1">
      <c r="A43" s="33" t="s">
        <v>566</v>
      </c>
    </row>
    <row r="44" spans="1:1" ht="31.5">
      <c r="A44" s="34" t="s">
        <v>567</v>
      </c>
    </row>
    <row r="45" spans="1:1">
      <c r="A45" s="32" t="s">
        <v>568</v>
      </c>
    </row>
    <row r="46" spans="1:1">
      <c r="A46" s="32" t="s">
        <v>569</v>
      </c>
    </row>
    <row r="47" spans="1:1">
      <c r="A47" s="32" t="s">
        <v>570</v>
      </c>
    </row>
    <row r="48" spans="1:1">
      <c r="A48" s="32" t="s">
        <v>571</v>
      </c>
    </row>
    <row r="49" spans="1:1">
      <c r="A49" s="32" t="s">
        <v>572</v>
      </c>
    </row>
    <row r="50" spans="1:1">
      <c r="A50" s="32" t="s">
        <v>573</v>
      </c>
    </row>
    <row r="51" spans="1:1">
      <c r="A51" s="32" t="s">
        <v>574</v>
      </c>
    </row>
    <row r="52" spans="1:1">
      <c r="A52" s="32" t="s">
        <v>575</v>
      </c>
    </row>
    <row r="53" spans="1:1">
      <c r="A53" s="32" t="s">
        <v>576</v>
      </c>
    </row>
    <row r="54" spans="1:1">
      <c r="A54" s="32" t="s">
        <v>577</v>
      </c>
    </row>
    <row r="55" spans="1:1">
      <c r="A55" s="32" t="s">
        <v>578</v>
      </c>
    </row>
    <row r="56" spans="1:1">
      <c r="A56" s="32" t="s">
        <v>579</v>
      </c>
    </row>
    <row r="57" spans="1:1">
      <c r="A57" s="32" t="s">
        <v>580</v>
      </c>
    </row>
    <row r="58" spans="1:1">
      <c r="A58" s="32" t="s">
        <v>581</v>
      </c>
    </row>
    <row r="59" spans="1:1">
      <c r="A59" s="32" t="s">
        <v>826</v>
      </c>
    </row>
    <row r="60" spans="1:1">
      <c r="A60" s="32" t="s">
        <v>827</v>
      </c>
    </row>
    <row r="61" spans="1:1">
      <c r="A61" s="32" t="s">
        <v>828</v>
      </c>
    </row>
    <row r="62" spans="1:1">
      <c r="A62" s="32" t="s">
        <v>829</v>
      </c>
    </row>
    <row r="64" spans="1:1">
      <c r="A64" s="525" t="s">
        <v>548</v>
      </c>
    </row>
    <row r="65" spans="1:1">
      <c r="A65" s="606" t="s">
        <v>549</v>
      </c>
    </row>
    <row r="66" spans="1:1">
      <c r="A66" s="32" t="s">
        <v>550</v>
      </c>
    </row>
    <row r="67" spans="1:1">
      <c r="A67" s="32" t="s">
        <v>551</v>
      </c>
    </row>
    <row r="68" spans="1:1">
      <c r="A68" s="32" t="s">
        <v>552</v>
      </c>
    </row>
    <row r="69" spans="1:1">
      <c r="A69" s="32" t="s">
        <v>553</v>
      </c>
    </row>
    <row r="70" spans="1:1">
      <c r="A70" s="32" t="s">
        <v>554</v>
      </c>
    </row>
    <row r="71" spans="1:1">
      <c r="A71" s="32" t="s">
        <v>555</v>
      </c>
    </row>
    <row r="72" spans="1:1">
      <c r="A72" s="32" t="s">
        <v>556</v>
      </c>
    </row>
    <row r="73" spans="1:1">
      <c r="A73" s="32" t="s">
        <v>557</v>
      </c>
    </row>
    <row r="74" spans="1:1">
      <c r="A74" s="32" t="s">
        <v>558</v>
      </c>
    </row>
    <row r="75" spans="1:1">
      <c r="A75" s="32" t="s">
        <v>559</v>
      </c>
    </row>
    <row r="76" spans="1:1">
      <c r="A76" s="32" t="s">
        <v>560</v>
      </c>
    </row>
    <row r="77" spans="1:1">
      <c r="A77" s="32" t="s">
        <v>561</v>
      </c>
    </row>
    <row r="78" spans="1:1">
      <c r="A78" s="32" t="s">
        <v>562</v>
      </c>
    </row>
    <row r="79" spans="1:1">
      <c r="A79" s="32" t="s">
        <v>563</v>
      </c>
    </row>
    <row r="80" spans="1:1">
      <c r="A80" s="32" t="s">
        <v>564</v>
      </c>
    </row>
    <row r="81" spans="1:1" ht="47.25">
      <c r="A81" s="34" t="s">
        <v>565</v>
      </c>
    </row>
    <row r="82" spans="1:1">
      <c r="A82" s="33" t="s">
        <v>566</v>
      </c>
    </row>
    <row r="83" spans="1:1" ht="31.5">
      <c r="A83" s="34" t="s">
        <v>567</v>
      </c>
    </row>
    <row r="84" spans="1:1">
      <c r="A84" s="32" t="s">
        <v>568</v>
      </c>
    </row>
    <row r="85" spans="1:1">
      <c r="A85" s="32" t="s">
        <v>569</v>
      </c>
    </row>
    <row r="86" spans="1:1">
      <c r="A86" s="32" t="s">
        <v>570</v>
      </c>
    </row>
    <row r="87" spans="1:1">
      <c r="A87" s="32" t="s">
        <v>571</v>
      </c>
    </row>
    <row r="88" spans="1:1">
      <c r="A88" s="32" t="s">
        <v>572</v>
      </c>
    </row>
    <row r="89" spans="1:1">
      <c r="A89" s="32" t="s">
        <v>573</v>
      </c>
    </row>
    <row r="90" spans="1:1">
      <c r="A90" s="32" t="s">
        <v>574</v>
      </c>
    </row>
    <row r="91" spans="1:1">
      <c r="A91" s="32" t="s">
        <v>575</v>
      </c>
    </row>
    <row r="92" spans="1:1">
      <c r="A92" s="32" t="s">
        <v>576</v>
      </c>
    </row>
    <row r="93" spans="1:1">
      <c r="A93" s="32" t="s">
        <v>577</v>
      </c>
    </row>
    <row r="94" spans="1:1">
      <c r="A94" s="32" t="s">
        <v>578</v>
      </c>
    </row>
    <row r="95" spans="1:1">
      <c r="A95" s="32" t="s">
        <v>579</v>
      </c>
    </row>
    <row r="96" spans="1:1">
      <c r="A96" s="32" t="s">
        <v>580</v>
      </c>
    </row>
    <row r="97" spans="1:1">
      <c r="A97" s="32" t="s">
        <v>581</v>
      </c>
    </row>
    <row r="98" spans="1:1">
      <c r="A98" s="32" t="s">
        <v>582</v>
      </c>
    </row>
    <row r="99" spans="1:1">
      <c r="A99" s="32" t="s">
        <v>583</v>
      </c>
    </row>
    <row r="102" spans="1:1">
      <c r="A102" s="525" t="s">
        <v>545</v>
      </c>
    </row>
    <row r="103" spans="1:1">
      <c r="A103" s="32" t="s">
        <v>546</v>
      </c>
    </row>
    <row r="105" spans="1:1">
      <c r="A105" s="525" t="s">
        <v>541</v>
      </c>
    </row>
    <row r="106" spans="1:1">
      <c r="A106" s="32" t="s">
        <v>542</v>
      </c>
    </row>
    <row r="107" spans="1:1">
      <c r="A107" s="32" t="s">
        <v>543</v>
      </c>
    </row>
    <row r="108" spans="1:1">
      <c r="A108" s="32" t="s">
        <v>544</v>
      </c>
    </row>
    <row r="110" spans="1:1">
      <c r="A110" s="525" t="s">
        <v>539</v>
      </c>
    </row>
    <row r="111" spans="1:1">
      <c r="A111" s="505" t="s">
        <v>540</v>
      </c>
    </row>
    <row r="113" spans="1:1">
      <c r="A113" s="525" t="s">
        <v>511</v>
      </c>
    </row>
    <row r="114" spans="1:1">
      <c r="A114" s="32" t="s">
        <v>512</v>
      </c>
    </row>
    <row r="116" spans="1:1">
      <c r="A116" s="525" t="s">
        <v>486</v>
      </c>
    </row>
    <row r="117" spans="1:1">
      <c r="A117" s="505" t="s">
        <v>477</v>
      </c>
    </row>
    <row r="118" spans="1:1">
      <c r="A118" s="505" t="s">
        <v>478</v>
      </c>
    </row>
    <row r="119" spans="1:1" ht="31.5">
      <c r="A119" s="492" t="s">
        <v>479</v>
      </c>
    </row>
    <row r="120" spans="1:1">
      <c r="A120" s="505" t="s">
        <v>513</v>
      </c>
    </row>
    <row r="121" spans="1:1">
      <c r="A121" s="505" t="s">
        <v>514</v>
      </c>
    </row>
    <row r="122" spans="1:1">
      <c r="A122" s="505" t="s">
        <v>515</v>
      </c>
    </row>
    <row r="123" spans="1:1">
      <c r="A123" s="505" t="s">
        <v>516</v>
      </c>
    </row>
    <row r="124" spans="1:1">
      <c r="A124" s="505" t="s">
        <v>517</v>
      </c>
    </row>
    <row r="125" spans="1:1">
      <c r="A125" s="505" t="s">
        <v>518</v>
      </c>
    </row>
    <row r="126" spans="1:1">
      <c r="A126" s="505" t="s">
        <v>519</v>
      </c>
    </row>
    <row r="127" spans="1:1">
      <c r="A127" s="505" t="s">
        <v>520</v>
      </c>
    </row>
    <row r="128" spans="1:1">
      <c r="A128" s="505" t="s">
        <v>521</v>
      </c>
    </row>
    <row r="129" spans="1:1">
      <c r="A129" s="505" t="s">
        <v>522</v>
      </c>
    </row>
    <row r="130" spans="1:1">
      <c r="A130" s="505" t="s">
        <v>523</v>
      </c>
    </row>
    <row r="131" spans="1:1">
      <c r="A131" s="505" t="s">
        <v>524</v>
      </c>
    </row>
    <row r="132" spans="1:1">
      <c r="A132" s="505" t="s">
        <v>525</v>
      </c>
    </row>
    <row r="133" spans="1:1">
      <c r="A133" s="505" t="s">
        <v>526</v>
      </c>
    </row>
    <row r="134" spans="1:1">
      <c r="A134" s="505" t="s">
        <v>527</v>
      </c>
    </row>
    <row r="135" spans="1:1">
      <c r="A135" s="505" t="s">
        <v>528</v>
      </c>
    </row>
    <row r="136" spans="1:1">
      <c r="A136" s="505" t="s">
        <v>529</v>
      </c>
    </row>
    <row r="137" spans="1:1">
      <c r="A137" s="505" t="s">
        <v>530</v>
      </c>
    </row>
    <row r="138" spans="1:1">
      <c r="A138" s="505" t="s">
        <v>531</v>
      </c>
    </row>
    <row r="139" spans="1:1">
      <c r="A139" s="505" t="s">
        <v>532</v>
      </c>
    </row>
    <row r="140" spans="1:1">
      <c r="A140" s="505" t="s">
        <v>533</v>
      </c>
    </row>
    <row r="141" spans="1:1">
      <c r="A141" s="505" t="s">
        <v>534</v>
      </c>
    </row>
    <row r="142" spans="1:1">
      <c r="A142" s="505" t="s">
        <v>535</v>
      </c>
    </row>
    <row r="143" spans="1:1">
      <c r="A143" s="505" t="s">
        <v>536</v>
      </c>
    </row>
    <row r="144" spans="1:1">
      <c r="A144" s="505" t="s">
        <v>537</v>
      </c>
    </row>
    <row r="145" spans="1:1">
      <c r="A145" s="505" t="s">
        <v>538</v>
      </c>
    </row>
    <row r="147" spans="1:1">
      <c r="A147" s="368" t="s">
        <v>389</v>
      </c>
    </row>
    <row r="148" spans="1:1">
      <c r="A148" s="32" t="s">
        <v>390</v>
      </c>
    </row>
    <row r="149" spans="1:1">
      <c r="A149" s="32" t="s">
        <v>391</v>
      </c>
    </row>
    <row r="150" spans="1:1">
      <c r="A150" s="32" t="s">
        <v>392</v>
      </c>
    </row>
    <row r="152" spans="1:1">
      <c r="A152" s="368" t="s">
        <v>379</v>
      </c>
    </row>
    <row r="153" spans="1:1">
      <c r="A153" s="32" t="s">
        <v>388</v>
      </c>
    </row>
    <row r="155" spans="1:1">
      <c r="A155" s="368" t="s">
        <v>311</v>
      </c>
    </row>
    <row r="156" spans="1:1">
      <c r="A156" s="367" t="s">
        <v>312</v>
      </c>
    </row>
    <row r="157" spans="1:1">
      <c r="A157" s="367" t="s">
        <v>313</v>
      </c>
    </row>
    <row r="158" spans="1:1">
      <c r="A158" s="367" t="s">
        <v>314</v>
      </c>
    </row>
    <row r="159" spans="1:1">
      <c r="A159" s="32" t="s">
        <v>377</v>
      </c>
    </row>
    <row r="161" spans="1:1">
      <c r="A161" s="345" t="s">
        <v>241</v>
      </c>
    </row>
    <row r="162" spans="1:1">
      <c r="A162" s="347" t="s">
        <v>291</v>
      </c>
    </row>
    <row r="163" spans="1:1">
      <c r="A163" s="32" t="s">
        <v>292</v>
      </c>
    </row>
    <row r="164" spans="1:1">
      <c r="A164" s="32" t="s">
        <v>293</v>
      </c>
    </row>
    <row r="165" spans="1:1" ht="21.75" customHeight="1">
      <c r="A165" s="34" t="s">
        <v>294</v>
      </c>
    </row>
    <row r="166" spans="1:1">
      <c r="A166" s="32" t="s">
        <v>295</v>
      </c>
    </row>
    <row r="167" spans="1:1">
      <c r="A167" s="32" t="s">
        <v>296</v>
      </c>
    </row>
    <row r="168" spans="1:1">
      <c r="A168" s="32" t="s">
        <v>297</v>
      </c>
    </row>
    <row r="169" spans="1:1">
      <c r="A169" s="32" t="s">
        <v>298</v>
      </c>
    </row>
    <row r="170" spans="1:1">
      <c r="A170" s="32" t="s">
        <v>299</v>
      </c>
    </row>
    <row r="171" spans="1:1">
      <c r="A171" s="32" t="s">
        <v>300</v>
      </c>
    </row>
    <row r="172" spans="1:1">
      <c r="A172" s="32" t="s">
        <v>301</v>
      </c>
    </row>
    <row r="174" spans="1:1">
      <c r="A174" s="345" t="s">
        <v>236</v>
      </c>
    </row>
    <row r="175" spans="1:1">
      <c r="A175" s="32" t="s">
        <v>237</v>
      </c>
    </row>
    <row r="177" spans="1:1">
      <c r="A177" s="345" t="s">
        <v>234</v>
      </c>
    </row>
    <row r="178" spans="1:1">
      <c r="A178" s="32" t="s">
        <v>235</v>
      </c>
    </row>
    <row r="180" spans="1:1">
      <c r="A180" s="345" t="s">
        <v>231</v>
      </c>
    </row>
    <row r="181" spans="1:1">
      <c r="A181" s="32" t="s">
        <v>232</v>
      </c>
    </row>
    <row r="182" spans="1:1">
      <c r="A182" s="32" t="s">
        <v>233</v>
      </c>
    </row>
    <row r="184" spans="1:1">
      <c r="A184" s="345" t="s">
        <v>705</v>
      </c>
    </row>
    <row r="185" spans="1:1">
      <c r="A185" s="32" t="s">
        <v>690</v>
      </c>
    </row>
    <row r="186" spans="1:1">
      <c r="A186" s="32" t="s">
        <v>691</v>
      </c>
    </row>
    <row r="187" spans="1:1">
      <c r="A187" s="32" t="s">
        <v>692</v>
      </c>
    </row>
    <row r="188" spans="1:1">
      <c r="A188" s="32" t="s">
        <v>699</v>
      </c>
    </row>
    <row r="189" spans="1:1">
      <c r="A189" s="32" t="s">
        <v>693</v>
      </c>
    </row>
    <row r="190" spans="1:1">
      <c r="A190" s="32" t="s">
        <v>694</v>
      </c>
    </row>
    <row r="191" spans="1:1" ht="31.5">
      <c r="A191" s="34" t="s">
        <v>700</v>
      </c>
    </row>
    <row r="192" spans="1:1" ht="31.5">
      <c r="A192" s="34" t="s">
        <v>695</v>
      </c>
    </row>
    <row r="193" spans="1:1">
      <c r="A193" s="34" t="s">
        <v>696</v>
      </c>
    </row>
    <row r="194" spans="1:1">
      <c r="A194" s="34" t="s">
        <v>697</v>
      </c>
    </row>
    <row r="195" spans="1:1" ht="31.5">
      <c r="A195" s="34" t="s">
        <v>224</v>
      </c>
    </row>
    <row r="196" spans="1:1">
      <c r="A196" s="32" t="s">
        <v>225</v>
      </c>
    </row>
    <row r="197" spans="1:1" ht="31.5">
      <c r="A197" s="34" t="s">
        <v>698</v>
      </c>
    </row>
    <row r="198" spans="1:1">
      <c r="A198" s="32" t="s">
        <v>702</v>
      </c>
    </row>
    <row r="199" spans="1:1">
      <c r="A199" s="32" t="s">
        <v>703</v>
      </c>
    </row>
    <row r="200" spans="1:1">
      <c r="A200" s="32" t="s">
        <v>704</v>
      </c>
    </row>
    <row r="201" spans="1:1" ht="31.5">
      <c r="A201" s="34" t="s">
        <v>223</v>
      </c>
    </row>
    <row r="202" spans="1:1">
      <c r="A202" s="32" t="s">
        <v>222</v>
      </c>
    </row>
    <row r="203" spans="1:1" ht="31.5">
      <c r="A203" s="34" t="s">
        <v>221</v>
      </c>
    </row>
    <row r="204" spans="1:1">
      <c r="A204" s="32" t="s">
        <v>226</v>
      </c>
    </row>
    <row r="206" spans="1:1">
      <c r="A206" s="345" t="s">
        <v>709</v>
      </c>
    </row>
    <row r="207" spans="1:1">
      <c r="A207" s="32" t="s">
        <v>710</v>
      </c>
    </row>
    <row r="208" spans="1:1">
      <c r="A208" s="32" t="s">
        <v>711</v>
      </c>
    </row>
    <row r="209" spans="1:1">
      <c r="A209" s="32" t="s">
        <v>712</v>
      </c>
    </row>
    <row r="210" spans="1:1">
      <c r="A210" s="32" t="s">
        <v>701</v>
      </c>
    </row>
    <row r="213" spans="1:1">
      <c r="A213" s="345" t="s">
        <v>686</v>
      </c>
    </row>
    <row r="214" spans="1:1">
      <c r="A214" s="32" t="s">
        <v>687</v>
      </c>
    </row>
    <row r="216" spans="1:1">
      <c r="A216" s="345" t="s">
        <v>679</v>
      </c>
    </row>
    <row r="217" spans="1:1">
      <c r="A217" s="32" t="s">
        <v>680</v>
      </c>
    </row>
    <row r="218" spans="1:1">
      <c r="A218" s="32" t="s">
        <v>681</v>
      </c>
    </row>
    <row r="219" spans="1:1" ht="31.5">
      <c r="A219" s="34" t="s">
        <v>682</v>
      </c>
    </row>
    <row r="220" spans="1:1">
      <c r="A220" s="32" t="s">
        <v>683</v>
      </c>
    </row>
    <row r="221" spans="1:1">
      <c r="A221" s="32" t="s">
        <v>684</v>
      </c>
    </row>
    <row r="222" spans="1:1">
      <c r="A222" s="32" t="s">
        <v>685</v>
      </c>
    </row>
    <row r="224" spans="1:1" ht="18" customHeight="1">
      <c r="A224" s="345" t="s">
        <v>192</v>
      </c>
    </row>
    <row r="225" spans="1:1" ht="48.75" customHeight="1">
      <c r="A225" s="34" t="s">
        <v>227</v>
      </c>
    </row>
    <row r="226" spans="1:1">
      <c r="A226" s="32" t="s">
        <v>193</v>
      </c>
    </row>
    <row r="227" spans="1:1">
      <c r="A227" s="32" t="s">
        <v>194</v>
      </c>
    </row>
    <row r="228" spans="1:1">
      <c r="A228" s="32" t="s">
        <v>228</v>
      </c>
    </row>
    <row r="229" spans="1:1">
      <c r="A229" s="32" t="s">
        <v>195</v>
      </c>
    </row>
    <row r="230" spans="1:1">
      <c r="A230" s="32" t="s">
        <v>196</v>
      </c>
    </row>
    <row r="231" spans="1:1">
      <c r="A231" s="32" t="s">
        <v>647</v>
      </c>
    </row>
    <row r="232" spans="1:1">
      <c r="A232" s="32" t="s">
        <v>197</v>
      </c>
    </row>
    <row r="233" spans="1:1">
      <c r="A233" s="32" t="s">
        <v>198</v>
      </c>
    </row>
    <row r="234" spans="1:1" ht="31.5">
      <c r="A234" s="34" t="s">
        <v>199</v>
      </c>
    </row>
    <row r="235" spans="1:1" ht="31.5">
      <c r="A235" s="34" t="s">
        <v>656</v>
      </c>
    </row>
    <row r="236" spans="1:1">
      <c r="A236" s="32" t="s">
        <v>200</v>
      </c>
    </row>
    <row r="237" spans="1:1">
      <c r="A237" s="32" t="s">
        <v>201</v>
      </c>
    </row>
    <row r="238" spans="1:1">
      <c r="A238" s="32" t="s">
        <v>229</v>
      </c>
    </row>
    <row r="239" spans="1:1">
      <c r="A239" s="32" t="s">
        <v>202</v>
      </c>
    </row>
    <row r="240" spans="1:1">
      <c r="A240" s="32" t="s">
        <v>641</v>
      </c>
    </row>
    <row r="241" spans="1:1" ht="31.5">
      <c r="A241" s="34" t="s">
        <v>642</v>
      </c>
    </row>
    <row r="242" spans="1:1">
      <c r="A242" s="32" t="s">
        <v>211</v>
      </c>
    </row>
    <row r="243" spans="1:1">
      <c r="A243" s="32" t="s">
        <v>212</v>
      </c>
    </row>
    <row r="244" spans="1:1" ht="31.5">
      <c r="A244" s="34" t="s">
        <v>213</v>
      </c>
    </row>
    <row r="245" spans="1:1">
      <c r="A245" s="32" t="s">
        <v>666</v>
      </c>
    </row>
    <row r="246" spans="1:1">
      <c r="A246" s="32" t="s">
        <v>667</v>
      </c>
    </row>
    <row r="247" spans="1:1">
      <c r="A247" s="32" t="s">
        <v>668</v>
      </c>
    </row>
    <row r="248" spans="1:1">
      <c r="A248" s="32" t="s">
        <v>669</v>
      </c>
    </row>
    <row r="249" spans="1:1">
      <c r="A249" s="32" t="s">
        <v>670</v>
      </c>
    </row>
    <row r="250" spans="1:1">
      <c r="A250" s="32" t="s">
        <v>671</v>
      </c>
    </row>
    <row r="251" spans="1:1">
      <c r="A251" s="32" t="s">
        <v>672</v>
      </c>
    </row>
    <row r="252" spans="1:1">
      <c r="A252" s="32" t="s">
        <v>673</v>
      </c>
    </row>
    <row r="253" spans="1:1">
      <c r="A253" s="32" t="s">
        <v>674</v>
      </c>
    </row>
    <row r="254" spans="1:1">
      <c r="A254" s="32" t="s">
        <v>676</v>
      </c>
    </row>
    <row r="255" spans="1:1">
      <c r="A255" s="32" t="s">
        <v>677</v>
      </c>
    </row>
    <row r="256" spans="1:1">
      <c r="A256" s="32" t="s">
        <v>678</v>
      </c>
    </row>
    <row r="257" spans="1:1">
      <c r="A257" s="32" t="s">
        <v>675</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zoomScale="75" zoomScaleNormal="75" workbookViewId="0">
      <selection activeCell="I26" sqref="I26"/>
    </sheetView>
  </sheetViews>
  <sheetFormatPr defaultRowHeight="15.75"/>
  <cols>
    <col min="1" max="1" width="12" style="105" customWidth="1"/>
    <col min="2" max="2" width="24.33203125" style="44" customWidth="1"/>
    <col min="3" max="3" width="10.77734375" style="44" customWidth="1"/>
    <col min="4" max="4" width="5.77734375" style="44" customWidth="1"/>
    <col min="5" max="5" width="14" style="44" customWidth="1"/>
    <col min="6" max="6" width="13.33203125" style="44" customWidth="1"/>
    <col min="7" max="7" width="12.33203125" style="44" customWidth="1"/>
    <col min="8" max="16384" width="8.88671875" style="105"/>
  </cols>
  <sheetData>
    <row r="1" spans="2:9">
      <c r="B1" s="46"/>
      <c r="C1" s="46"/>
      <c r="D1" s="45" t="s">
        <v>50</v>
      </c>
      <c r="E1" s="46"/>
      <c r="F1" s="46"/>
      <c r="G1" s="135"/>
      <c r="I1" s="32">
        <f ca="1">inputPrYr!C5</f>
        <v>2014</v>
      </c>
    </row>
    <row r="2" spans="2:9">
      <c r="B2" s="762" t="str">
        <f ca="1">CONCATENATE("To the Clerk of ",(inputPrYr!D3),", State of Kansas")</f>
        <v>To the Clerk of County of Gove, State of Kansas</v>
      </c>
      <c r="C2" s="752"/>
      <c r="D2" s="752"/>
      <c r="E2" s="752"/>
      <c r="F2" s="752"/>
      <c r="G2" s="752"/>
    </row>
    <row r="3" spans="2:9">
      <c r="B3" s="137" t="s">
        <v>393</v>
      </c>
      <c r="C3" s="55"/>
      <c r="D3" s="55"/>
      <c r="E3" s="55"/>
      <c r="F3" s="55"/>
      <c r="G3" s="55"/>
    </row>
    <row r="4" spans="2:9" ht="16.5">
      <c r="B4" s="760" t="str">
        <f ca="1">(inputPrYr!D2)</f>
        <v>City of Grainfield</v>
      </c>
      <c r="C4" s="761"/>
      <c r="D4" s="761"/>
      <c r="E4" s="761"/>
      <c r="F4" s="761"/>
      <c r="G4" s="761"/>
    </row>
    <row r="5" spans="2:9">
      <c r="B5" s="137" t="s">
        <v>722</v>
      </c>
      <c r="C5" s="55"/>
      <c r="D5" s="55"/>
      <c r="E5" s="55"/>
      <c r="F5" s="55"/>
      <c r="G5" s="55"/>
    </row>
    <row r="6" spans="2:9">
      <c r="B6" s="137" t="s">
        <v>723</v>
      </c>
      <c r="C6" s="55"/>
      <c r="D6" s="55"/>
      <c r="E6" s="55"/>
      <c r="F6" s="55"/>
      <c r="G6" s="55"/>
    </row>
    <row r="7" spans="2:9">
      <c r="B7" s="137" t="str">
        <f>CONCATENATE("maximum expenditures for the various funds for the year ",I1,"; and")</f>
        <v>maximum expenditures for the various funds for the year 2014; and</v>
      </c>
      <c r="C7" s="55"/>
      <c r="D7" s="55"/>
      <c r="E7" s="55"/>
      <c r="F7" s="55"/>
      <c r="G7" s="55"/>
    </row>
    <row r="8" spans="2:9">
      <c r="B8" s="137" t="str">
        <f>CONCATENATE("(3) the Amounts(s) of ",I1-1," Ad Valorem Tax are within statutory limitations.")</f>
        <v>(3) the Amounts(s) of 2013 Ad Valorem Tax are within statutory limitations.</v>
      </c>
      <c r="C8" s="55"/>
      <c r="D8" s="55"/>
      <c r="E8" s="55"/>
      <c r="F8" s="55"/>
      <c r="G8" s="55"/>
    </row>
    <row r="9" spans="2:9">
      <c r="B9" s="46"/>
      <c r="C9" s="46"/>
      <c r="D9" s="46"/>
      <c r="E9" s="138" t="str">
        <f>CONCATENATE("",I1," Adopted Budget")</f>
        <v>2014 Adopted Budget</v>
      </c>
      <c r="F9" s="139"/>
      <c r="G9" s="140"/>
    </row>
    <row r="10" spans="2:9" ht="21" customHeight="1">
      <c r="B10" s="46"/>
      <c r="C10" s="46"/>
      <c r="D10" s="141"/>
      <c r="E10" s="142" t="s">
        <v>724</v>
      </c>
      <c r="F10" s="143" t="str">
        <f>CONCATENATE("Amount of ",I1-1,"")</f>
        <v>Amount of 2013</v>
      </c>
      <c r="G10" s="143" t="s">
        <v>725</v>
      </c>
    </row>
    <row r="11" spans="2:9">
      <c r="B11" s="51"/>
      <c r="C11" s="46"/>
      <c r="D11" s="143" t="s">
        <v>726</v>
      </c>
      <c r="E11" s="434" t="s">
        <v>651</v>
      </c>
      <c r="F11" s="145" t="s">
        <v>161</v>
      </c>
      <c r="G11" s="144" t="s">
        <v>727</v>
      </c>
    </row>
    <row r="12" spans="2:9">
      <c r="B12" s="146" t="s">
        <v>728</v>
      </c>
      <c r="C12" s="70"/>
      <c r="D12" s="147" t="s">
        <v>729</v>
      </c>
      <c r="E12" s="435" t="s">
        <v>399</v>
      </c>
      <c r="F12" s="148" t="s">
        <v>162</v>
      </c>
      <c r="G12" s="147" t="s">
        <v>730</v>
      </c>
    </row>
    <row r="13" spans="2:9">
      <c r="B13" s="149" t="str">
        <f>CONCATENATE("Computation to Determine Limit for ",I1,"")</f>
        <v>Computation to Determine Limit for 2014</v>
      </c>
      <c r="C13" s="92"/>
      <c r="D13" s="150">
        <v>2</v>
      </c>
      <c r="E13" s="151"/>
      <c r="F13" s="151"/>
      <c r="G13" s="151"/>
    </row>
    <row r="14" spans="2:9">
      <c r="B14" s="149" t="s">
        <v>787</v>
      </c>
      <c r="C14" s="70"/>
      <c r="D14" s="147">
        <v>3</v>
      </c>
      <c r="E14" s="144"/>
      <c r="F14" s="144"/>
      <c r="G14" s="144"/>
    </row>
    <row r="15" spans="2:9">
      <c r="B15" s="149" t="s">
        <v>115</v>
      </c>
      <c r="C15" s="70"/>
      <c r="D15" s="147">
        <v>4</v>
      </c>
      <c r="E15" s="144"/>
      <c r="F15" s="144"/>
      <c r="G15" s="144"/>
    </row>
    <row r="16" spans="2:9">
      <c r="B16" s="149" t="s">
        <v>731</v>
      </c>
      <c r="C16" s="92"/>
      <c r="D16" s="150">
        <v>5</v>
      </c>
      <c r="E16" s="152"/>
      <c r="F16" s="152"/>
      <c r="G16" s="152"/>
    </row>
    <row r="17" spans="2:10">
      <c r="B17" s="149" t="s">
        <v>732</v>
      </c>
      <c r="C17" s="92"/>
      <c r="D17" s="150">
        <v>6</v>
      </c>
      <c r="E17" s="152"/>
      <c r="F17" s="152"/>
      <c r="G17" s="152"/>
    </row>
    <row r="18" spans="2:10">
      <c r="B18" s="284" t="str">
        <f ca="1">IF(inputPrYr!D19="","","Computation to Determine State Library Grant")</f>
        <v>Computation to Determine State Library Grant</v>
      </c>
      <c r="C18" s="92"/>
      <c r="D18" s="160">
        <f ca="1">IF(inputPrYr!D19="","",'Library Grant'!F40)</f>
        <v>7</v>
      </c>
      <c r="E18" s="152"/>
      <c r="F18" s="152"/>
      <c r="G18" s="152"/>
    </row>
    <row r="19" spans="2:10">
      <c r="B19" s="153" t="s">
        <v>733</v>
      </c>
      <c r="C19" s="154" t="s">
        <v>734</v>
      </c>
      <c r="D19" s="155"/>
      <c r="E19" s="156"/>
      <c r="F19" s="156"/>
      <c r="G19" s="156"/>
    </row>
    <row r="20" spans="2:10">
      <c r="B20" s="63" t="s">
        <v>717</v>
      </c>
      <c r="C20" s="157" t="str">
        <f ca="1">IF(inputPrYr!C17&gt;0,(inputPrYr!C17),"  ")</f>
        <v>12-101a</v>
      </c>
      <c r="D20" s="150">
        <f ca="1">general!C59</f>
        <v>8</v>
      </c>
      <c r="E20" s="716">
        <f ca="1">IF(general!$E$111&lt;&gt;0,general!$E$111,"  ")</f>
        <v>123400</v>
      </c>
      <c r="F20" s="717">
        <f ca="1">IF(general!$E$118&lt;&gt;0,general!$E$118,0)</f>
        <v>44657.729999999996</v>
      </c>
      <c r="G20" s="718" t="str">
        <f>IF($G$59=0,"",ROUND(F20/$G$59*1000,3))</f>
        <v/>
      </c>
    </row>
    <row r="21" spans="2:10">
      <c r="B21" s="63" t="s">
        <v>688</v>
      </c>
      <c r="C21" s="157" t="str">
        <f ca="1">IF(inputPrYr!C18&gt;0,(inputPrYr!C18),"  ")</f>
        <v>10-113</v>
      </c>
      <c r="D21" s="150">
        <f ca="1">IF(library!C81&gt;0,library!C81,"  ")</f>
        <v>9</v>
      </c>
      <c r="E21" s="716" t="str">
        <f ca="1">IF(library!E33&lt;&gt;0,library!E33,"  ")</f>
        <v xml:space="preserve">  </v>
      </c>
      <c r="F21" s="717">
        <f ca="1">IF(library!E40&lt;&gt;0,library!E40,0)</f>
        <v>0</v>
      </c>
      <c r="G21" s="718" t="str">
        <f t="shared" ref="G21:G32" si="0">IF($G$59=0,"",ROUND(F21/$G$59*1000,3))</f>
        <v/>
      </c>
    </row>
    <row r="22" spans="2:10">
      <c r="B22" s="86" t="str">
        <f ca="1">IF(inputPrYr!$B19&gt;"  ",(inputPrYr!$B19),"  ")</f>
        <v>Library</v>
      </c>
      <c r="C22" s="157" t="str">
        <f ca="1">IF(inputPrYr!C19&gt;0,(inputPrYr!C19),"  ")</f>
        <v>12-1220</v>
      </c>
      <c r="D22" s="150">
        <f ca="1">IF(library!C81&gt;0,library!C81,"  ")</f>
        <v>9</v>
      </c>
      <c r="E22" s="716">
        <f ca="1">IF(library!E73&lt;&gt;0,library!E73,"  ")</f>
        <v>5500</v>
      </c>
      <c r="F22" s="717">
        <f ca="1">IF(library!E80&lt;&gt;0,library!E80,0)</f>
        <v>3849</v>
      </c>
      <c r="G22" s="718" t="str">
        <f t="shared" si="0"/>
        <v/>
      </c>
      <c r="I22" s="557"/>
      <c r="J22" s="557"/>
    </row>
    <row r="23" spans="2:10">
      <c r="B23" s="86" t="str">
        <f ca="1">IF(inputPrYr!$B21&gt;"  ",(inputPrYr!$B21),"  ")</f>
        <v xml:space="preserve">  </v>
      </c>
      <c r="C23" s="157" t="str">
        <f ca="1">IF(inputPrYr!C21&gt;0,(inputPrYr!C21),"  ")</f>
        <v xml:space="preserve">  </v>
      </c>
      <c r="D23" s="150" t="str">
        <f ca="1">IF(empty!C81&gt;0,empty!C81,"  ")</f>
        <v xml:space="preserve">  </v>
      </c>
      <c r="E23" s="716" t="str">
        <f ca="1">IF(empty!$E$33&gt;0,empty!$E$33,"  ")</f>
        <v xml:space="preserve">  </v>
      </c>
      <c r="F23" s="717">
        <f ca="1">IF(empty!E40&lt;&gt;0,empty!E40,0)</f>
        <v>0</v>
      </c>
      <c r="G23" s="718" t="str">
        <f t="shared" si="0"/>
        <v/>
      </c>
      <c r="I23" s="557"/>
      <c r="J23" s="557"/>
    </row>
    <row r="24" spans="2:10">
      <c r="B24" s="86" t="str">
        <f ca="1">IF(inputPrYr!$B22&gt;"  ",(inputPrYr!$B22),"  ")</f>
        <v xml:space="preserve">  </v>
      </c>
      <c r="C24" s="157" t="str">
        <f ca="1">IF(inputPrYr!C22&gt;0,(inputPrYr!C22),"  ")</f>
        <v xml:space="preserve">  </v>
      </c>
      <c r="D24" s="150" t="str">
        <f ca="1">IF(empty!C81&gt;0,empty!C81,"  ")</f>
        <v xml:space="preserve">  </v>
      </c>
      <c r="E24" s="716" t="str">
        <f ca="1">IF(empty!$E$73&gt;0,empty!$E$73,"  ")</f>
        <v xml:space="preserve">  </v>
      </c>
      <c r="F24" s="717">
        <f ca="1">IF(empty!E80&lt;&gt;0,empty!E80,0)</f>
        <v>0</v>
      </c>
      <c r="G24" s="718" t="str">
        <f t="shared" si="0"/>
        <v/>
      </c>
      <c r="I24" s="557"/>
      <c r="J24" s="557"/>
    </row>
    <row r="25" spans="2:10">
      <c r="B25" s="86" t="str">
        <f ca="1">IF(inputPrYr!$B23&gt;"  ",(inputPrYr!$B23),"  ")</f>
        <v xml:space="preserve">  </v>
      </c>
      <c r="C25" s="157" t="str">
        <f ca="1">IF(inputPrYr!C23&gt;0,(inputPrYr!C23),"  ")</f>
        <v xml:space="preserve">  </v>
      </c>
      <c r="D25" s="150" t="str">
        <f ca="1">IF(empty1!C82&gt;0,empty1!C82,"  ")</f>
        <v xml:space="preserve">  </v>
      </c>
      <c r="E25" s="716" t="str">
        <f ca="1">IF(empty1!$E$33&gt;0,empty1!$E$33,"  ")</f>
        <v xml:space="preserve">  </v>
      </c>
      <c r="F25" s="717">
        <f ca="1">IF(empty1!E40&lt;&gt;0,empty1!E40,0)</f>
        <v>0</v>
      </c>
      <c r="G25" s="718" t="str">
        <f t="shared" si="0"/>
        <v/>
      </c>
      <c r="I25" s="557"/>
      <c r="J25" s="557"/>
    </row>
    <row r="26" spans="2:10">
      <c r="B26" s="86" t="str">
        <f ca="1">IF(inputPrYr!$B24&gt;"  ",(inputPrYr!$B24),"  ")</f>
        <v xml:space="preserve">  </v>
      </c>
      <c r="C26" s="157" t="str">
        <f ca="1">IF(inputPrYr!C24&gt;0,(inputPrYr!C24),"  ")</f>
        <v xml:space="preserve">  </v>
      </c>
      <c r="D26" s="150" t="str">
        <f ca="1">IF(empty1!C82&gt;0,empty1!C82,"  ")</f>
        <v xml:space="preserve">  </v>
      </c>
      <c r="E26" s="716" t="str">
        <f ca="1">IF(empty1!$E$73&gt;0,empty1!$E$73,"  ")</f>
        <v xml:space="preserve">  </v>
      </c>
      <c r="F26" s="717">
        <f ca="1">IF(empty1!E80&lt;&gt;0,empty1!E80,0)</f>
        <v>0</v>
      </c>
      <c r="G26" s="718" t="str">
        <f t="shared" si="0"/>
        <v/>
      </c>
      <c r="I26" s="557"/>
      <c r="J26" s="557"/>
    </row>
    <row r="27" spans="2:10">
      <c r="B27" s="86" t="str">
        <f ca="1">IF(inputPrYr!$B25&gt;"  ",(inputPrYr!$B25),"  ")</f>
        <v xml:space="preserve">  </v>
      </c>
      <c r="C27" s="157" t="str">
        <f ca="1">IF(inputPrYr!C25&gt;0,(inputPrYr!C25),"  ")</f>
        <v xml:space="preserve">  </v>
      </c>
      <c r="D27" s="150" t="str">
        <f ca="1">IF(empty2!C82&gt;0,empty2!C82,"  ")</f>
        <v xml:space="preserve">  </v>
      </c>
      <c r="E27" s="716" t="str">
        <f ca="1">IF(empty2!$E$33&gt;0,empty2!$E$33,"  ")</f>
        <v xml:space="preserve">  </v>
      </c>
      <c r="F27" s="717">
        <f ca="1">IF(empty2!E40&lt;&gt;0,empty2!E40,0)</f>
        <v>0</v>
      </c>
      <c r="G27" s="718" t="str">
        <f t="shared" si="0"/>
        <v/>
      </c>
      <c r="I27" s="557"/>
      <c r="J27" s="557"/>
    </row>
    <row r="28" spans="2:10">
      <c r="B28" s="86" t="str">
        <f ca="1">IF(inputPrYr!$B26&gt;"  ",(inputPrYr!$B26),"  ")</f>
        <v xml:space="preserve">  </v>
      </c>
      <c r="C28" s="157" t="str">
        <f ca="1">IF(inputPrYr!C26&gt;0,(inputPrYr!C26),"  ")</f>
        <v xml:space="preserve">  </v>
      </c>
      <c r="D28" s="150" t="str">
        <f ca="1">IF(empty2!C82&gt;0,empty2!C82,"  ")</f>
        <v xml:space="preserve">  </v>
      </c>
      <c r="E28" s="716" t="str">
        <f ca="1">IF(empty2!$E$73&gt;0,empty2!$E$73,"  ")</f>
        <v xml:space="preserve">  </v>
      </c>
      <c r="F28" s="717">
        <f ca="1">IF(empty2!E80&lt;&gt;0,empty2!E80,0)</f>
        <v>0</v>
      </c>
      <c r="G28" s="718" t="str">
        <f t="shared" si="0"/>
        <v/>
      </c>
      <c r="I28" s="557"/>
      <c r="J28" s="557"/>
    </row>
    <row r="29" spans="2:10">
      <c r="B29" s="86" t="str">
        <f ca="1">IF(inputPrYr!$B27&gt;"  ",(inputPrYr!$B27),"  ")</f>
        <v xml:space="preserve">  </v>
      </c>
      <c r="C29" s="157" t="str">
        <f ca="1">IF(inputPrYr!C27&gt;0,(inputPrYr!C27),"  ")</f>
        <v xml:space="preserve">  </v>
      </c>
      <c r="D29" s="150" t="str">
        <f ca="1">IF(empty3!C82&gt;0,empty3!C82,"  ")</f>
        <v xml:space="preserve">  </v>
      </c>
      <c r="E29" s="716" t="str">
        <f ca="1">IF(empty3!$E$33&gt;0,empty3!$E$33,"  ")</f>
        <v xml:space="preserve">  </v>
      </c>
      <c r="F29" s="717">
        <f ca="1">IF(empty3!E40&lt;&gt;0,empty3!E40,0)</f>
        <v>0</v>
      </c>
      <c r="G29" s="718" t="str">
        <f t="shared" si="0"/>
        <v/>
      </c>
      <c r="I29" s="557"/>
      <c r="J29" s="557"/>
    </row>
    <row r="30" spans="2:10">
      <c r="B30" s="86" t="str">
        <f ca="1">IF(inputPrYr!$B28&gt;"  ",(inputPrYr!$B28),"  ")</f>
        <v xml:space="preserve">  </v>
      </c>
      <c r="C30" s="157" t="str">
        <f ca="1">IF(inputPrYr!C28&gt;0,(inputPrYr!C28),"  ")</f>
        <v xml:space="preserve">  </v>
      </c>
      <c r="D30" s="150" t="str">
        <f ca="1">IF(empty3!C82&gt;0,empty3!C82,"  ")</f>
        <v xml:space="preserve">  </v>
      </c>
      <c r="E30" s="716" t="str">
        <f ca="1">IF(empty3!$E$73&gt;0,empty3!$E$73,"  ")</f>
        <v xml:space="preserve">  </v>
      </c>
      <c r="F30" s="717">
        <f ca="1">IF(empty3!E80&lt;&gt;0,empty3!E80,0)</f>
        <v>0</v>
      </c>
      <c r="G30" s="718" t="str">
        <f t="shared" si="0"/>
        <v/>
      </c>
      <c r="I30" s="557"/>
      <c r="J30" s="557"/>
    </row>
    <row r="31" spans="2:10">
      <c r="B31" s="86" t="str">
        <f ca="1">IF(inputPrYr!$B29&gt;"  ",(inputPrYr!$B29),"  ")</f>
        <v xml:space="preserve">  </v>
      </c>
      <c r="C31" s="157" t="str">
        <f ca="1">IF(inputPrYr!C29&gt;0,(inputPrYr!C29),"  ")</f>
        <v xml:space="preserve">  </v>
      </c>
      <c r="D31" s="150" t="str">
        <f ca="1">IF(empty4!C82&gt;0,empty4!C82,"  ")</f>
        <v xml:space="preserve">  </v>
      </c>
      <c r="E31" s="716" t="str">
        <f ca="1">IF(empty4!$E$33&gt;0,empty4!$E$33,"  ")</f>
        <v xml:space="preserve">  </v>
      </c>
      <c r="F31" s="717">
        <f ca="1">IF(empty4!E40&lt;&gt;0,empty4!E40,0)</f>
        <v>0</v>
      </c>
      <c r="G31" s="718" t="str">
        <f t="shared" si="0"/>
        <v/>
      </c>
      <c r="I31" s="557"/>
      <c r="J31" s="557"/>
    </row>
    <row r="32" spans="2:10">
      <c r="B32" s="86" t="str">
        <f ca="1">IF(inputPrYr!B30&gt;"  ",(inputPrYr!B30),"  ")</f>
        <v xml:space="preserve">  </v>
      </c>
      <c r="C32" s="157" t="str">
        <f ca="1">IF(inputPrYr!C30&gt;0,(inputPrYr!C30),"  ")</f>
        <v xml:space="preserve">  </v>
      </c>
      <c r="D32" s="150" t="str">
        <f ca="1">IF(empty4!C82&gt;0,empty4!C82,"  ")</f>
        <v xml:space="preserve">  </v>
      </c>
      <c r="E32" s="716" t="str">
        <f ca="1">IF(empty4!$E$73&gt;0,empty4!$E$73,"  ")</f>
        <v xml:space="preserve">  </v>
      </c>
      <c r="F32" s="717">
        <f ca="1">IF(empty4!E80&lt;&gt;0,empty4!E80,0)</f>
        <v>0</v>
      </c>
      <c r="G32" s="718" t="str">
        <f t="shared" si="0"/>
        <v/>
      </c>
      <c r="I32" s="555"/>
    </row>
    <row r="33" spans="2:7">
      <c r="B33" s="158" t="str">
        <f ca="1">IF(inputPrYr!$B34&gt;"  ",(inputPrYr!$B34),"  ")</f>
        <v>Special Highway</v>
      </c>
      <c r="C33" s="159"/>
      <c r="D33" s="160">
        <f ca="1">IF('Sp Hiway-Water'!C67&gt;0,'Sp Hiway-Water'!C67,"  ")</f>
        <v>10</v>
      </c>
      <c r="E33" s="716">
        <f ca="1">IF('Sp Hiway-Water'!$E$30&gt;0,'Sp Hiway-Water'!$E$30,"  ")</f>
        <v>9638</v>
      </c>
      <c r="F33" s="716"/>
      <c r="G33" s="719"/>
    </row>
    <row r="34" spans="2:7">
      <c r="B34" s="158" t="str">
        <f ca="1">IF(inputPrYr!$B35&gt;"  ",(inputPrYr!$B35),"  ")</f>
        <v>Water Utility</v>
      </c>
      <c r="C34" s="159"/>
      <c r="D34" s="160">
        <f ca="1">IF('Sp Hiway-Water'!C67&gt;0,'Sp Hiway-Water'!C67,"  ")</f>
        <v>10</v>
      </c>
      <c r="E34" s="716">
        <f ca="1">IF('Sp Hiway-Water'!$E$61&gt;0,'Sp Hiway-Water'!$E$61,"  ")</f>
        <v>49878</v>
      </c>
      <c r="F34" s="716"/>
      <c r="G34" s="719"/>
    </row>
    <row r="35" spans="2:7">
      <c r="B35" s="158" t="str">
        <f ca="1">IF(inputPrYr!$B36&gt;"  ",(inputPrYr!$B36),"  ")</f>
        <v>Fire Protection</v>
      </c>
      <c r="C35" s="161"/>
      <c r="D35" s="160">
        <f ca="1">IF('Fire-Sewer'!C65&gt;0,'Fire-Sewer'!C65,"  ")</f>
        <v>11</v>
      </c>
      <c r="E35" s="716">
        <f ca="1">IF('Fire-Sewer'!$E$28&gt;0,'Fire-Sewer'!$E$28,"  ")</f>
        <v>115233</v>
      </c>
      <c r="F35" s="716"/>
      <c r="G35" s="719"/>
    </row>
    <row r="36" spans="2:7">
      <c r="B36" s="158" t="str">
        <f ca="1">IF(inputPrYr!$B37&gt;"  ",(inputPrYr!$B37),"  ")</f>
        <v>Sewer Utility</v>
      </c>
      <c r="C36" s="159"/>
      <c r="D36" s="160">
        <f ca="1">IF('Fire-Sewer'!C65&gt;0,'Fire-Sewer'!C65,"  ")</f>
        <v>11</v>
      </c>
      <c r="E36" s="716">
        <f ca="1">IF('Fire-Sewer'!$E$59&gt;0,'Fire-Sewer'!$E$59,"  ")</f>
        <v>86251</v>
      </c>
      <c r="F36" s="716"/>
      <c r="G36" s="719"/>
    </row>
    <row r="37" spans="2:7">
      <c r="B37" s="158" t="str">
        <f ca="1">IF(inputPrYr!$B38&gt;"  ",(inputPrYr!$B38),"  ")</f>
        <v>Park &amp; Recreation</v>
      </c>
      <c r="C37" s="161"/>
      <c r="D37" s="160">
        <f ca="1">IF(Park!C65&gt;0,Park!C65,"  ")</f>
        <v>12</v>
      </c>
      <c r="E37" s="716">
        <f ca="1">IF(Park!$E$28&gt;0,Park!$E$28,"  ")</f>
        <v>200</v>
      </c>
      <c r="F37" s="716"/>
      <c r="G37" s="719"/>
    </row>
    <row r="38" spans="2:7">
      <c r="B38" s="158" t="str">
        <f ca="1">IF(inputPrYr!$B39&gt;"  ",(inputPrYr!$B39),"  ")</f>
        <v xml:space="preserve">  </v>
      </c>
      <c r="C38" s="162"/>
      <c r="D38" s="160">
        <f ca="1">IF(Park!C65&gt;0,Park!C65,"  ")</f>
        <v>12</v>
      </c>
      <c r="E38" s="716" t="str">
        <f ca="1">IF(Park!$E$59&gt;0,Park!$E$59,"  ")</f>
        <v xml:space="preserve">  </v>
      </c>
      <c r="F38" s="716"/>
      <c r="G38" s="719"/>
    </row>
    <row r="39" spans="2:7">
      <c r="B39" s="158" t="str">
        <f ca="1">IF(inputPrYr!$B40&gt;"  ",(inputPrYr!$B40),"  ")</f>
        <v xml:space="preserve">  </v>
      </c>
      <c r="C39" s="162"/>
      <c r="D39" s="160" t="str">
        <f ca="1">IF('no levy page17'!C65&gt;0,'no levy page17'!C65,"  ")</f>
        <v xml:space="preserve">  </v>
      </c>
      <c r="E39" s="716" t="str">
        <f ca="1">IF('no levy page17'!$E$28&gt;0,'no levy page17'!$E$28,"  ")</f>
        <v xml:space="preserve">  </v>
      </c>
      <c r="F39" s="716"/>
      <c r="G39" s="719"/>
    </row>
    <row r="40" spans="2:7">
      <c r="B40" s="158" t="str">
        <f ca="1">IF(inputPrYr!$B41&gt;"  ",(inputPrYr!$B41),"  ")</f>
        <v xml:space="preserve">  </v>
      </c>
      <c r="C40" s="162"/>
      <c r="D40" s="160" t="str">
        <f ca="1">IF('no levy page17'!C65&gt;0,'no levy page17'!C65,"  ")</f>
        <v xml:space="preserve">  </v>
      </c>
      <c r="E40" s="716" t="str">
        <f ca="1">IF('no levy page17'!$E$59&gt;0,'no levy page17'!$E$59,"  ")</f>
        <v xml:space="preserve">  </v>
      </c>
      <c r="F40" s="716"/>
      <c r="G40" s="719"/>
    </row>
    <row r="41" spans="2:7">
      <c r="B41" s="158" t="str">
        <f ca="1">IF(inputPrYr!$B42&gt;"  ",(inputPrYr!$B42),"  ")</f>
        <v xml:space="preserve">  </v>
      </c>
      <c r="C41" s="159"/>
      <c r="D41" s="160" t="str">
        <f ca="1">IF('no levy page18'!C65&gt;0,'no levy page18'!C65,"  ")</f>
        <v xml:space="preserve">  </v>
      </c>
      <c r="E41" s="716" t="str">
        <f ca="1">IF('no levy page18'!$E$28&gt;0,'no levy page18'!$E$28,"  ")</f>
        <v xml:space="preserve">  </v>
      </c>
      <c r="F41" s="716"/>
      <c r="G41" s="719"/>
    </row>
    <row r="42" spans="2:7">
      <c r="B42" s="158" t="str">
        <f ca="1">IF(inputPrYr!$B43&gt;"  ",(inputPrYr!$B43),"  ")</f>
        <v xml:space="preserve">  </v>
      </c>
      <c r="C42" s="159"/>
      <c r="D42" s="160" t="str">
        <f ca="1">IF('no levy page18'!C65&gt;0,'no levy page18'!C65,"  ")</f>
        <v xml:space="preserve">  </v>
      </c>
      <c r="E42" s="716" t="str">
        <f ca="1">IF('no levy page18'!$E$59&gt;0,'no levy page18'!$E$59,"  ")</f>
        <v xml:space="preserve">  </v>
      </c>
      <c r="F42" s="716"/>
      <c r="G42" s="719"/>
    </row>
    <row r="43" spans="2:7">
      <c r="B43" s="158" t="str">
        <f ca="1">IF(inputPrYr!$B44&gt;"  ",(inputPrYr!$B44),"  ")</f>
        <v xml:space="preserve">  </v>
      </c>
      <c r="C43" s="159"/>
      <c r="D43" s="160" t="str">
        <f ca="1">IF('no levy page19'!C65&gt;0,'no levy page19'!C65,"  ")</f>
        <v xml:space="preserve">  </v>
      </c>
      <c r="E43" s="716" t="str">
        <f ca="1">IF('no levy page19'!$E$28&gt;0,'no levy page19'!$E$28,"  ")</f>
        <v xml:space="preserve">  </v>
      </c>
      <c r="F43" s="716"/>
      <c r="G43" s="719"/>
    </row>
    <row r="44" spans="2:7">
      <c r="B44" s="158" t="str">
        <f ca="1">IF(inputPrYr!$B45&gt;"  ",(inputPrYr!$B45),"  ")</f>
        <v xml:space="preserve">  </v>
      </c>
      <c r="C44" s="159"/>
      <c r="D44" s="160" t="str">
        <f ca="1">IF('no levy page19'!C65&gt;0,'no levy page19'!C65,"  ")</f>
        <v xml:space="preserve">  </v>
      </c>
      <c r="E44" s="716" t="str">
        <f ca="1">IF('no levy page19'!$E$59&gt;0,'no levy page19'!$E$59,"  ")</f>
        <v xml:space="preserve">  </v>
      </c>
      <c r="F44" s="716"/>
      <c r="G44" s="719"/>
    </row>
    <row r="45" spans="2:7">
      <c r="B45" s="158" t="str">
        <f ca="1">IF(inputPrYr!$B46&gt;"  ",(inputPrYr!$B46),"  ")</f>
        <v xml:space="preserve">  </v>
      </c>
      <c r="C45" s="159"/>
      <c r="D45" s="160" t="str">
        <f ca="1">IF('no levy page20'!C65&gt;0,'no levy page20'!C65,"  ")</f>
        <v xml:space="preserve">  </v>
      </c>
      <c r="E45" s="716" t="str">
        <f ca="1">IF('no levy page20'!$E$28&gt;0,'no levy page20'!$E$28,"  ")</f>
        <v xml:space="preserve">  </v>
      </c>
      <c r="F45" s="716"/>
      <c r="G45" s="719"/>
    </row>
    <row r="46" spans="2:7">
      <c r="B46" s="158" t="str">
        <f ca="1">IF(inputPrYr!$B47&gt;"  ",(inputPrYr!$B47),"  ")</f>
        <v xml:space="preserve">  </v>
      </c>
      <c r="C46" s="159"/>
      <c r="D46" s="160" t="str">
        <f ca="1">IF('no levy page20'!C65&gt;0,'no levy page20'!C65,"  ")</f>
        <v xml:space="preserve">  </v>
      </c>
      <c r="E46" s="716" t="str">
        <f ca="1">IF('no levy page20'!$E$59&gt;0,'no levy page20'!$E$59,"  ")</f>
        <v xml:space="preserve">  </v>
      </c>
      <c r="F46" s="716"/>
      <c r="G46" s="719"/>
    </row>
    <row r="47" spans="2:7">
      <c r="B47" s="158" t="str">
        <f ca="1">IF(inputPrYr!$B48&gt;"  ",(inputPrYr!$B48),"  ")</f>
        <v xml:space="preserve">  </v>
      </c>
      <c r="C47" s="161"/>
      <c r="D47" s="160" t="str">
        <f ca="1">IF('no levy page20'!C65&gt;0,'no levy page21'!C65,"  ")</f>
        <v xml:space="preserve">  </v>
      </c>
      <c r="E47" s="716" t="str">
        <f ca="1">IF('no levy page21'!$E$28&gt;0,'no levy page21'!$E$28,"  ")</f>
        <v xml:space="preserve">  </v>
      </c>
      <c r="F47" s="716"/>
      <c r="G47" s="719"/>
    </row>
    <row r="48" spans="2:7">
      <c r="B48" s="158" t="str">
        <f ca="1">IF(inputPrYr!$B49&gt;"  ",(inputPrYr!$B49),"  ")</f>
        <v xml:space="preserve">  </v>
      </c>
      <c r="C48" s="162"/>
      <c r="D48" s="160" t="str">
        <f ca="1">IF('no levy page21'!C65&gt;0,'no levy page21'!C65,"  ")</f>
        <v xml:space="preserve">  </v>
      </c>
      <c r="E48" s="716" t="str">
        <f ca="1">IF('no levy page21'!$E$59&gt;0,'no levy page21'!$E$59,"  ")</f>
        <v xml:space="preserve">  </v>
      </c>
      <c r="F48" s="716"/>
      <c r="G48" s="719"/>
    </row>
    <row r="49" spans="2:7">
      <c r="B49" s="158" t="str">
        <f ca="1">IF(inputPrYr!$B51&gt;"  ",(inputPrYr!$B51),"  ")</f>
        <v xml:space="preserve">  </v>
      </c>
      <c r="C49" s="159"/>
      <c r="D49" s="160" t="str">
        <f ca="1">IF(SinNoLevy22!C53&gt;0,SinNoLevy22!C53,"  ")</f>
        <v xml:space="preserve">  </v>
      </c>
      <c r="E49" s="716" t="str">
        <f ca="1">IF(SinNoLevy22!$E$47&gt;0,SinNoLevy22!$E$47,"  ")</f>
        <v xml:space="preserve">  </v>
      </c>
      <c r="F49" s="716"/>
      <c r="G49" s="719"/>
    </row>
    <row r="50" spans="2:7">
      <c r="B50" s="158" t="str">
        <f ca="1">IF(inputPrYr!$B52&gt;"  ",(inputPrYr!$B52),"  ")</f>
        <v xml:space="preserve">  </v>
      </c>
      <c r="C50" s="159"/>
      <c r="D50" s="160" t="str">
        <f ca="1">IF(SinNoLevy23!C53&gt;0,SinNoLevy23!C53,"  ")</f>
        <v xml:space="preserve">  </v>
      </c>
      <c r="E50" s="716" t="str">
        <f ca="1">IF(SinNoLevy23!$E$47&gt;0,SinNoLevy23!$E$47,"  ")</f>
        <v xml:space="preserve">  </v>
      </c>
      <c r="F50" s="716"/>
      <c r="G50" s="719"/>
    </row>
    <row r="51" spans="2:7">
      <c r="B51" s="158" t="str">
        <f ca="1">IF(inputPrYr!$B53&gt;"  ",(inputPrYr!$B53),"  ")</f>
        <v xml:space="preserve">  </v>
      </c>
      <c r="C51" s="161"/>
      <c r="D51" s="160" t="str">
        <f ca="1">IF(SinNoLevy24!C53&gt;0,SinNoLevy24!C53,"  ")</f>
        <v xml:space="preserve">  </v>
      </c>
      <c r="E51" s="716" t="str">
        <f ca="1">IF(SinNoLevy24!$E$47&gt;0,SinNoLevy24!$E$47,"  ")</f>
        <v xml:space="preserve">  </v>
      </c>
      <c r="F51" s="716"/>
      <c r="G51" s="719"/>
    </row>
    <row r="52" spans="2:7">
      <c r="B52" s="158" t="str">
        <f ca="1">IF(inputPrYr!$B54&gt;"  ",(inputPrYr!$B54),"  ")</f>
        <v xml:space="preserve">  </v>
      </c>
      <c r="C52" s="162"/>
      <c r="D52" s="160" t="str">
        <f ca="1">IF(SinNoLevy25!C53&gt;0,SinNoLevy25!C53,"  ")</f>
        <v xml:space="preserve">  </v>
      </c>
      <c r="E52" s="716" t="str">
        <f ca="1">IF(SinNoLevy25!$E$47&gt;0,SinNoLevy25!$E$47,"  ")</f>
        <v xml:space="preserve">  </v>
      </c>
      <c r="F52" s="716"/>
      <c r="G52" s="719"/>
    </row>
    <row r="53" spans="2:7">
      <c r="B53" s="158" t="str">
        <f ca="1">IF(inputPrYr!$B57&gt;"  ",(NonBudA!$A3),"  ")</f>
        <v>Non-Budgeted Funds-A</v>
      </c>
      <c r="C53" s="162"/>
      <c r="D53" s="160">
        <f ca="1">IF(NonBudA!F33&gt;0,NonBudA!F33,"  ")</f>
        <v>13</v>
      </c>
      <c r="E53" s="716"/>
      <c r="F53" s="716"/>
      <c r="G53" s="719"/>
    </row>
    <row r="54" spans="2:7">
      <c r="B54" s="158" t="str">
        <f ca="1">IF(inputPrYr!$B63&gt;"  ",(NonBudB!$A3),"  ")</f>
        <v xml:space="preserve">  </v>
      </c>
      <c r="C54" s="162"/>
      <c r="D54" s="160" t="str">
        <f ca="1">IF(NonBudB!F33&gt;0,NonBudB!F33,"  ")</f>
        <v xml:space="preserve">  </v>
      </c>
      <c r="E54" s="716"/>
      <c r="F54" s="716"/>
      <c r="G54" s="719"/>
    </row>
    <row r="55" spans="2:7">
      <c r="B55" s="158" t="str">
        <f ca="1">IF(inputPrYr!$B69&gt;"  ",(NonBudC!$A3),"  ")</f>
        <v xml:space="preserve">  </v>
      </c>
      <c r="C55" s="159"/>
      <c r="D55" s="160" t="str">
        <f ca="1">IF(NonBudC!F33&gt;0,NonBudC!F33,"  ")</f>
        <v xml:space="preserve">  </v>
      </c>
      <c r="E55" s="716"/>
      <c r="F55" s="716"/>
      <c r="G55" s="719"/>
    </row>
    <row r="56" spans="2:7" ht="16.5" thickBot="1">
      <c r="B56" s="158" t="str">
        <f ca="1">IF(inputPrYr!$B75&gt;"  ",(NonBudD!$A3),"  ")</f>
        <v xml:space="preserve">  </v>
      </c>
      <c r="C56" s="161"/>
      <c r="D56" s="160" t="str">
        <f ca="1">IF(NonBudD!F33&gt;0,NonBudD!F33,"  ")</f>
        <v xml:space="preserve">  </v>
      </c>
      <c r="E56" s="720"/>
      <c r="F56" s="720"/>
      <c r="G56" s="721"/>
    </row>
    <row r="57" spans="2:7">
      <c r="B57" s="406" t="s">
        <v>497</v>
      </c>
      <c r="C57" s="92"/>
      <c r="D57" s="258" t="s">
        <v>736</v>
      </c>
      <c r="E57" s="722">
        <f>SUM(E20:E56)</f>
        <v>390100</v>
      </c>
      <c r="F57" s="722">
        <f>SUM(F20:F56)</f>
        <v>48506.729999999996</v>
      </c>
      <c r="G57" s="723" t="str">
        <f>IF(SUM(G20:G56)=0,"",SUM(G20:G56))</f>
        <v/>
      </c>
    </row>
    <row r="58" spans="2:7">
      <c r="B58" s="163" t="s">
        <v>217</v>
      </c>
      <c r="C58" s="164"/>
      <c r="D58" s="165"/>
      <c r="E58" s="166"/>
      <c r="F58" s="167" t="str">
        <f ca="1">IF(F57&gt;computation!J40,"Yes","No")</f>
        <v>No</v>
      </c>
      <c r="G58" s="433" t="s">
        <v>119</v>
      </c>
    </row>
    <row r="59" spans="2:7">
      <c r="B59" s="149" t="s">
        <v>216</v>
      </c>
      <c r="C59" s="92"/>
      <c r="D59" s="150">
        <f ca="1">summ!D70</f>
        <v>0</v>
      </c>
      <c r="E59" s="46"/>
      <c r="F59" s="46"/>
      <c r="G59" s="531"/>
    </row>
    <row r="60" spans="2:7">
      <c r="B60" s="149" t="s">
        <v>654</v>
      </c>
      <c r="C60" s="92"/>
      <c r="D60" s="150" t="str">
        <f ca="1">IF(nhood!C39&gt;0,nhood!C39,"")</f>
        <v/>
      </c>
      <c r="E60" s="46"/>
      <c r="F60" s="46"/>
      <c r="G60" s="765" t="str">
        <f>CONCATENATE("Nov 1, ",I1-1," Total Assessed Valuation")</f>
        <v>Nov 1, 2013 Total Assessed Valuation</v>
      </c>
    </row>
    <row r="61" spans="2:7">
      <c r="B61" s="106" t="s">
        <v>737</v>
      </c>
      <c r="C61" s="75"/>
      <c r="D61" s="75"/>
      <c r="E61" s="75"/>
      <c r="F61" s="75"/>
      <c r="G61" s="766"/>
    </row>
    <row r="62" spans="2:7">
      <c r="B62" s="349"/>
      <c r="C62" s="75"/>
      <c r="D62" s="46"/>
      <c r="E62" s="288"/>
      <c r="F62" s="75"/>
      <c r="G62" s="75"/>
    </row>
    <row r="63" spans="2:7">
      <c r="B63" s="350"/>
      <c r="C63" s="75"/>
      <c r="D63" s="76" t="s">
        <v>784</v>
      </c>
      <c r="E63" s="288"/>
      <c r="F63" s="75"/>
      <c r="G63" s="75"/>
    </row>
    <row r="64" spans="2:7">
      <c r="B64" s="106" t="s">
        <v>132</v>
      </c>
      <c r="C64" s="46"/>
      <c r="D64" s="74"/>
      <c r="E64" s="288"/>
      <c r="F64" s="75"/>
      <c r="G64" s="75"/>
    </row>
    <row r="65" spans="2:7">
      <c r="B65" s="349"/>
      <c r="C65" s="75"/>
      <c r="D65" s="75" t="s">
        <v>785</v>
      </c>
      <c r="E65" s="288"/>
      <c r="F65" s="288"/>
      <c r="G65" s="288"/>
    </row>
    <row r="66" spans="2:7">
      <c r="B66" s="350"/>
      <c r="C66" s="168"/>
      <c r="D66" s="75"/>
      <c r="E66" s="75"/>
      <c r="F66" s="706"/>
      <c r="G66" s="706"/>
    </row>
    <row r="67" spans="2:7">
      <c r="B67" s="75" t="s">
        <v>786</v>
      </c>
      <c r="C67" s="168"/>
      <c r="D67" s="75" t="s">
        <v>785</v>
      </c>
      <c r="E67" s="75"/>
      <c r="F67" s="707"/>
      <c r="G67" s="707"/>
    </row>
    <row r="68" spans="2:7">
      <c r="B68" s="350"/>
      <c r="C68" s="169"/>
      <c r="D68" s="75"/>
      <c r="E68" s="75"/>
      <c r="F68" s="97"/>
      <c r="G68" s="97"/>
    </row>
    <row r="69" spans="2:7">
      <c r="B69" s="561" t="s">
        <v>646</v>
      </c>
      <c r="C69" s="170">
        <f>I1-1</f>
        <v>2013</v>
      </c>
      <c r="D69" s="75" t="s">
        <v>785</v>
      </c>
      <c r="E69" s="75"/>
      <c r="F69" s="707"/>
      <c r="G69" s="707"/>
    </row>
    <row r="70" spans="2:7">
      <c r="B70" s="288"/>
      <c r="C70" s="170"/>
      <c r="D70" s="75"/>
      <c r="E70" s="75"/>
      <c r="F70" s="137"/>
      <c r="G70" s="46"/>
    </row>
    <row r="71" spans="2:7">
      <c r="B71" s="562"/>
      <c r="C71" s="46"/>
      <c r="D71" s="75" t="s">
        <v>785</v>
      </c>
      <c r="E71" s="75"/>
      <c r="F71" s="75"/>
      <c r="G71" s="75"/>
    </row>
    <row r="72" spans="2:7">
      <c r="B72" s="136" t="s">
        <v>739</v>
      </c>
      <c r="C72" s="46"/>
      <c r="D72" s="763" t="s">
        <v>738</v>
      </c>
      <c r="E72" s="764"/>
      <c r="F72" s="764"/>
      <c r="G72" s="764"/>
    </row>
    <row r="73" spans="2:7">
      <c r="B73" s="32"/>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0" spans="2:7" ht="15">
      <c r="B90" s="105"/>
      <c r="C90" s="105"/>
      <c r="D90" s="105"/>
      <c r="E90" s="105"/>
      <c r="F90" s="105"/>
      <c r="G90" s="105"/>
    </row>
    <row r="91" spans="2:7" ht="15">
      <c r="B91" s="105"/>
      <c r="C91" s="105"/>
      <c r="D91" s="105"/>
      <c r="E91" s="105"/>
      <c r="F91" s="105"/>
      <c r="G91" s="105"/>
    </row>
    <row r="92" spans="2:7" ht="15">
      <c r="B92" s="105"/>
      <c r="C92" s="105"/>
      <c r="D92" s="105"/>
      <c r="E92" s="105"/>
      <c r="F92" s="105"/>
      <c r="G92" s="105"/>
    </row>
    <row r="93" spans="2:7" ht="15">
      <c r="B93" s="105"/>
      <c r="C93" s="105"/>
      <c r="D93" s="105"/>
      <c r="E93" s="105"/>
      <c r="F93" s="105"/>
      <c r="G93" s="105"/>
    </row>
    <row r="94" spans="2:7" ht="15">
      <c r="B94" s="105"/>
      <c r="C94" s="105"/>
      <c r="D94" s="105"/>
      <c r="E94" s="105"/>
      <c r="F94" s="105"/>
      <c r="G94" s="105"/>
    </row>
    <row r="95" spans="2:7" ht="15">
      <c r="B95" s="105"/>
      <c r="C95" s="105"/>
      <c r="D95" s="105"/>
      <c r="E95" s="105"/>
      <c r="F95" s="105"/>
      <c r="G95" s="105"/>
    </row>
    <row r="96" spans="2:7" ht="15">
      <c r="B96" s="105"/>
      <c r="C96" s="105"/>
      <c r="D96" s="105"/>
      <c r="E96" s="105"/>
      <c r="F96" s="105"/>
      <c r="G96" s="105"/>
    </row>
    <row r="97" spans="2:7" ht="15">
      <c r="B97" s="105"/>
      <c r="C97" s="105"/>
      <c r="D97" s="105"/>
      <c r="E97" s="105"/>
      <c r="F97" s="105"/>
      <c r="G97" s="105"/>
    </row>
    <row r="98" spans="2:7" ht="15">
      <c r="B98" s="105"/>
      <c r="C98" s="105"/>
      <c r="D98" s="105"/>
      <c r="E98" s="105"/>
      <c r="F98" s="105"/>
      <c r="G98" s="105"/>
    </row>
    <row r="101" spans="2:7">
      <c r="B101" s="32"/>
      <c r="C101" s="32"/>
      <c r="D101" s="32"/>
      <c r="E101" s="32"/>
      <c r="F101" s="32"/>
      <c r="G101" s="32"/>
    </row>
  </sheetData>
  <sheetProtection sheet="1"/>
  <mergeCells count="4">
    <mergeCell ref="B4:G4"/>
    <mergeCell ref="B2:G2"/>
    <mergeCell ref="D72:G72"/>
    <mergeCell ref="G60:G61"/>
  </mergeCells>
  <phoneticPr fontId="0" type="noConversion"/>
  <pageMargins left="1" right="0.5" top="0.5" bottom="0.5" header="0.25" footer="0.25"/>
  <pageSetup scale="63"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24" zoomScale="85" workbookViewId="0">
      <selection activeCell="D49" sqref="D49:D50"/>
    </sheetView>
  </sheetViews>
  <sheetFormatPr defaultRowHeight="15.95" customHeight="1"/>
  <cols>
    <col min="1" max="2" width="3.33203125" style="32" customWidth="1"/>
    <col min="3" max="3" width="31.33203125" style="32" customWidth="1"/>
    <col min="4" max="4" width="2.33203125" style="32" customWidth="1"/>
    <col min="5" max="5" width="15.77734375" style="32" customWidth="1"/>
    <col min="6" max="6" width="2" style="32" customWidth="1"/>
    <col min="7" max="7" width="15.77734375" style="32" customWidth="1"/>
    <col min="8" max="8" width="1.88671875" style="32" customWidth="1"/>
    <col min="9" max="9" width="1.77734375" style="32" customWidth="1"/>
    <col min="10" max="10" width="15.77734375" style="32" customWidth="1"/>
    <col min="11" max="16384" width="8.88671875" style="32"/>
  </cols>
  <sheetData>
    <row r="1" spans="1:10" ht="15.95" customHeight="1">
      <c r="A1" s="172"/>
      <c r="B1" s="172"/>
      <c r="C1" s="173" t="str">
        <f ca="1">inputPrYr!D2</f>
        <v>City of Grainfield</v>
      </c>
      <c r="D1" s="172"/>
      <c r="E1" s="172"/>
      <c r="F1" s="172"/>
      <c r="G1" s="172"/>
      <c r="H1" s="172"/>
      <c r="I1" s="172"/>
      <c r="J1" s="172">
        <f ca="1">inputPrYr!C5</f>
        <v>2014</v>
      </c>
    </row>
    <row r="2" spans="1:10" ht="15.95" customHeight="1">
      <c r="A2" s="172"/>
      <c r="B2" s="172"/>
      <c r="C2" s="172"/>
      <c r="D2" s="172"/>
      <c r="E2" s="172"/>
      <c r="F2" s="172"/>
      <c r="G2" s="172"/>
      <c r="H2" s="172"/>
      <c r="I2" s="172"/>
      <c r="J2" s="172"/>
    </row>
    <row r="3" spans="1:10" ht="15.75">
      <c r="A3" s="768" t="str">
        <f>CONCATENATE("Computation to Determine Limit for ",J1,"")</f>
        <v>Computation to Determine Limit for 2014</v>
      </c>
      <c r="B3" s="769"/>
      <c r="C3" s="769"/>
      <c r="D3" s="769"/>
      <c r="E3" s="769"/>
      <c r="F3" s="769"/>
      <c r="G3" s="769"/>
      <c r="H3" s="769"/>
      <c r="I3" s="769"/>
      <c r="J3" s="769"/>
    </row>
    <row r="4" spans="1:10" ht="15.75">
      <c r="A4" s="172"/>
      <c r="B4" s="172"/>
      <c r="C4" s="172"/>
      <c r="D4" s="172"/>
      <c r="E4" s="769"/>
      <c r="F4" s="769"/>
      <c r="G4" s="769"/>
      <c r="H4" s="174"/>
      <c r="I4" s="172"/>
      <c r="J4" s="175" t="s">
        <v>63</v>
      </c>
    </row>
    <row r="5" spans="1:10" ht="15.75">
      <c r="A5" s="176" t="s">
        <v>64</v>
      </c>
      <c r="B5" s="172" t="str">
        <f>CONCATENATE("Total Tax Levy Amount in ",J1-1," Budget")</f>
        <v>Total Tax Levy Amount in 2013 Budget</v>
      </c>
      <c r="C5" s="172"/>
      <c r="D5" s="172"/>
      <c r="E5" s="177"/>
      <c r="F5" s="177"/>
      <c r="G5" s="177"/>
      <c r="H5" s="178" t="s">
        <v>65</v>
      </c>
      <c r="I5" s="177" t="s">
        <v>66</v>
      </c>
      <c r="J5" s="179">
        <f ca="1">inputPrYr!E31</f>
        <v>47548</v>
      </c>
    </row>
    <row r="6" spans="1:10" ht="15.75">
      <c r="A6" s="176" t="s">
        <v>67</v>
      </c>
      <c r="B6" s="172" t="str">
        <f>CONCATENATE("Debt Service Levy in ",J1-1," Budget")</f>
        <v>Debt Service Levy in 2013 Budget</v>
      </c>
      <c r="C6" s="172"/>
      <c r="D6" s="172"/>
      <c r="E6" s="177"/>
      <c r="F6" s="177"/>
      <c r="G6" s="177"/>
      <c r="H6" s="178" t="s">
        <v>68</v>
      </c>
      <c r="I6" s="177" t="s">
        <v>66</v>
      </c>
      <c r="J6" s="180">
        <f ca="1">inputPrYr!E18</f>
        <v>0</v>
      </c>
    </row>
    <row r="7" spans="1:10" ht="15.75">
      <c r="A7" s="176" t="s">
        <v>95</v>
      </c>
      <c r="B7" s="181" t="s">
        <v>92</v>
      </c>
      <c r="C7" s="172"/>
      <c r="D7" s="172"/>
      <c r="E7" s="177"/>
      <c r="F7" s="177"/>
      <c r="G7" s="177"/>
      <c r="H7" s="177"/>
      <c r="I7" s="177" t="s">
        <v>66</v>
      </c>
      <c r="J7" s="182">
        <f>J5-J6</f>
        <v>47548</v>
      </c>
    </row>
    <row r="8" spans="1:10" ht="15.75">
      <c r="A8" s="172"/>
      <c r="B8" s="172"/>
      <c r="C8" s="172"/>
      <c r="D8" s="172"/>
      <c r="E8" s="177"/>
      <c r="F8" s="177"/>
      <c r="G8" s="177"/>
      <c r="H8" s="177"/>
      <c r="I8" s="177"/>
      <c r="J8" s="177"/>
    </row>
    <row r="9" spans="1:10" ht="15.75">
      <c r="A9" s="172"/>
      <c r="B9" s="181" t="str">
        <f>CONCATENATE("",J1-1," Valuation Information for Valuation Adjustments:")</f>
        <v>2013 Valuation Information for Valuation Adjustments:</v>
      </c>
      <c r="C9" s="172"/>
      <c r="D9" s="172"/>
      <c r="E9" s="177"/>
      <c r="F9" s="177"/>
      <c r="G9" s="177"/>
      <c r="H9" s="177"/>
      <c r="I9" s="177"/>
      <c r="J9" s="177"/>
    </row>
    <row r="10" spans="1:10" ht="15.75">
      <c r="A10" s="172"/>
      <c r="B10" s="172"/>
      <c r="C10" s="181"/>
      <c r="D10" s="172"/>
      <c r="E10" s="177"/>
      <c r="F10" s="177"/>
      <c r="G10" s="177"/>
      <c r="H10" s="177"/>
      <c r="I10" s="177"/>
      <c r="J10" s="177"/>
    </row>
    <row r="11" spans="1:10" ht="15.75">
      <c r="A11" s="176" t="s">
        <v>69</v>
      </c>
      <c r="B11" s="181" t="str">
        <f>CONCATENATE("New Improvements for ",J1-1,":")</f>
        <v>New Improvements for 2013:</v>
      </c>
      <c r="C11" s="172"/>
      <c r="D11" s="172"/>
      <c r="E11" s="178"/>
      <c r="F11" s="178" t="s">
        <v>65</v>
      </c>
      <c r="G11" s="183">
        <f ca="1">inputOth!E8</f>
        <v>9524</v>
      </c>
      <c r="H11" s="184"/>
      <c r="I11" s="177"/>
      <c r="J11" s="177"/>
    </row>
    <row r="12" spans="1:10" ht="15.75">
      <c r="A12" s="176"/>
      <c r="B12" s="185"/>
      <c r="C12" s="172"/>
      <c r="D12" s="172"/>
      <c r="E12" s="178"/>
      <c r="F12" s="178"/>
      <c r="G12" s="184"/>
      <c r="H12" s="184"/>
      <c r="I12" s="177"/>
      <c r="J12" s="177"/>
    </row>
    <row r="13" spans="1:10" ht="15.75">
      <c r="A13" s="176" t="s">
        <v>70</v>
      </c>
      <c r="B13" s="181" t="str">
        <f>CONCATENATE("Increase in Personal Property for ",J1-1,":")</f>
        <v>Increase in Personal Property for 2013:</v>
      </c>
      <c r="C13" s="172"/>
      <c r="D13" s="172"/>
      <c r="E13" s="178"/>
      <c r="F13" s="178"/>
      <c r="G13" s="184"/>
      <c r="H13" s="184"/>
      <c r="I13" s="177"/>
      <c r="J13" s="177"/>
    </row>
    <row r="14" spans="1:10" ht="15.75">
      <c r="A14" s="186"/>
      <c r="B14" s="172" t="s">
        <v>71</v>
      </c>
      <c r="C14" s="172" t="str">
        <f>CONCATENATE("Personal Property ",J1-1,"")</f>
        <v>Personal Property 2013</v>
      </c>
      <c r="D14" s="185" t="s">
        <v>65</v>
      </c>
      <c r="E14" s="183">
        <f ca="1">inputOth!E9</f>
        <v>105672</v>
      </c>
      <c r="F14" s="178"/>
      <c r="G14" s="177"/>
      <c r="H14" s="177"/>
      <c r="I14" s="184"/>
      <c r="J14" s="177"/>
    </row>
    <row r="15" spans="1:10" ht="15.75">
      <c r="A15" s="185"/>
      <c r="B15" s="172" t="s">
        <v>72</v>
      </c>
      <c r="C15" s="172" t="str">
        <f>CONCATENATE("Personal Property ",J1-2,"")</f>
        <v>Personal Property 2012</v>
      </c>
      <c r="D15" s="185" t="s">
        <v>68</v>
      </c>
      <c r="E15" s="187">
        <f ca="1">inputOth!E15</f>
        <v>85361</v>
      </c>
      <c r="F15" s="178"/>
      <c r="G15" s="184"/>
      <c r="H15" s="184"/>
      <c r="I15" s="177"/>
      <c r="J15" s="177"/>
    </row>
    <row r="16" spans="1:10" ht="15.75">
      <c r="A16" s="185"/>
      <c r="B16" s="172" t="s">
        <v>73</v>
      </c>
      <c r="C16" s="172" t="s">
        <v>94</v>
      </c>
      <c r="D16" s="172"/>
      <c r="E16" s="177"/>
      <c r="F16" s="177" t="s">
        <v>65</v>
      </c>
      <c r="G16" s="179">
        <f>IF(E14&gt;E15,E14-E15,0)</f>
        <v>20311</v>
      </c>
      <c r="H16" s="184"/>
      <c r="I16" s="177"/>
      <c r="J16" s="177"/>
    </row>
    <row r="17" spans="1:10" ht="15.75">
      <c r="A17" s="185"/>
      <c r="B17" s="185"/>
      <c r="C17" s="172"/>
      <c r="D17" s="172"/>
      <c r="E17" s="177"/>
      <c r="F17" s="177"/>
      <c r="G17" s="184" t="s">
        <v>86</v>
      </c>
      <c r="H17" s="184"/>
      <c r="I17" s="177"/>
      <c r="J17" s="177"/>
    </row>
    <row r="18" spans="1:10" ht="15.75">
      <c r="A18" s="185" t="s">
        <v>74</v>
      </c>
      <c r="B18" s="181" t="str">
        <f>CONCATENATE("Valuation of annexed territory for ",J1-1,"")</f>
        <v>Valuation of annexed territory for 2013</v>
      </c>
      <c r="C18" s="172"/>
      <c r="D18" s="172"/>
      <c r="E18" s="184"/>
      <c r="F18" s="177"/>
      <c r="G18" s="177"/>
      <c r="H18" s="177"/>
      <c r="I18" s="177"/>
      <c r="J18" s="177"/>
    </row>
    <row r="19" spans="1:10" ht="15.75">
      <c r="A19" s="185"/>
      <c r="B19" s="172" t="s">
        <v>75</v>
      </c>
      <c r="C19" s="172" t="s">
        <v>96</v>
      </c>
      <c r="D19" s="185" t="s">
        <v>65</v>
      </c>
      <c r="E19" s="183">
        <f ca="1">inputOth!E11</f>
        <v>0</v>
      </c>
      <c r="F19" s="177"/>
      <c r="G19" s="177"/>
      <c r="H19" s="177"/>
      <c r="I19" s="177"/>
      <c r="J19" s="177"/>
    </row>
    <row r="20" spans="1:10" ht="15.75">
      <c r="A20" s="185"/>
      <c r="B20" s="172" t="s">
        <v>76</v>
      </c>
      <c r="C20" s="172" t="s">
        <v>97</v>
      </c>
      <c r="D20" s="185" t="s">
        <v>65</v>
      </c>
      <c r="E20" s="183">
        <f ca="1">inputOth!E12</f>
        <v>0</v>
      </c>
      <c r="F20" s="177"/>
      <c r="G20" s="184"/>
      <c r="H20" s="184"/>
      <c r="I20" s="177"/>
      <c r="J20" s="177"/>
    </row>
    <row r="21" spans="1:10" ht="15.75">
      <c r="A21" s="185"/>
      <c r="B21" s="172" t="s">
        <v>77</v>
      </c>
      <c r="C21" s="172" t="s">
        <v>93</v>
      </c>
      <c r="D21" s="185" t="s">
        <v>68</v>
      </c>
      <c r="E21" s="183">
        <f ca="1">inputOth!E13</f>
        <v>0</v>
      </c>
      <c r="F21" s="177"/>
      <c r="G21" s="184"/>
      <c r="H21" s="184"/>
      <c r="I21" s="177"/>
      <c r="J21" s="177"/>
    </row>
    <row r="22" spans="1:10" ht="15.75">
      <c r="A22" s="185"/>
      <c r="B22" s="172" t="s">
        <v>78</v>
      </c>
      <c r="C22" s="172" t="s">
        <v>98</v>
      </c>
      <c r="D22" s="185"/>
      <c r="E22" s="184"/>
      <c r="F22" s="177" t="s">
        <v>65</v>
      </c>
      <c r="G22" s="179">
        <f>E19+E20-E21</f>
        <v>0</v>
      </c>
      <c r="H22" s="184"/>
      <c r="I22" s="177"/>
      <c r="J22" s="177"/>
    </row>
    <row r="23" spans="1:10" ht="15.75">
      <c r="A23" s="185"/>
      <c r="B23" s="185"/>
      <c r="C23" s="172"/>
      <c r="D23" s="185"/>
      <c r="E23" s="184"/>
      <c r="F23" s="177"/>
      <c r="G23" s="184"/>
      <c r="H23" s="184"/>
      <c r="I23" s="177"/>
      <c r="J23" s="177"/>
    </row>
    <row r="24" spans="1:10" ht="15.75">
      <c r="A24" s="185" t="s">
        <v>79</v>
      </c>
      <c r="B24" s="181" t="str">
        <f>CONCATENATE("Valuation of Property that has Changed in Use during ",J1-1,"")</f>
        <v>Valuation of Property that has Changed in Use during 2013</v>
      </c>
      <c r="C24" s="172"/>
      <c r="D24" s="172"/>
      <c r="E24" s="177"/>
      <c r="F24" s="177"/>
      <c r="G24" s="96">
        <f ca="1">inputOth!E14</f>
        <v>0</v>
      </c>
      <c r="H24" s="177"/>
      <c r="I24" s="177"/>
      <c r="J24" s="177"/>
    </row>
    <row r="25" spans="1:10" ht="15.75">
      <c r="A25" s="172" t="s">
        <v>724</v>
      </c>
      <c r="B25" s="172"/>
      <c r="C25" s="172"/>
      <c r="D25" s="185"/>
      <c r="E25" s="184"/>
      <c r="F25" s="177"/>
      <c r="G25" s="188"/>
      <c r="H25" s="184"/>
      <c r="I25" s="177"/>
      <c r="J25" s="177"/>
    </row>
    <row r="26" spans="1:10" ht="15.75">
      <c r="A26" s="185" t="s">
        <v>80</v>
      </c>
      <c r="B26" s="181" t="s">
        <v>99</v>
      </c>
      <c r="C26" s="172"/>
      <c r="D26" s="172"/>
      <c r="E26" s="177"/>
      <c r="F26" s="177"/>
      <c r="G26" s="179">
        <f>G11+G16+G22+G24</f>
        <v>29835</v>
      </c>
      <c r="H26" s="184"/>
      <c r="I26" s="177"/>
      <c r="J26" s="177"/>
    </row>
    <row r="27" spans="1:10" ht="15.75">
      <c r="A27" s="185"/>
      <c r="B27" s="185"/>
      <c r="C27" s="181"/>
      <c r="D27" s="172"/>
      <c r="E27" s="177"/>
      <c r="F27" s="177"/>
      <c r="G27" s="184"/>
      <c r="H27" s="184"/>
      <c r="I27" s="177"/>
      <c r="J27" s="177"/>
    </row>
    <row r="28" spans="1:10" ht="15.75">
      <c r="A28" s="185" t="s">
        <v>81</v>
      </c>
      <c r="B28" s="172" t="str">
        <f>CONCATENATE("Total Estimated Valuation July 1,",J1-1,"")</f>
        <v>Total Estimated Valuation July 1,2013</v>
      </c>
      <c r="C28" s="172"/>
      <c r="D28" s="172"/>
      <c r="E28" s="179">
        <f ca="1">inputOth!E7</f>
        <v>1507063</v>
      </c>
      <c r="F28" s="177"/>
      <c r="G28" s="177"/>
      <c r="H28" s="177"/>
      <c r="I28" s="178"/>
      <c r="J28" s="177"/>
    </row>
    <row r="29" spans="1:10" ht="15.75">
      <c r="A29" s="185"/>
      <c r="B29" s="185"/>
      <c r="C29" s="172"/>
      <c r="D29" s="172"/>
      <c r="E29" s="184"/>
      <c r="F29" s="177"/>
      <c r="G29" s="177"/>
      <c r="H29" s="177"/>
      <c r="I29" s="178"/>
      <c r="J29" s="177"/>
    </row>
    <row r="30" spans="1:10" ht="15.75">
      <c r="A30" s="185" t="s">
        <v>82</v>
      </c>
      <c r="B30" s="181" t="s">
        <v>100</v>
      </c>
      <c r="C30" s="172"/>
      <c r="D30" s="172"/>
      <c r="E30" s="177"/>
      <c r="F30" s="177"/>
      <c r="G30" s="179">
        <f>E28-G26</f>
        <v>1477228</v>
      </c>
      <c r="H30" s="184"/>
      <c r="I30" s="178"/>
      <c r="J30" s="177"/>
    </row>
    <row r="31" spans="1:10" ht="15.75">
      <c r="A31" s="185"/>
      <c r="B31" s="185"/>
      <c r="C31" s="181"/>
      <c r="D31" s="172"/>
      <c r="E31" s="172"/>
      <c r="F31" s="172"/>
      <c r="G31" s="189"/>
      <c r="H31" s="190"/>
      <c r="I31" s="185"/>
      <c r="J31" s="172"/>
    </row>
    <row r="32" spans="1:10" ht="15.75">
      <c r="A32" s="185" t="s">
        <v>83</v>
      </c>
      <c r="B32" s="172" t="s">
        <v>101</v>
      </c>
      <c r="C32" s="172"/>
      <c r="D32" s="172"/>
      <c r="E32" s="172"/>
      <c r="F32" s="172"/>
      <c r="G32" s="191">
        <f>IF(G30&gt;0,G26/G30,0)</f>
        <v>2.0196611491252535E-2</v>
      </c>
      <c r="H32" s="190"/>
      <c r="I32" s="172"/>
      <c r="J32" s="172"/>
    </row>
    <row r="33" spans="1:10" ht="15.75">
      <c r="A33" s="185"/>
      <c r="B33" s="185"/>
      <c r="C33" s="172"/>
      <c r="D33" s="172"/>
      <c r="E33" s="172"/>
      <c r="F33" s="172"/>
      <c r="G33" s="190"/>
      <c r="H33" s="190"/>
      <c r="I33" s="172"/>
      <c r="J33" s="172"/>
    </row>
    <row r="34" spans="1:10" ht="15.75">
      <c r="A34" s="185" t="s">
        <v>84</v>
      </c>
      <c r="B34" s="172" t="s">
        <v>102</v>
      </c>
      <c r="C34" s="172"/>
      <c r="D34" s="172"/>
      <c r="E34" s="172"/>
      <c r="F34" s="172"/>
      <c r="G34" s="190"/>
      <c r="H34" s="192" t="s">
        <v>65</v>
      </c>
      <c r="I34" s="172" t="s">
        <v>66</v>
      </c>
      <c r="J34" s="179">
        <f>ROUND(G32*J7,0)</f>
        <v>960</v>
      </c>
    </row>
    <row r="35" spans="1:10" ht="15.75">
      <c r="A35" s="185"/>
      <c r="B35" s="185"/>
      <c r="C35" s="172"/>
      <c r="D35" s="172"/>
      <c r="E35" s="172"/>
      <c r="F35" s="172"/>
      <c r="G35" s="190"/>
      <c r="H35" s="192"/>
      <c r="I35" s="172"/>
      <c r="J35" s="184"/>
    </row>
    <row r="36" spans="1:10" ht="16.5" thickBot="1">
      <c r="A36" s="185" t="s">
        <v>85</v>
      </c>
      <c r="B36" s="181" t="s">
        <v>108</v>
      </c>
      <c r="C36" s="172"/>
      <c r="D36" s="172"/>
      <c r="E36" s="172"/>
      <c r="F36" s="172"/>
      <c r="G36" s="172"/>
      <c r="H36" s="172"/>
      <c r="I36" s="172" t="s">
        <v>66</v>
      </c>
      <c r="J36" s="193">
        <f>J7+J34</f>
        <v>48508</v>
      </c>
    </row>
    <row r="37" spans="1:10" ht="16.5" thickTop="1">
      <c r="A37" s="172"/>
      <c r="B37" s="172"/>
      <c r="C37" s="172"/>
      <c r="D37" s="172"/>
      <c r="E37" s="172"/>
      <c r="F37" s="172"/>
      <c r="G37" s="172"/>
      <c r="H37" s="172"/>
      <c r="I37" s="172"/>
      <c r="J37" s="172"/>
    </row>
    <row r="38" spans="1:10" ht="15.75">
      <c r="A38" s="185" t="s">
        <v>106</v>
      </c>
      <c r="B38" s="181" t="str">
        <f>CONCATENATE("Debt Service in this ",J1," Budget")</f>
        <v>Debt Service in this 2014 Budget</v>
      </c>
      <c r="C38" s="172"/>
      <c r="D38" s="172"/>
      <c r="E38" s="172"/>
      <c r="F38" s="172"/>
      <c r="G38" s="172"/>
      <c r="H38" s="172"/>
      <c r="I38" s="172"/>
      <c r="J38" s="194">
        <f ca="1">library!E40</f>
        <v>0</v>
      </c>
    </row>
    <row r="39" spans="1:10" ht="15.75">
      <c r="A39" s="185"/>
      <c r="B39" s="181"/>
      <c r="C39" s="172"/>
      <c r="D39" s="172"/>
      <c r="E39" s="172"/>
      <c r="F39" s="172"/>
      <c r="G39" s="172"/>
      <c r="H39" s="172"/>
      <c r="I39" s="172"/>
      <c r="J39" s="190"/>
    </row>
    <row r="40" spans="1:10" ht="16.5" thickBot="1">
      <c r="A40" s="185" t="s">
        <v>107</v>
      </c>
      <c r="B40" s="181" t="s">
        <v>109</v>
      </c>
      <c r="C40" s="172"/>
      <c r="D40" s="172"/>
      <c r="E40" s="172"/>
      <c r="F40" s="172"/>
      <c r="G40" s="172"/>
      <c r="H40" s="172"/>
      <c r="I40" s="172"/>
      <c r="J40" s="193">
        <f>J36+J38</f>
        <v>48508</v>
      </c>
    </row>
    <row r="41" spans="1:10" ht="16.5" thickTop="1">
      <c r="A41" s="172"/>
      <c r="B41" s="172"/>
      <c r="C41" s="172"/>
      <c r="D41" s="172"/>
      <c r="E41" s="172"/>
      <c r="F41" s="172"/>
      <c r="G41" s="172"/>
      <c r="H41" s="172"/>
      <c r="I41" s="172"/>
      <c r="J41" s="172"/>
    </row>
    <row r="42" spans="1:10" s="195" customFormat="1" ht="18.75">
      <c r="A42" s="767" t="str">
        <f>CONCATENATE("If the ",J1," budget includes tax levies exceeding the total on line 15, you must")</f>
        <v>If the 2014 budget includes tax levies exceeding the total on line 15, you must</v>
      </c>
      <c r="B42" s="767"/>
      <c r="C42" s="767"/>
      <c r="D42" s="767"/>
      <c r="E42" s="767"/>
      <c r="F42" s="767"/>
      <c r="G42" s="767"/>
      <c r="H42" s="767"/>
      <c r="I42" s="767"/>
      <c r="J42" s="767"/>
    </row>
    <row r="43" spans="1:10" s="195" customFormat="1" ht="18.75">
      <c r="A43" s="767" t="s">
        <v>177</v>
      </c>
      <c r="B43" s="767"/>
      <c r="C43" s="767"/>
      <c r="D43" s="767"/>
      <c r="E43" s="767"/>
      <c r="F43" s="767"/>
      <c r="G43" s="767"/>
      <c r="H43" s="767"/>
      <c r="I43" s="767"/>
      <c r="J43" s="767"/>
    </row>
    <row r="44" spans="1:10" s="195" customFormat="1" ht="18.75">
      <c r="A44" s="767" t="s">
        <v>178</v>
      </c>
      <c r="B44" s="767"/>
      <c r="C44" s="767"/>
      <c r="D44" s="767"/>
      <c r="E44" s="767"/>
      <c r="F44" s="767"/>
      <c r="G44" s="767"/>
      <c r="H44" s="767"/>
      <c r="I44" s="767"/>
      <c r="J44" s="767"/>
    </row>
  </sheetData>
  <sheetProtection sheet="1"/>
  <mergeCells count="5">
    <mergeCell ref="A42:J42"/>
    <mergeCell ref="A44:J44"/>
    <mergeCell ref="A3:J3"/>
    <mergeCell ref="E4:G4"/>
    <mergeCell ref="A43:J43"/>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topLeftCell="A10" workbookViewId="0">
      <selection activeCell="C7" sqref="C7"/>
    </sheetView>
  </sheetViews>
  <sheetFormatPr defaultRowHeight="15.75"/>
  <cols>
    <col min="1" max="1" width="8.88671875" style="44"/>
    <col min="2" max="2" width="17.88671875" style="44" customWidth="1"/>
    <col min="3" max="3" width="16.109375" style="44" customWidth="1"/>
    <col min="4" max="6" width="12.77734375" style="44" customWidth="1"/>
    <col min="7" max="7" width="10.21875" style="44" customWidth="1"/>
    <col min="8" max="16384" width="8.88671875" style="44"/>
  </cols>
  <sheetData>
    <row r="1" spans="1:8">
      <c r="A1" s="705"/>
      <c r="B1" s="196" t="str">
        <f ca="1">inputPrYr!D2</f>
        <v>City of Grainfield</v>
      </c>
      <c r="C1" s="196"/>
      <c r="D1" s="46"/>
      <c r="E1" s="46"/>
      <c r="F1" s="46"/>
      <c r="G1" s="46">
        <f ca="1">inputPrYr!C5</f>
        <v>2014</v>
      </c>
    </row>
    <row r="2" spans="1:8">
      <c r="A2" s="705"/>
      <c r="B2" s="46"/>
      <c r="C2" s="46"/>
      <c r="D2" s="46"/>
      <c r="E2" s="46"/>
      <c r="F2" s="46"/>
      <c r="G2" s="46"/>
    </row>
    <row r="3" spans="1:8">
      <c r="A3" s="705"/>
      <c r="B3" s="770" t="s">
        <v>649</v>
      </c>
      <c r="C3" s="770"/>
      <c r="D3" s="770"/>
      <c r="E3" s="770"/>
      <c r="F3" s="770"/>
      <c r="G3" s="46"/>
    </row>
    <row r="4" spans="1:8">
      <c r="A4" s="705"/>
      <c r="B4" s="46"/>
      <c r="C4" s="197"/>
      <c r="D4" s="197"/>
      <c r="E4" s="197"/>
      <c r="F4" s="46"/>
      <c r="G4" s="75"/>
    </row>
    <row r="5" spans="1:8" ht="21" customHeight="1">
      <c r="A5" s="705"/>
      <c r="B5" s="198" t="s">
        <v>176</v>
      </c>
      <c r="C5" s="143" t="s">
        <v>788</v>
      </c>
      <c r="D5" s="771" t="str">
        <f>CONCATENATE("Allocation for Year ",G1,"")</f>
        <v>Allocation for Year 2014</v>
      </c>
      <c r="E5" s="772"/>
      <c r="F5" s="773"/>
      <c r="G5" s="46"/>
      <c r="H5" s="625"/>
    </row>
    <row r="6" spans="1:8">
      <c r="A6" s="705"/>
      <c r="B6" s="199" t="str">
        <f>CONCATENATE("for ",G1-1,"")</f>
        <v>for 2013</v>
      </c>
      <c r="C6" s="199" t="str">
        <f>CONCATENATE("Amount for ",G1-2,"")</f>
        <v>Amount for 2012</v>
      </c>
      <c r="D6" s="147" t="s">
        <v>59</v>
      </c>
      <c r="E6" s="147" t="s">
        <v>60</v>
      </c>
      <c r="F6" s="147" t="s">
        <v>58</v>
      </c>
      <c r="G6" s="704"/>
    </row>
    <row r="7" spans="1:8">
      <c r="A7" s="705"/>
      <c r="B7" s="86" t="str">
        <f ca="1">(inputPrYr!B17)</f>
        <v>General</v>
      </c>
      <c r="C7" s="150">
        <f ca="1">(inputPrYr!E17)</f>
        <v>43835</v>
      </c>
      <c r="D7" s="150">
        <f ca="1">IF(inputPrYr!E17=0,0,D22-SUM(D8:D19))</f>
        <v>8130.7999999999993</v>
      </c>
      <c r="E7" s="150">
        <f ca="1">IF(inputPrYr!E17=0,0,E23-SUM(E8:E19))</f>
        <v>415.55</v>
      </c>
      <c r="F7" s="150">
        <f ca="1">IF(inputPrYr!E17=0,0,F24-SUM(F8:F19))</f>
        <v>79.760000000000005</v>
      </c>
      <c r="G7" s="705"/>
    </row>
    <row r="8" spans="1:8">
      <c r="A8" s="705"/>
      <c r="B8" s="86" t="str">
        <f ca="1">IF(inputPrYr!$B18&gt;"  ",(inputPrYr!$B18),"  ")</f>
        <v>Debt Service</v>
      </c>
      <c r="C8" s="150" t="str">
        <f ca="1">IF(inputPrYr!$E18&gt;0,(inputPrYr!$E18),"  ")</f>
        <v xml:space="preserve">  </v>
      </c>
      <c r="D8" s="150" t="str">
        <f ca="1">IF(inputPrYr!E18&gt;0,ROUND(C8*$D$26,0),"  ")</f>
        <v xml:space="preserve">  </v>
      </c>
      <c r="E8" s="150" t="str">
        <f ca="1">IF(inputPrYr!E18&gt;0,ROUND(+C8*E$27,0)," ")</f>
        <v xml:space="preserve"> </v>
      </c>
      <c r="F8" s="150" t="str">
        <f ca="1">IF(inputPrYr!E18&gt;0,ROUND(C8*F$28,0)," ")</f>
        <v xml:space="preserve"> </v>
      </c>
      <c r="G8" s="705"/>
    </row>
    <row r="9" spans="1:8">
      <c r="A9" s="705"/>
      <c r="B9" s="86" t="str">
        <f ca="1">IF(inputPrYr!$B19&gt;"  ",(inputPrYr!$B19),"  ")</f>
        <v>Library</v>
      </c>
      <c r="C9" s="150">
        <f ca="1">IF(inputPrYr!$E19&gt;0,(inputPrYr!$E19),"  ")</f>
        <v>3713</v>
      </c>
      <c r="D9" s="150">
        <f ca="1">IF(inputPrYr!E19&gt;0,ROUND(C9*$D$26,0),"  ")</f>
        <v>689</v>
      </c>
      <c r="E9" s="150">
        <f ca="1">IF(inputPrYr!E19&gt;0,ROUND(+C9*E$27,0)," ")</f>
        <v>35</v>
      </c>
      <c r="F9" s="150">
        <f ca="1">IF(inputPrYr!E19&gt;0,ROUND(+C9*F$28,0)," ")</f>
        <v>7</v>
      </c>
      <c r="G9" s="705"/>
    </row>
    <row r="10" spans="1:8">
      <c r="A10" s="705"/>
      <c r="B10" s="86" t="str">
        <f ca="1">IF(inputPrYr!$B21&gt;"  ",(inputPrYr!$B21),"  ")</f>
        <v xml:space="preserve">  </v>
      </c>
      <c r="C10" s="150" t="str">
        <f ca="1">IF(inputPrYr!$E21&gt;0,(inputPrYr!$E21),"  ")</f>
        <v xml:space="preserve">  </v>
      </c>
      <c r="D10" s="150" t="str">
        <f ca="1">IF(inputPrYr!E21&gt;0,ROUND(C10*$D$26,0),"  ")</f>
        <v xml:space="preserve">  </v>
      </c>
      <c r="E10" s="150" t="str">
        <f ca="1">IF(inputPrYr!E21&gt;0,ROUND(+C10*E$27,0)," ")</f>
        <v xml:space="preserve"> </v>
      </c>
      <c r="F10" s="150" t="str">
        <f ca="1">IF(inputPrYr!E21&gt;0,ROUND(+C10*F$28,0)," ")</f>
        <v xml:space="preserve"> </v>
      </c>
      <c r="G10" s="705"/>
    </row>
    <row r="11" spans="1:8">
      <c r="A11" s="705"/>
      <c r="B11" s="86" t="str">
        <f ca="1">IF(inputPrYr!$B22&gt;"  ",(inputPrYr!$B22),"  ")</f>
        <v xml:space="preserve">  </v>
      </c>
      <c r="C11" s="150" t="str">
        <f ca="1">IF(inputPrYr!$E22&gt;0,(inputPrYr!$E22),"  ")</f>
        <v xml:space="preserve">  </v>
      </c>
      <c r="D11" s="150" t="str">
        <f ca="1">IF(inputPrYr!E22&gt;0,ROUND(C11*$D$26,0),"  ")</f>
        <v xml:space="preserve">  </v>
      </c>
      <c r="E11" s="150" t="str">
        <f ca="1">IF(inputPrYr!E22&gt;0,ROUND(+C11*E$27,0)," ")</f>
        <v xml:space="preserve"> </v>
      </c>
      <c r="F11" s="150" t="str">
        <f ca="1">IF(inputPrYr!E22&gt;0,ROUND(+C11*F$28,0)," ")</f>
        <v xml:space="preserve"> </v>
      </c>
      <c r="G11" s="705"/>
    </row>
    <row r="12" spans="1:8">
      <c r="A12" s="705"/>
      <c r="B12" s="86" t="str">
        <f ca="1">IF(inputPrYr!$B23&gt;"  ",(inputPrYr!$B23),"  ")</f>
        <v xml:space="preserve">  </v>
      </c>
      <c r="C12" s="150" t="str">
        <f ca="1">IF(inputPrYr!$E23&gt;0,(inputPrYr!$E23),"  ")</f>
        <v xml:space="preserve">  </v>
      </c>
      <c r="D12" s="150" t="str">
        <f ca="1">IF(inputPrYr!E23&gt;0,ROUND(C12*$D$26,0),"  ")</f>
        <v xml:space="preserve">  </v>
      </c>
      <c r="E12" s="150" t="str">
        <f ca="1">IF(inputPrYr!E23&gt;0,ROUND(+C12*E$27,0)," ")</f>
        <v xml:space="preserve"> </v>
      </c>
      <c r="F12" s="150" t="str">
        <f ca="1">IF(inputPrYr!E23&gt;0,ROUND(+C12*F$28,0)," ")</f>
        <v xml:space="preserve"> </v>
      </c>
      <c r="G12" s="705"/>
    </row>
    <row r="13" spans="1:8">
      <c r="A13" s="705"/>
      <c r="B13" s="86" t="str">
        <f ca="1">IF(inputPrYr!$B24&gt;"  ",(inputPrYr!$B24),"  ")</f>
        <v xml:space="preserve">  </v>
      </c>
      <c r="C13" s="150" t="str">
        <f ca="1">IF(inputPrYr!$E24&gt;0,(inputPrYr!$E24),"  ")</f>
        <v xml:space="preserve">  </v>
      </c>
      <c r="D13" s="150" t="str">
        <f ca="1">IF(inputPrYr!E24&gt;0,ROUND(C13*$D$26,0),"  ")</f>
        <v xml:space="preserve">  </v>
      </c>
      <c r="E13" s="150" t="str">
        <f ca="1">IF(inputPrYr!E24&gt;0,ROUND(+C13*E$27,0)," ")</f>
        <v xml:space="preserve"> </v>
      </c>
      <c r="F13" s="150" t="str">
        <f ca="1">IF(inputPrYr!E24&gt;0,ROUND(+C13*F$28,0)," ")</f>
        <v xml:space="preserve"> </v>
      </c>
      <c r="G13" s="705"/>
    </row>
    <row r="14" spans="1:8">
      <c r="A14" s="705"/>
      <c r="B14" s="86" t="str">
        <f ca="1">IF(inputPrYr!$B25&gt;"  ",(inputPrYr!$B25),"  ")</f>
        <v xml:space="preserve">  </v>
      </c>
      <c r="C14" s="150" t="str">
        <f ca="1">IF(inputPrYr!$E25&gt;0,(inputPrYr!$E25),"  ")</f>
        <v xml:space="preserve">  </v>
      </c>
      <c r="D14" s="150" t="str">
        <f ca="1">IF(inputPrYr!E25&gt;0,ROUND(C14*$D$26,0),"  ")</f>
        <v xml:space="preserve">  </v>
      </c>
      <c r="E14" s="150" t="str">
        <f ca="1">IF(inputPrYr!E25&gt;0,ROUND(+C14*E$27,0)," ")</f>
        <v xml:space="preserve"> </v>
      </c>
      <c r="F14" s="150" t="str">
        <f ca="1">IF(inputPrYr!E25&gt;0,ROUND(+C14*F$28,0)," ")</f>
        <v xml:space="preserve"> </v>
      </c>
      <c r="G14" s="705"/>
    </row>
    <row r="15" spans="1:8">
      <c r="A15" s="705"/>
      <c r="B15" s="86" t="str">
        <f ca="1">IF(inputPrYr!$B26&gt;"  ",(inputPrYr!$B26),"  ")</f>
        <v xml:space="preserve">  </v>
      </c>
      <c r="C15" s="150" t="str">
        <f ca="1">IF(inputPrYr!$E26&gt;0,(inputPrYr!$E26),"  ")</f>
        <v xml:space="preserve">  </v>
      </c>
      <c r="D15" s="150" t="str">
        <f ca="1">IF(inputPrYr!E26&gt;0,ROUND(C15*$D$26,0),"  ")</f>
        <v xml:space="preserve">  </v>
      </c>
      <c r="E15" s="150" t="str">
        <f ca="1">IF(inputPrYr!E26&gt;0,ROUND(+C15*E$27,0)," ")</f>
        <v xml:space="preserve"> </v>
      </c>
      <c r="F15" s="150" t="str">
        <f ca="1">IF(inputPrYr!E26&gt;0,ROUND(+C15*F$28,0)," ")</f>
        <v xml:space="preserve"> </v>
      </c>
      <c r="G15" s="705"/>
    </row>
    <row r="16" spans="1:8">
      <c r="A16" s="705"/>
      <c r="B16" s="86" t="str">
        <f ca="1">IF(inputPrYr!$B27&gt;"  ",(inputPrYr!$B27),"  ")</f>
        <v xml:space="preserve">  </v>
      </c>
      <c r="C16" s="150" t="str">
        <f ca="1">IF(inputPrYr!$E27&gt;0,(inputPrYr!$E27),"  ")</f>
        <v xml:space="preserve">  </v>
      </c>
      <c r="D16" s="150" t="str">
        <f ca="1">IF(inputPrYr!E27&gt;0,ROUND(C16*$D$26,0),"  ")</f>
        <v xml:space="preserve">  </v>
      </c>
      <c r="E16" s="150" t="str">
        <f ca="1">IF(inputPrYr!E27&gt;0,ROUND(+C16*E$27,0)," ")</f>
        <v xml:space="preserve"> </v>
      </c>
      <c r="F16" s="150" t="str">
        <f ca="1">IF(inputPrYr!E27&gt;0,ROUND(+C16*F$28,0)," ")</f>
        <v xml:space="preserve"> </v>
      </c>
      <c r="G16" s="705"/>
    </row>
    <row r="17" spans="1:7">
      <c r="A17" s="705"/>
      <c r="B17" s="86" t="str">
        <f ca="1">IF(inputPrYr!$B28&gt;"  ",(inputPrYr!$B28),"  ")</f>
        <v xml:space="preserve">  </v>
      </c>
      <c r="C17" s="150" t="str">
        <f ca="1">IF(inputPrYr!$E28&gt;0,(inputPrYr!$E28),"  ")</f>
        <v xml:space="preserve">  </v>
      </c>
      <c r="D17" s="150" t="str">
        <f ca="1">IF(inputPrYr!E28&gt;0,ROUND(C17*$D$26,0),"  ")</f>
        <v xml:space="preserve">  </v>
      </c>
      <c r="E17" s="150" t="str">
        <f ca="1">IF(inputPrYr!E28&gt;0,ROUND(+C17*E$27,0)," ")</f>
        <v xml:space="preserve"> </v>
      </c>
      <c r="F17" s="150" t="str">
        <f ca="1">IF(inputPrYr!E28&gt;0,ROUND(+C17*F$28,0)," ")</f>
        <v xml:space="preserve"> </v>
      </c>
      <c r="G17" s="705"/>
    </row>
    <row r="18" spans="1:7">
      <c r="A18" s="705"/>
      <c r="B18" s="86" t="str">
        <f ca="1">IF(inputPrYr!$B29&gt;"  ",(inputPrYr!$B29),"  ")</f>
        <v xml:space="preserve">  </v>
      </c>
      <c r="C18" s="150" t="str">
        <f ca="1">IF(inputPrYr!$E29&gt;0,(inputPrYr!$E29),"  ")</f>
        <v xml:space="preserve">  </v>
      </c>
      <c r="D18" s="150" t="str">
        <f ca="1">IF(inputPrYr!E29&gt;0,ROUND(C18*$D$26,0),"  ")</f>
        <v xml:space="preserve">  </v>
      </c>
      <c r="E18" s="150" t="str">
        <f ca="1">IF(inputPrYr!E29&gt;0,ROUND(+C18*E$27,0)," ")</f>
        <v xml:space="preserve"> </v>
      </c>
      <c r="F18" s="150" t="str">
        <f ca="1">IF(inputPrYr!E29&gt;0,ROUND(+C18*F$28,0)," ")</f>
        <v xml:space="preserve"> </v>
      </c>
      <c r="G18" s="705"/>
    </row>
    <row r="19" spans="1:7">
      <c r="A19" s="705"/>
      <c r="B19" s="86" t="str">
        <f ca="1">IF(inputPrYr!B30&gt;"  ",(inputPrYr!B30),"  ")</f>
        <v xml:space="preserve">  </v>
      </c>
      <c r="C19" s="150" t="str">
        <f ca="1">IF(inputPrYr!E30&gt;0,(inputPrYr!E30),"  ")</f>
        <v xml:space="preserve">  </v>
      </c>
      <c r="D19" s="150" t="str">
        <f ca="1">IF(inputPrYr!E30&gt;0,ROUND(C19*$D$26,0),"  ")</f>
        <v xml:space="preserve">  </v>
      </c>
      <c r="E19" s="150" t="str">
        <f ca="1">IF(inputPrYr!E30&gt;0,ROUND(+C19*E$27,0)," ")</f>
        <v xml:space="preserve"> </v>
      </c>
      <c r="F19" s="150" t="str">
        <f ca="1">IF(inputPrYr!E30&gt;0,ROUND(+C19*F$28,0)," ")</f>
        <v xml:space="preserve"> </v>
      </c>
      <c r="G19" s="705"/>
    </row>
    <row r="20" spans="1:7">
      <c r="A20" s="705"/>
      <c r="B20" s="46" t="s">
        <v>742</v>
      </c>
      <c r="C20" s="157">
        <f>SUM(C7:C19)</f>
        <v>47548</v>
      </c>
      <c r="D20" s="157">
        <f>SUM(D7:D19)</f>
        <v>8819.7999999999993</v>
      </c>
      <c r="E20" s="157">
        <f>SUM(E7:E19)</f>
        <v>450.55</v>
      </c>
      <c r="F20" s="157">
        <f>SUM(F7:F19)</f>
        <v>86.76</v>
      </c>
      <c r="G20" s="46"/>
    </row>
    <row r="21" spans="1:7">
      <c r="A21" s="705"/>
      <c r="B21" s="46"/>
      <c r="C21" s="76"/>
      <c r="D21" s="76"/>
      <c r="E21" s="76"/>
      <c r="F21" s="76"/>
      <c r="G21" s="46"/>
    </row>
    <row r="22" spans="1:7">
      <c r="A22" s="705"/>
      <c r="B22" s="51" t="s">
        <v>743</v>
      </c>
      <c r="C22" s="200"/>
      <c r="D22" s="201">
        <f ca="1">(inputOth!E39)</f>
        <v>8819.7999999999993</v>
      </c>
      <c r="E22" s="200"/>
      <c r="F22" s="46"/>
      <c r="G22" s="46"/>
    </row>
    <row r="23" spans="1:7">
      <c r="A23" s="705"/>
      <c r="B23" s="51" t="s">
        <v>744</v>
      </c>
      <c r="C23" s="46"/>
      <c r="D23" s="46"/>
      <c r="E23" s="201">
        <f ca="1">(inputOth!E40)</f>
        <v>450.55</v>
      </c>
      <c r="F23" s="46"/>
      <c r="G23" s="46"/>
    </row>
    <row r="24" spans="1:7">
      <c r="A24" s="705"/>
      <c r="B24" s="51" t="s">
        <v>61</v>
      </c>
      <c r="C24" s="46"/>
      <c r="D24" s="46"/>
      <c r="E24" s="46"/>
      <c r="F24" s="201">
        <f ca="1">inputOth!E41</f>
        <v>86.76</v>
      </c>
      <c r="G24" s="46"/>
    </row>
    <row r="25" spans="1:7">
      <c r="A25" s="705"/>
      <c r="B25" s="51"/>
      <c r="C25" s="46"/>
      <c r="D25" s="46"/>
      <c r="E25" s="46"/>
      <c r="F25" s="76"/>
      <c r="G25" s="380"/>
    </row>
    <row r="26" spans="1:7">
      <c r="A26" s="705"/>
      <c r="B26" s="51" t="s">
        <v>745</v>
      </c>
      <c r="C26" s="46"/>
      <c r="D26" s="202">
        <f>IF(C20=0,0,D22/C20)</f>
        <v>0.1854925548918987</v>
      </c>
      <c r="E26" s="46"/>
      <c r="F26" s="46"/>
      <c r="G26" s="46"/>
    </row>
    <row r="27" spans="1:7">
      <c r="A27" s="705"/>
      <c r="B27" s="46"/>
      <c r="C27" s="51" t="s">
        <v>746</v>
      </c>
      <c r="D27" s="46"/>
      <c r="E27" s="202">
        <f>IF(C20=0,0,E23/C20)</f>
        <v>9.4756877260873222E-3</v>
      </c>
      <c r="F27" s="46"/>
      <c r="G27" s="46"/>
    </row>
    <row r="28" spans="1:7">
      <c r="A28" s="705"/>
      <c r="B28" s="46"/>
      <c r="C28" s="46"/>
      <c r="D28" s="51" t="s">
        <v>62</v>
      </c>
      <c r="E28" s="46"/>
      <c r="F28" s="202">
        <f>IF(C20=0,0,F24/C20)</f>
        <v>1.8246824261798605E-3</v>
      </c>
      <c r="G28" s="46"/>
    </row>
    <row r="29" spans="1:7">
      <c r="A29" s="705"/>
      <c r="B29" s="46"/>
      <c r="C29" s="46"/>
      <c r="D29" s="46"/>
      <c r="E29" s="46"/>
      <c r="F29" s="46"/>
      <c r="G29" s="46"/>
    </row>
    <row r="30" spans="1:7">
      <c r="A30" s="705"/>
      <c r="B30" s="67"/>
      <c r="C30" s="67"/>
      <c r="D30" s="67"/>
      <c r="E30" s="67"/>
      <c r="F30" s="67"/>
      <c r="G30" s="67"/>
    </row>
  </sheetData>
  <sheetProtection sheet="1"/>
  <mergeCells count="2">
    <mergeCell ref="B3:F3"/>
    <mergeCell ref="D5:F5"/>
  </mergeCells>
  <phoneticPr fontId="0" type="noConversion"/>
  <pageMargins left="0.5" right="0.5" top="1" bottom="0.5" header="0.5" footer="0.5"/>
  <pageSetup scale="87"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2"/>
  <sheetViews>
    <sheetView workbookViewId="0">
      <selection activeCell="G9" sqref="G9"/>
    </sheetView>
  </sheetViews>
  <sheetFormatPr defaultRowHeight="15.75"/>
  <cols>
    <col min="1" max="1" width="4.21875" style="32" customWidth="1"/>
    <col min="2" max="3" width="17.77734375" style="32" customWidth="1"/>
    <col min="4" max="7" width="12.77734375" style="32" customWidth="1"/>
    <col min="8" max="16384" width="8.88671875" style="32"/>
  </cols>
  <sheetData>
    <row r="1" spans="2:7">
      <c r="B1" s="173" t="str">
        <f ca="1">inputPrYr!D2</f>
        <v>City of Grainfield</v>
      </c>
      <c r="C1" s="173"/>
      <c r="D1" s="172"/>
      <c r="E1" s="172"/>
      <c r="F1" s="172"/>
      <c r="G1" s="172">
        <f ca="1">inputPrYr!$C$5</f>
        <v>2014</v>
      </c>
    </row>
    <row r="2" spans="2:7">
      <c r="B2" s="172"/>
      <c r="C2" s="172"/>
      <c r="D2" s="172"/>
      <c r="E2" s="172"/>
      <c r="F2" s="172"/>
      <c r="G2" s="172"/>
    </row>
    <row r="3" spans="2:7">
      <c r="B3" s="774" t="s">
        <v>115</v>
      </c>
      <c r="C3" s="774"/>
      <c r="D3" s="774"/>
      <c r="E3" s="774"/>
      <c r="F3" s="774"/>
      <c r="G3" s="774"/>
    </row>
    <row r="4" spans="2:7">
      <c r="B4" s="203"/>
      <c r="C4" s="203"/>
      <c r="D4" s="203"/>
      <c r="E4" s="203"/>
      <c r="F4" s="203"/>
      <c r="G4" s="203"/>
    </row>
    <row r="5" spans="2:7">
      <c r="B5" s="204" t="s">
        <v>384</v>
      </c>
      <c r="C5" s="204" t="s">
        <v>385</v>
      </c>
      <c r="D5" s="204" t="s">
        <v>10</v>
      </c>
      <c r="E5" s="204" t="s">
        <v>129</v>
      </c>
      <c r="F5" s="204" t="s">
        <v>130</v>
      </c>
      <c r="G5" s="204" t="s">
        <v>168</v>
      </c>
    </row>
    <row r="6" spans="2:7">
      <c r="B6" s="205" t="s">
        <v>386</v>
      </c>
      <c r="C6" s="205" t="s">
        <v>387</v>
      </c>
      <c r="D6" s="205" t="s">
        <v>169</v>
      </c>
      <c r="E6" s="205" t="s">
        <v>169</v>
      </c>
      <c r="F6" s="205" t="s">
        <v>169</v>
      </c>
      <c r="G6" s="205" t="s">
        <v>170</v>
      </c>
    </row>
    <row r="7" spans="2:7" ht="15" customHeight="1">
      <c r="B7" s="206" t="s">
        <v>171</v>
      </c>
      <c r="C7" s="206" t="s">
        <v>172</v>
      </c>
      <c r="D7" s="207">
        <f>G1-2</f>
        <v>2012</v>
      </c>
      <c r="E7" s="207">
        <f>G1-1</f>
        <v>2013</v>
      </c>
      <c r="F7" s="207">
        <f>G1</f>
        <v>2014</v>
      </c>
      <c r="G7" s="206" t="s">
        <v>173</v>
      </c>
    </row>
    <row r="8" spans="2:7" ht="14.25" customHeight="1">
      <c r="B8" s="208" t="s">
        <v>865</v>
      </c>
      <c r="C8" s="208" t="s">
        <v>866</v>
      </c>
      <c r="D8" s="209">
        <v>5700</v>
      </c>
      <c r="E8" s="209">
        <v>5700</v>
      </c>
      <c r="F8" s="209">
        <v>5700</v>
      </c>
      <c r="G8" s="210" t="s">
        <v>867</v>
      </c>
    </row>
    <row r="9" spans="2:7" ht="15" customHeight="1">
      <c r="B9" s="211"/>
      <c r="C9" s="211"/>
      <c r="D9" s="212"/>
      <c r="E9" s="212"/>
      <c r="F9" s="212"/>
      <c r="G9" s="210"/>
    </row>
    <row r="10" spans="2:7" ht="15" customHeight="1">
      <c r="B10" s="211"/>
      <c r="C10" s="211"/>
      <c r="D10" s="212"/>
      <c r="E10" s="212"/>
      <c r="F10" s="212"/>
      <c r="G10" s="210"/>
    </row>
    <row r="11" spans="2:7" ht="15" customHeight="1">
      <c r="B11" s="211"/>
      <c r="C11" s="211"/>
      <c r="D11" s="212"/>
      <c r="E11" s="212"/>
      <c r="F11" s="212"/>
      <c r="G11" s="210"/>
    </row>
    <row r="12" spans="2:7" ht="15" customHeight="1">
      <c r="B12" s="211"/>
      <c r="C12" s="211"/>
      <c r="D12" s="212"/>
      <c r="E12" s="212"/>
      <c r="F12" s="212"/>
      <c r="G12" s="210"/>
    </row>
    <row r="13" spans="2:7" ht="15" customHeight="1">
      <c r="B13" s="211"/>
      <c r="C13" s="211"/>
      <c r="D13" s="212"/>
      <c r="E13" s="212"/>
      <c r="F13" s="212"/>
      <c r="G13" s="210"/>
    </row>
    <row r="14" spans="2:7" ht="15" customHeight="1">
      <c r="B14" s="211"/>
      <c r="C14" s="211"/>
      <c r="D14" s="212"/>
      <c r="E14" s="212"/>
      <c r="F14" s="212"/>
      <c r="G14" s="210"/>
    </row>
    <row r="15" spans="2:7" ht="15" customHeight="1">
      <c r="B15" s="211"/>
      <c r="C15" s="211"/>
      <c r="D15" s="212"/>
      <c r="E15" s="212"/>
      <c r="F15" s="212"/>
      <c r="G15" s="210"/>
    </row>
    <row r="16" spans="2:7" ht="15" customHeight="1">
      <c r="B16" s="211"/>
      <c r="C16" s="211"/>
      <c r="D16" s="212"/>
      <c r="E16" s="212"/>
      <c r="F16" s="212"/>
      <c r="G16" s="210"/>
    </row>
    <row r="17" spans="2:7" ht="15" customHeight="1">
      <c r="B17" s="211"/>
      <c r="C17" s="211"/>
      <c r="D17" s="212"/>
      <c r="E17" s="212"/>
      <c r="F17" s="212"/>
      <c r="G17" s="210"/>
    </row>
    <row r="18" spans="2:7" ht="15" customHeight="1">
      <c r="B18" s="211"/>
      <c r="C18" s="211"/>
      <c r="D18" s="212"/>
      <c r="E18" s="212"/>
      <c r="F18" s="212"/>
      <c r="G18" s="210"/>
    </row>
    <row r="19" spans="2:7" ht="15" customHeight="1">
      <c r="B19" s="211"/>
      <c r="C19" s="211"/>
      <c r="D19" s="212"/>
      <c r="E19" s="212"/>
      <c r="F19" s="212"/>
      <c r="G19" s="210"/>
    </row>
    <row r="20" spans="2:7" ht="15" customHeight="1">
      <c r="B20" s="211"/>
      <c r="C20" s="211"/>
      <c r="D20" s="212"/>
      <c r="E20" s="212"/>
      <c r="F20" s="212"/>
      <c r="G20" s="210"/>
    </row>
    <row r="21" spans="2:7" ht="15" customHeight="1">
      <c r="B21" s="211"/>
      <c r="C21" s="211"/>
      <c r="D21" s="212"/>
      <c r="E21" s="212"/>
      <c r="F21" s="212"/>
      <c r="G21" s="210"/>
    </row>
    <row r="22" spans="2:7" ht="15" customHeight="1">
      <c r="B22" s="211"/>
      <c r="C22" s="211"/>
      <c r="D22" s="212"/>
      <c r="E22" s="212"/>
      <c r="F22" s="212"/>
      <c r="G22" s="210"/>
    </row>
    <row r="23" spans="2:7" ht="15" customHeight="1">
      <c r="B23" s="211"/>
      <c r="C23" s="211"/>
      <c r="D23" s="212"/>
      <c r="E23" s="212"/>
      <c r="F23" s="212"/>
      <c r="G23" s="210"/>
    </row>
    <row r="24" spans="2:7" ht="15" customHeight="1">
      <c r="B24" s="211"/>
      <c r="C24" s="211"/>
      <c r="D24" s="212"/>
      <c r="E24" s="212"/>
      <c r="F24" s="212"/>
      <c r="G24" s="210"/>
    </row>
    <row r="25" spans="2:7" ht="15" customHeight="1">
      <c r="B25" s="211"/>
      <c r="C25" s="211"/>
      <c r="D25" s="212"/>
      <c r="E25" s="212"/>
      <c r="F25" s="212"/>
      <c r="G25" s="210"/>
    </row>
    <row r="26" spans="2:7" ht="15" customHeight="1">
      <c r="B26" s="97"/>
      <c r="C26" s="213" t="s">
        <v>735</v>
      </c>
      <c r="D26" s="214">
        <f>SUM(D8:D25)</f>
        <v>5700</v>
      </c>
      <c r="E26" s="214">
        <f>SUM(E8:E25)</f>
        <v>5700</v>
      </c>
      <c r="F26" s="214">
        <f>SUM(F8:F25)</f>
        <v>5700</v>
      </c>
      <c r="G26" s="215"/>
    </row>
    <row r="27" spans="2:7" ht="15" customHeight="1">
      <c r="B27" s="97"/>
      <c r="C27" s="216" t="s">
        <v>174</v>
      </c>
      <c r="D27" s="155"/>
      <c r="E27" s="217"/>
      <c r="F27" s="217"/>
      <c r="G27" s="215"/>
    </row>
    <row r="28" spans="2:7" ht="15" customHeight="1">
      <c r="B28" s="97"/>
      <c r="C28" s="213" t="s">
        <v>175</v>
      </c>
      <c r="D28" s="214">
        <f>D26</f>
        <v>5700</v>
      </c>
      <c r="E28" s="214">
        <f>SUM(E26-E27)</f>
        <v>5700</v>
      </c>
      <c r="F28" s="214">
        <f>SUM(F26-F27)</f>
        <v>5700</v>
      </c>
      <c r="G28" s="215"/>
    </row>
    <row r="29" spans="2:7" ht="15" customHeight="1">
      <c r="B29" s="97"/>
      <c r="C29" s="97"/>
      <c r="D29" s="97"/>
      <c r="E29" s="97"/>
      <c r="F29" s="97"/>
      <c r="G29" s="97"/>
    </row>
    <row r="30" spans="2:7" ht="15" customHeight="1">
      <c r="B30" s="97"/>
      <c r="C30" s="97"/>
      <c r="D30" s="97"/>
      <c r="E30" s="97"/>
      <c r="F30" s="97"/>
      <c r="G30" s="97"/>
    </row>
    <row r="31" spans="2:7" ht="15" customHeight="1">
      <c r="B31" s="373" t="s">
        <v>383</v>
      </c>
      <c r="C31" s="374" t="str">
        <f>CONCATENATE("Adjustments are required only if the transfer is being made in ",E7," and/or ",F7," from a non-budgeted fund.")</f>
        <v>Adjustments are required only if the transfer is being made in 2013 and/or 2014 from a non-budgeted fund.</v>
      </c>
      <c r="D31" s="97"/>
      <c r="E31" s="97"/>
      <c r="F31" s="97"/>
      <c r="G31" s="97"/>
    </row>
    <row r="32" spans="2:7" ht="15" customHeight="1"/>
  </sheetData>
  <sheetProtection sheet="1"/>
  <mergeCells count="1">
    <mergeCell ref="B3:G3"/>
  </mergeCells>
  <phoneticPr fontId="9" type="noConversion"/>
  <pageMargins left="0.75" right="0.75" top="1" bottom="1" header="0.5" footer="0.5"/>
  <pageSetup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10" workbookViewId="0">
      <selection activeCell="B9" sqref="B9"/>
    </sheetView>
  </sheetViews>
  <sheetFormatPr defaultRowHeight="15"/>
  <cols>
    <col min="1" max="1" width="70.5546875" style="496" customWidth="1"/>
    <col min="2" max="16384" width="8.88671875" style="496"/>
  </cols>
  <sheetData>
    <row r="1" spans="1:1" ht="18.75">
      <c r="A1" s="497" t="s">
        <v>264</v>
      </c>
    </row>
    <row r="2" spans="1:1" ht="18.75">
      <c r="A2" s="497"/>
    </row>
    <row r="3" spans="1:1" ht="18.75">
      <c r="A3" s="497"/>
    </row>
    <row r="4" spans="1:1" ht="51.75" customHeight="1">
      <c r="A4" s="507" t="s">
        <v>480</v>
      </c>
    </row>
    <row r="5" spans="1:1" ht="18.75">
      <c r="A5" s="497"/>
    </row>
    <row r="6" spans="1:1" ht="15.75">
      <c r="A6" s="498"/>
    </row>
    <row r="7" spans="1:1" ht="47.25">
      <c r="A7" s="499" t="s">
        <v>265</v>
      </c>
    </row>
    <row r="8" spans="1:1" ht="15.75">
      <c r="A8" s="498"/>
    </row>
    <row r="9" spans="1:1" ht="15.75">
      <c r="A9" s="498"/>
    </row>
    <row r="10" spans="1:1" ht="63">
      <c r="A10" s="499" t="s">
        <v>266</v>
      </c>
    </row>
    <row r="11" spans="1:1" ht="15.75">
      <c r="A11" s="500"/>
    </row>
    <row r="12" spans="1:1" ht="15.75">
      <c r="A12" s="498"/>
    </row>
    <row r="13" spans="1:1" ht="47.25">
      <c r="A13" s="499" t="s">
        <v>267</v>
      </c>
    </row>
    <row r="14" spans="1:1" ht="15.75">
      <c r="A14" s="500"/>
    </row>
    <row r="15" spans="1:1" ht="15.75">
      <c r="A15" s="498"/>
    </row>
    <row r="16" spans="1:1" ht="47.25">
      <c r="A16" s="499" t="s">
        <v>268</v>
      </c>
    </row>
    <row r="17" spans="1:1" ht="15.75">
      <c r="A17" s="500"/>
    </row>
    <row r="18" spans="1:1" ht="15.75">
      <c r="A18" s="500"/>
    </row>
    <row r="19" spans="1:1" ht="47.25">
      <c r="A19" s="499" t="s">
        <v>269</v>
      </c>
    </row>
    <row r="20" spans="1:1" ht="15.75">
      <c r="A20" s="500"/>
    </row>
    <row r="21" spans="1:1" ht="15.75">
      <c r="A21" s="500"/>
    </row>
    <row r="22" spans="1:1" ht="47.25">
      <c r="A22" s="499" t="s">
        <v>270</v>
      </c>
    </row>
    <row r="23" spans="1:1" ht="15.75">
      <c r="A23" s="500"/>
    </row>
    <row r="24" spans="1:1" ht="15.75">
      <c r="A24" s="500"/>
    </row>
    <row r="25" spans="1:1" ht="31.5">
      <c r="A25" s="499" t="s">
        <v>271</v>
      </c>
    </row>
    <row r="26" spans="1:1" ht="15.75">
      <c r="A26" s="498"/>
    </row>
    <row r="27" spans="1:1" ht="15.75">
      <c r="A27" s="498"/>
    </row>
    <row r="28" spans="1:1" ht="60">
      <c r="A28" s="501" t="s">
        <v>272</v>
      </c>
    </row>
    <row r="29" spans="1:1">
      <c r="A29" s="502"/>
    </row>
    <row r="30" spans="1:1">
      <c r="A30" s="502"/>
    </row>
    <row r="31" spans="1:1" ht="47.25">
      <c r="A31" s="499" t="s">
        <v>273</v>
      </c>
    </row>
    <row r="32" spans="1:1" ht="15.75">
      <c r="A32" s="498"/>
    </row>
    <row r="33" spans="1:1" ht="15.75">
      <c r="A33" s="498"/>
    </row>
    <row r="34" spans="1:1" ht="66.75" customHeight="1">
      <c r="A34" s="506" t="s">
        <v>481</v>
      </c>
    </row>
    <row r="35" spans="1:1" ht="15.75">
      <c r="A35" s="498"/>
    </row>
    <row r="36" spans="1:1" ht="15.75">
      <c r="A36" s="498"/>
    </row>
    <row r="37" spans="1:1" ht="63">
      <c r="A37" s="503" t="s">
        <v>274</v>
      </c>
    </row>
    <row r="38" spans="1:1" ht="15.75">
      <c r="A38" s="500"/>
    </row>
    <row r="39" spans="1:1" ht="15.75">
      <c r="A39" s="498"/>
    </row>
    <row r="40" spans="1:1" ht="63">
      <c r="A40" s="499" t="s">
        <v>275</v>
      </c>
    </row>
    <row r="41" spans="1:1" ht="15.75">
      <c r="A41" s="500"/>
    </row>
    <row r="42" spans="1:1" ht="15.75">
      <c r="A42" s="500"/>
    </row>
    <row r="43" spans="1:1" ht="82.5" customHeight="1">
      <c r="A43" s="495" t="s">
        <v>482</v>
      </c>
    </row>
    <row r="44" spans="1:1" ht="15.75">
      <c r="A44" s="500"/>
    </row>
    <row r="45" spans="1:1" ht="15.75">
      <c r="A45" s="500"/>
    </row>
    <row r="46" spans="1:1" ht="69" customHeight="1">
      <c r="A46" s="495" t="s">
        <v>483</v>
      </c>
    </row>
    <row r="47" spans="1:1" ht="15.75">
      <c r="A47" s="500"/>
    </row>
    <row r="48" spans="1:1" ht="15.75">
      <c r="A48" s="500"/>
    </row>
    <row r="49" spans="1:1" ht="69" customHeight="1">
      <c r="A49" s="495" t="s">
        <v>484</v>
      </c>
    </row>
    <row r="50" spans="1:1" ht="15.75">
      <c r="A50" s="500"/>
    </row>
    <row r="51" spans="1:1" ht="15.75">
      <c r="A51" s="500"/>
    </row>
    <row r="52" spans="1:1" ht="53.25" customHeight="1">
      <c r="A52" s="495" t="s">
        <v>547</v>
      </c>
    </row>
    <row r="53" spans="1:1" ht="15.75">
      <c r="A53" s="500"/>
    </row>
    <row r="54" spans="1:1" ht="15.75">
      <c r="A54" s="500"/>
    </row>
    <row r="55" spans="1:1" ht="63">
      <c r="A55" s="499" t="s">
        <v>276</v>
      </c>
    </row>
    <row r="56" spans="1:1" ht="15.75">
      <c r="A56" s="500"/>
    </row>
    <row r="57" spans="1:1" ht="15.75">
      <c r="A57" s="500"/>
    </row>
    <row r="58" spans="1:1" ht="63">
      <c r="A58" s="499" t="s">
        <v>277</v>
      </c>
    </row>
    <row r="59" spans="1:1" ht="15.75">
      <c r="A59" s="500"/>
    </row>
    <row r="60" spans="1:1" ht="15.75">
      <c r="A60" s="500"/>
    </row>
    <row r="61" spans="1:1" ht="47.25">
      <c r="A61" s="499" t="s">
        <v>278</v>
      </c>
    </row>
    <row r="62" spans="1:1" ht="15.75">
      <c r="A62" s="500"/>
    </row>
    <row r="63" spans="1:1" ht="15.75">
      <c r="A63" s="500"/>
    </row>
    <row r="64" spans="1:1" ht="47.25">
      <c r="A64" s="499" t="s">
        <v>279</v>
      </c>
    </row>
    <row r="65" spans="1:1" ht="15.75">
      <c r="A65" s="500"/>
    </row>
    <row r="66" spans="1:1" ht="15.75">
      <c r="A66" s="500"/>
    </row>
    <row r="67" spans="1:1" ht="78.75">
      <c r="A67" s="499" t="s">
        <v>280</v>
      </c>
    </row>
    <row r="68" spans="1:1">
      <c r="A68" s="504"/>
    </row>
  </sheetData>
  <sheetProtection sheet="1" objects="1" scenarios="1"/>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11</vt:i4>
      </vt:variant>
    </vt:vector>
  </HeadingPairs>
  <TitlesOfParts>
    <vt:vector size="59"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library</vt:lpstr>
      <vt:lpstr>empty</vt:lpstr>
      <vt:lpstr>empty1</vt:lpstr>
      <vt:lpstr>empty2</vt:lpstr>
      <vt:lpstr>empty3</vt:lpstr>
      <vt:lpstr>empty4</vt:lpstr>
      <vt:lpstr>Sp Hiway-Water</vt:lpstr>
      <vt:lpstr>Fire-Sewer</vt:lpstr>
      <vt:lpstr>Park</vt:lpstr>
      <vt:lpstr>no levy page17</vt:lpstr>
      <vt:lpstr>no levy page18</vt:lpstr>
      <vt:lpstr>no levy page19</vt:lpstr>
      <vt:lpstr>no levy page20</vt:lpstr>
      <vt:lpstr>no levy page21</vt:lpstr>
      <vt:lpstr>SinNoLevy22</vt:lpstr>
      <vt:lpstr>SinNoLevy23</vt:lpstr>
      <vt:lpstr>SinNoLevy24</vt:lpstr>
      <vt:lpstr>SinNoLevy25</vt:lpstr>
      <vt:lpstr>NonBudA</vt:lpstr>
      <vt:lpstr>NonBudB</vt:lpstr>
      <vt:lpstr>NonBudC</vt:lpstr>
      <vt:lpstr>NonBudD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empty!Print_Area</vt:lpstr>
      <vt:lpstr>empty1!Print_Area</vt:lpstr>
      <vt:lpstr>empty2!Print_Area</vt:lpstr>
      <vt:lpstr>empty3!Print_Area</vt:lpstr>
      <vt:lpstr>empty4!Print_Area</vt:lpstr>
      <vt:lpstr>general!Print_Area</vt:lpstr>
      <vt:lpstr>inputPrYr!Print_Area</vt:lpstr>
      <vt:lpstr>library!Print_Area</vt:lpstr>
      <vt:lpstr>'Library Grant'!Print_Area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 </cp:lastModifiedBy>
  <cp:lastPrinted>2013-08-24T13:18:57Z</cp:lastPrinted>
  <dcterms:created xsi:type="dcterms:W3CDTF">1999-08-03T13:11:47Z</dcterms:created>
  <dcterms:modified xsi:type="dcterms:W3CDTF">2014-02-04T14:43:06Z</dcterms:modified>
</cp:coreProperties>
</file>