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0" yWindow="290" windowWidth="9650" windowHeight="1130" tabRatio="909" firstSheet="16" activeTab="21"/>
  </bookViews>
  <sheets>
    <sheet name="inputOth" sheetId="43" r:id="rId1"/>
    <sheet name="inputPrYr" sheetId="2" r:id="rId2"/>
    <sheet name="inputBudSum" sheetId="52" r:id="rId3"/>
    <sheet name="cert" sheetId="3" r:id="rId4"/>
    <sheet name="computation" sheetId="24" r:id="rId5"/>
    <sheet name="mvalloc" sheetId="5" r:id="rId6"/>
    <sheet name="transfers" sheetId="32" r:id="rId7"/>
    <sheet name="debt" sheetId="22" r:id="rId8"/>
    <sheet name="lpform" sheetId="23" r:id="rId9"/>
    <sheet name="Library Grant" sheetId="57" r:id="rId10"/>
    <sheet name="general" sheetId="7" r:id="rId11"/>
    <sheet name="GenDetail" sheetId="9" r:id="rId12"/>
    <sheet name="Bond &amp; Int -library" sheetId="34" r:id="rId13"/>
    <sheet name="Sp Hiway &amp; Sp Parks" sheetId="14" r:id="rId14"/>
    <sheet name="Promotion" sheetId="15" r:id="rId15"/>
    <sheet name="Wtr Revolve &amp; Sewer Revolve" sheetId="16" r:id="rId16"/>
    <sheet name="Employ Ben &amp; sales Tax" sheetId="17" r:id="rId17"/>
    <sheet name="Sewer" sheetId="18" r:id="rId18"/>
    <sheet name="Water" sheetId="19" r:id="rId19"/>
    <sheet name="NonBudA" sheetId="39" r:id="rId20"/>
    <sheet name="NonBudB" sheetId="40" r:id="rId21"/>
    <sheet name="summ" sheetId="21" r:id="rId22"/>
    <sheet name="nhood" sheetId="44" r:id="rId23"/>
  </sheets>
  <definedNames>
    <definedName name="_xlnm.Print_Area" localSheetId="12">'Bond &amp; Int -library'!$B$1:$E$82</definedName>
    <definedName name="_xlnm.Print_Area" localSheetId="10">general!$B$1:$E$119</definedName>
    <definedName name="_xlnm.Print_Area" localSheetId="1">inputPrYr!$A$1:$E$125</definedName>
    <definedName name="_xlnm.Print_Area" localSheetId="9">'Library Grant'!$A$1:$J$40</definedName>
    <definedName name="_xlnm.Print_Area" localSheetId="8">lpform!$B$1:$I$38</definedName>
    <definedName name="_xlnm.Print_Area" localSheetId="21">summ!$A$1:$H$47</definedName>
  </definedNames>
  <calcPr calcId="144525" iterate="1" iterateCount="1" iterateDelta="0"/>
</workbook>
</file>

<file path=xl/calcChain.xml><?xml version="1.0" encoding="utf-8"?>
<calcChain xmlns="http://schemas.openxmlformats.org/spreadsheetml/2006/main">
  <c r="D17" i="9" l="1"/>
  <c r="E36" i="7"/>
  <c r="D97" i="9"/>
  <c r="C97" i="9"/>
  <c r="B97" i="9"/>
  <c r="D90" i="9"/>
  <c r="C90" i="9"/>
  <c r="B83" i="9"/>
  <c r="B90" i="9" s="1"/>
  <c r="C77" i="7" s="1"/>
  <c r="B82" i="9"/>
  <c r="D55" i="9"/>
  <c r="D80" i="9"/>
  <c r="C80" i="9"/>
  <c r="B80" i="9"/>
  <c r="D74" i="9"/>
  <c r="C74" i="9"/>
  <c r="B74" i="9"/>
  <c r="D44" i="9"/>
  <c r="C44" i="9"/>
  <c r="D30" i="9"/>
  <c r="D22" i="9"/>
  <c r="B17" i="9"/>
  <c r="C55" i="9"/>
  <c r="C30" i="9"/>
  <c r="C22" i="9"/>
  <c r="C47" i="14"/>
  <c r="C48" i="14"/>
  <c r="E24" i="34"/>
  <c r="D24" i="34"/>
  <c r="A83" i="43"/>
  <c r="C22" i="19"/>
  <c r="C21" i="19"/>
  <c r="C20" i="18"/>
  <c r="C30" i="18" s="1"/>
  <c r="C29" i="18" s="1"/>
  <c r="C21" i="18"/>
  <c r="C21" i="14"/>
  <c r="C22" i="14"/>
  <c r="B24" i="9"/>
  <c r="B30" i="9" s="1"/>
  <c r="C70" i="7" s="1"/>
  <c r="B35" i="9"/>
  <c r="B36" i="9"/>
  <c r="B13" i="9"/>
  <c r="B14" i="9"/>
  <c r="B49" i="9"/>
  <c r="B50" i="9"/>
  <c r="B6" i="9"/>
  <c r="B7" i="9"/>
  <c r="E19" i="57"/>
  <c r="E18" i="57"/>
  <c r="E17" i="57"/>
  <c r="G16" i="57"/>
  <c r="E16" i="57"/>
  <c r="D55" i="2"/>
  <c r="J29" i="34"/>
  <c r="J28" i="34"/>
  <c r="J27" i="34"/>
  <c r="J67" i="34"/>
  <c r="J104" i="7"/>
  <c r="D18" i="3"/>
  <c r="B18" i="3"/>
  <c r="C59" i="7"/>
  <c r="J106" i="7"/>
  <c r="B8" i="57"/>
  <c r="B7" i="57"/>
  <c r="B5" i="57"/>
  <c r="B8" i="44"/>
  <c r="D64" i="9"/>
  <c r="C64" i="9"/>
  <c r="B64" i="9"/>
  <c r="B47" i="3"/>
  <c r="B46" i="3"/>
  <c r="B45" i="3"/>
  <c r="B44" i="3"/>
  <c r="D75" i="34"/>
  <c r="B44" i="34"/>
  <c r="G14" i="57"/>
  <c r="B78" i="57"/>
  <c r="E14" i="57"/>
  <c r="B89" i="57"/>
  <c r="C32" i="3"/>
  <c r="C31" i="3"/>
  <c r="C30" i="3"/>
  <c r="C29" i="3"/>
  <c r="C28" i="3"/>
  <c r="C27" i="3"/>
  <c r="C26" i="3"/>
  <c r="C25" i="3"/>
  <c r="C24" i="3"/>
  <c r="C23" i="3"/>
  <c r="C22" i="3"/>
  <c r="B32" i="3"/>
  <c r="B31" i="3"/>
  <c r="B30" i="3"/>
  <c r="B29" i="3"/>
  <c r="B28" i="3"/>
  <c r="B27" i="3"/>
  <c r="B26" i="3"/>
  <c r="B25" i="3"/>
  <c r="B24" i="3"/>
  <c r="B23" i="3"/>
  <c r="B22" i="3"/>
  <c r="C19" i="5"/>
  <c r="C18" i="5"/>
  <c r="C17" i="5"/>
  <c r="C16" i="5"/>
  <c r="C15" i="5"/>
  <c r="C14" i="5"/>
  <c r="C13" i="5"/>
  <c r="C12" i="5"/>
  <c r="C11" i="5"/>
  <c r="C10" i="5"/>
  <c r="C9" i="5"/>
  <c r="B19" i="5"/>
  <c r="B18" i="5"/>
  <c r="B17" i="5"/>
  <c r="B16" i="5"/>
  <c r="B15" i="5"/>
  <c r="B14" i="5"/>
  <c r="B13" i="5"/>
  <c r="B12" i="5"/>
  <c r="B11" i="5"/>
  <c r="B10" i="5"/>
  <c r="B9" i="5"/>
  <c r="A17" i="21"/>
  <c r="B45" i="21"/>
  <c r="A7" i="21"/>
  <c r="A5" i="21"/>
  <c r="G20" i="52"/>
  <c r="G21" i="52" s="1"/>
  <c r="A62" i="43"/>
  <c r="A33" i="43"/>
  <c r="A32" i="43"/>
  <c r="A31" i="43"/>
  <c r="A30" i="43"/>
  <c r="A29" i="43"/>
  <c r="A28" i="43"/>
  <c r="A27" i="43"/>
  <c r="A26" i="43"/>
  <c r="A25" i="43"/>
  <c r="A24" i="43"/>
  <c r="A23" i="43"/>
  <c r="B86" i="2"/>
  <c r="G30" i="2"/>
  <c r="G29" i="2"/>
  <c r="G28" i="2"/>
  <c r="G27" i="2"/>
  <c r="G26" i="2"/>
  <c r="G25" i="2"/>
  <c r="G24" i="2"/>
  <c r="G23" i="2"/>
  <c r="G22" i="2"/>
  <c r="G21" i="2"/>
  <c r="G19" i="2"/>
  <c r="D47" i="34" s="1"/>
  <c r="G18" i="2"/>
  <c r="D8" i="34" s="1"/>
  <c r="D20" i="34" s="1"/>
  <c r="D19" i="34" s="1"/>
  <c r="G17" i="2"/>
  <c r="D9" i="7"/>
  <c r="D56" i="7"/>
  <c r="D55" i="7" s="1"/>
  <c r="D65" i="19"/>
  <c r="C65" i="19"/>
  <c r="C66" i="19" s="1"/>
  <c r="B40" i="19"/>
  <c r="C19" i="44"/>
  <c r="D40" i="21"/>
  <c r="B40" i="21"/>
  <c r="D39" i="21"/>
  <c r="B39" i="21"/>
  <c r="D38" i="21"/>
  <c r="B38" i="21"/>
  <c r="B41" i="21" s="1"/>
  <c r="D37" i="21"/>
  <c r="D41" i="21" s="1"/>
  <c r="B37" i="21"/>
  <c r="F34" i="21"/>
  <c r="G27" i="57"/>
  <c r="D34" i="21"/>
  <c r="E27" i="57"/>
  <c r="B34" i="21"/>
  <c r="B32" i="21"/>
  <c r="C75" i="34"/>
  <c r="G32" i="3"/>
  <c r="D22" i="3"/>
  <c r="E31" i="2"/>
  <c r="D73" i="34"/>
  <c r="D96" i="34"/>
  <c r="C73" i="34"/>
  <c r="B17" i="21" s="1"/>
  <c r="C60" i="34"/>
  <c r="C59" i="34"/>
  <c r="D33" i="34"/>
  <c r="D16" i="21" s="1"/>
  <c r="C33" i="34"/>
  <c r="C32" i="34"/>
  <c r="C20" i="34"/>
  <c r="C19" i="34" s="1"/>
  <c r="C35" i="34"/>
  <c r="D35" i="34"/>
  <c r="G31" i="3"/>
  <c r="G30" i="3"/>
  <c r="G29" i="3"/>
  <c r="G28" i="3"/>
  <c r="G27" i="3"/>
  <c r="G26" i="3"/>
  <c r="G25" i="3"/>
  <c r="G24" i="3"/>
  <c r="G23" i="3"/>
  <c r="G22" i="3"/>
  <c r="G21" i="3"/>
  <c r="G20" i="3"/>
  <c r="G57" i="3" s="1"/>
  <c r="D21" i="3"/>
  <c r="D18" i="44"/>
  <c r="E18" i="44"/>
  <c r="B1" i="34"/>
  <c r="E1" i="34"/>
  <c r="G28" i="34"/>
  <c r="D34" i="43"/>
  <c r="D97" i="2"/>
  <c r="C112" i="7"/>
  <c r="D112" i="7"/>
  <c r="D116" i="7"/>
  <c r="B80" i="7"/>
  <c r="B81" i="7"/>
  <c r="B79" i="7"/>
  <c r="B78" i="7"/>
  <c r="B77" i="7"/>
  <c r="B76" i="7"/>
  <c r="B75" i="7"/>
  <c r="D110" i="9"/>
  <c r="C110" i="9"/>
  <c r="B110" i="9"/>
  <c r="D103" i="9"/>
  <c r="E81" i="7"/>
  <c r="C103" i="9"/>
  <c r="D81" i="7" s="1"/>
  <c r="B103" i="9"/>
  <c r="C81" i="7"/>
  <c r="D100" i="9"/>
  <c r="E80" i="7" s="1"/>
  <c r="C100" i="9"/>
  <c r="D80" i="7"/>
  <c r="B100" i="9"/>
  <c r="C80" i="7" s="1"/>
  <c r="E79" i="7"/>
  <c r="D79" i="7"/>
  <c r="C79" i="7"/>
  <c r="D93" i="9"/>
  <c r="E78" i="7"/>
  <c r="C93" i="9"/>
  <c r="D78" i="7" s="1"/>
  <c r="B93" i="9"/>
  <c r="C78" i="7"/>
  <c r="E77" i="7"/>
  <c r="D77" i="7"/>
  <c r="C76" i="7"/>
  <c r="E75" i="7"/>
  <c r="C75" i="7"/>
  <c r="D22" i="44"/>
  <c r="D24" i="44" s="1"/>
  <c r="D6" i="44" s="1"/>
  <c r="A100" i="2"/>
  <c r="A99" i="2"/>
  <c r="D82" i="2"/>
  <c r="C30" i="14"/>
  <c r="C29" i="14" s="1"/>
  <c r="C17" i="14"/>
  <c r="C18" i="14"/>
  <c r="D30" i="14"/>
  <c r="E30" i="14"/>
  <c r="C32" i="14"/>
  <c r="D32" i="14"/>
  <c r="D33" i="14"/>
  <c r="C61" i="14"/>
  <c r="B19" i="21"/>
  <c r="D61" i="14"/>
  <c r="E61" i="14"/>
  <c r="C63" i="14"/>
  <c r="D63" i="14"/>
  <c r="C28" i="15"/>
  <c r="D28" i="15"/>
  <c r="E28" i="15"/>
  <c r="C30" i="15"/>
  <c r="C31" i="15"/>
  <c r="D30" i="15"/>
  <c r="C59" i="15"/>
  <c r="D59" i="15"/>
  <c r="E59" i="15"/>
  <c r="C61" i="15"/>
  <c r="C62" i="15" s="1"/>
  <c r="D61" i="15"/>
  <c r="C28" i="16"/>
  <c r="B21" i="21"/>
  <c r="D28" i="16"/>
  <c r="E28" i="16"/>
  <c r="C30" i="16"/>
  <c r="C31" i="16"/>
  <c r="D30" i="16"/>
  <c r="C59" i="16"/>
  <c r="C58" i="16"/>
  <c r="D59" i="16"/>
  <c r="E59" i="16"/>
  <c r="C61" i="16"/>
  <c r="D61" i="16"/>
  <c r="C28" i="17"/>
  <c r="C27" i="17" s="1"/>
  <c r="D28" i="17"/>
  <c r="E28" i="17"/>
  <c r="C30" i="17"/>
  <c r="D30" i="17"/>
  <c r="C59" i="17"/>
  <c r="C62" i="17" s="1"/>
  <c r="D59" i="17"/>
  <c r="E59" i="17"/>
  <c r="C61" i="17"/>
  <c r="D61" i="17"/>
  <c r="B25" i="21"/>
  <c r="D30" i="18"/>
  <c r="E30" i="18"/>
  <c r="D32" i="18"/>
  <c r="C32" i="18"/>
  <c r="C61" i="18"/>
  <c r="D61" i="18"/>
  <c r="D60" i="18" s="1"/>
  <c r="E61" i="18"/>
  <c r="E42" i="3"/>
  <c r="C63" i="18"/>
  <c r="C64" i="18"/>
  <c r="D63" i="18"/>
  <c r="C32" i="19"/>
  <c r="C31" i="19"/>
  <c r="D32" i="19"/>
  <c r="D31" i="19" s="1"/>
  <c r="E32" i="19"/>
  <c r="E43" i="3"/>
  <c r="D34" i="19"/>
  <c r="C34" i="19"/>
  <c r="C63" i="19"/>
  <c r="D63" i="19"/>
  <c r="D66" i="19" s="1"/>
  <c r="E63" i="19"/>
  <c r="E74" i="7"/>
  <c r="D47" i="9"/>
  <c r="E73" i="7" s="1"/>
  <c r="E72" i="7"/>
  <c r="D33" i="9"/>
  <c r="E71" i="7" s="1"/>
  <c r="E70" i="7"/>
  <c r="D74" i="7"/>
  <c r="C47" i="9"/>
  <c r="D73" i="7" s="1"/>
  <c r="D72" i="7"/>
  <c r="C33" i="9"/>
  <c r="D71" i="7"/>
  <c r="D70" i="7"/>
  <c r="C11" i="9"/>
  <c r="B47" i="9"/>
  <c r="C73" i="7"/>
  <c r="B33" i="9"/>
  <c r="C71" i="7" s="1"/>
  <c r="D11" i="9"/>
  <c r="B11" i="9"/>
  <c r="B74" i="7"/>
  <c r="B73" i="7"/>
  <c r="B72" i="7"/>
  <c r="B71" i="7"/>
  <c r="B70" i="7"/>
  <c r="B69" i="7"/>
  <c r="B68" i="7"/>
  <c r="J6" i="24"/>
  <c r="C7" i="5"/>
  <c r="C20" i="5" s="1"/>
  <c r="C8" i="5"/>
  <c r="C56" i="7"/>
  <c r="C57" i="7"/>
  <c r="E1" i="7"/>
  <c r="E1" i="14"/>
  <c r="D38" i="14"/>
  <c r="E1" i="15"/>
  <c r="E36" i="15"/>
  <c r="E1" i="16"/>
  <c r="D36" i="16"/>
  <c r="E1" i="17"/>
  <c r="E1" i="18"/>
  <c r="E1" i="19"/>
  <c r="B65" i="19"/>
  <c r="F1" i="44"/>
  <c r="E15" i="2"/>
  <c r="G16" i="2"/>
  <c r="D15" i="2"/>
  <c r="A55" i="2"/>
  <c r="J28" i="40"/>
  <c r="J17" i="40"/>
  <c r="J18" i="40" s="1"/>
  <c r="J29" i="40" s="1"/>
  <c r="H28" i="40"/>
  <c r="H29" i="40" s="1"/>
  <c r="H17" i="40"/>
  <c r="H18" i="40"/>
  <c r="H30" i="40"/>
  <c r="F17" i="40"/>
  <c r="F18" i="40"/>
  <c r="F28" i="40"/>
  <c r="F29" i="40" s="1"/>
  <c r="F30" i="40" s="1"/>
  <c r="D17" i="40"/>
  <c r="D18" i="40"/>
  <c r="D28" i="40"/>
  <c r="B17" i="40"/>
  <c r="B18" i="40"/>
  <c r="B28" i="40"/>
  <c r="K28" i="40" s="1"/>
  <c r="B28" i="21" s="1"/>
  <c r="J17" i="39"/>
  <c r="J18" i="39" s="1"/>
  <c r="J29" i="39" s="1"/>
  <c r="J30" i="39"/>
  <c r="J28" i="39"/>
  <c r="H17" i="39"/>
  <c r="H18" i="39"/>
  <c r="H28" i="39"/>
  <c r="K28" i="39" s="1"/>
  <c r="F17" i="39"/>
  <c r="F18" i="39" s="1"/>
  <c r="F28" i="39"/>
  <c r="D17" i="39"/>
  <c r="D18" i="39"/>
  <c r="D29" i="39" s="1"/>
  <c r="D28" i="39"/>
  <c r="B28" i="39"/>
  <c r="B17" i="39"/>
  <c r="B18" i="39"/>
  <c r="B29" i="39" s="1"/>
  <c r="E28" i="24"/>
  <c r="G11" i="24"/>
  <c r="E14" i="24"/>
  <c r="E15" i="24"/>
  <c r="E19" i="24"/>
  <c r="E20" i="24"/>
  <c r="E21" i="24"/>
  <c r="G22" i="24" s="1"/>
  <c r="G24" i="24"/>
  <c r="K1" i="40"/>
  <c r="F2" i="40"/>
  <c r="K1" i="39"/>
  <c r="F2" i="39"/>
  <c r="H2" i="21"/>
  <c r="J39" i="21"/>
  <c r="E1" i="43"/>
  <c r="D60" i="3"/>
  <c r="E9" i="14"/>
  <c r="D9" i="14"/>
  <c r="D22" i="5"/>
  <c r="E23" i="5"/>
  <c r="F24" i="5"/>
  <c r="D9" i="44"/>
  <c r="E9" i="44"/>
  <c r="D10" i="44"/>
  <c r="E10" i="44"/>
  <c r="D11" i="44"/>
  <c r="E11" i="44"/>
  <c r="D12" i="44"/>
  <c r="E12" i="44"/>
  <c r="D13" i="44"/>
  <c r="E13" i="44"/>
  <c r="D14" i="44"/>
  <c r="E14" i="44"/>
  <c r="D15" i="44"/>
  <c r="E15" i="44"/>
  <c r="D17" i="44"/>
  <c r="E17" i="44"/>
  <c r="D16" i="44"/>
  <c r="E16" i="44"/>
  <c r="A1" i="44"/>
  <c r="B7" i="44"/>
  <c r="B6" i="44"/>
  <c r="E16" i="18"/>
  <c r="E15" i="18"/>
  <c r="D16" i="18"/>
  <c r="D15" i="18"/>
  <c r="C16" i="18"/>
  <c r="C17" i="18" s="1"/>
  <c r="C15" i="18"/>
  <c r="E48" i="14"/>
  <c r="D48" i="14"/>
  <c r="D47" i="14"/>
  <c r="C62" i="19"/>
  <c r="E50" i="19"/>
  <c r="E49" i="19"/>
  <c r="D50" i="19"/>
  <c r="D49" i="19" s="1"/>
  <c r="C50" i="19"/>
  <c r="C49" i="19"/>
  <c r="E17" i="19"/>
  <c r="E16" i="19" s="1"/>
  <c r="D17" i="19"/>
  <c r="D16" i="19"/>
  <c r="C17" i="19"/>
  <c r="E60" i="18"/>
  <c r="C60" i="18"/>
  <c r="E48" i="18"/>
  <c r="E47" i="18" s="1"/>
  <c r="D48" i="18"/>
  <c r="D47" i="18"/>
  <c r="C48" i="18"/>
  <c r="C47" i="18" s="1"/>
  <c r="E46" i="17"/>
  <c r="E45" i="17" s="1"/>
  <c r="D46" i="17"/>
  <c r="D45" i="17"/>
  <c r="C46" i="17"/>
  <c r="C47" i="17" s="1"/>
  <c r="C60" i="17" s="1"/>
  <c r="E15" i="17"/>
  <c r="E14" i="17" s="1"/>
  <c r="D15" i="17"/>
  <c r="D14" i="17"/>
  <c r="C15" i="17"/>
  <c r="E27" i="17"/>
  <c r="E15" i="16"/>
  <c r="E14" i="16"/>
  <c r="D15" i="16"/>
  <c r="D14" i="16"/>
  <c r="C15" i="16"/>
  <c r="C14" i="16"/>
  <c r="E46" i="16"/>
  <c r="E45" i="16"/>
  <c r="D46" i="16"/>
  <c r="D45" i="16" s="1"/>
  <c r="C46" i="16"/>
  <c r="C47" i="16"/>
  <c r="C60" i="16"/>
  <c r="C63" i="16" s="1"/>
  <c r="E15" i="15"/>
  <c r="E14" i="15"/>
  <c r="D15" i="15"/>
  <c r="D14" i="15"/>
  <c r="C15" i="15"/>
  <c r="C14" i="15"/>
  <c r="E27" i="15"/>
  <c r="C27" i="15"/>
  <c r="E46" i="15"/>
  <c r="E45" i="15"/>
  <c r="D46" i="15"/>
  <c r="D45" i="15"/>
  <c r="C46" i="15"/>
  <c r="D58" i="15"/>
  <c r="C58" i="15"/>
  <c r="E8" i="14"/>
  <c r="D8" i="14"/>
  <c r="D17" i="14"/>
  <c r="D16" i="14" s="1"/>
  <c r="C16" i="14"/>
  <c r="E29" i="14"/>
  <c r="D26" i="44"/>
  <c r="D28" i="44"/>
  <c r="E6" i="44" s="1"/>
  <c r="E107" i="7" s="1"/>
  <c r="C51" i="19"/>
  <c r="C64" i="19" s="1"/>
  <c r="A81" i="43"/>
  <c r="A80" i="43"/>
  <c r="A79" i="43"/>
  <c r="A78" i="43"/>
  <c r="A77" i="43"/>
  <c r="A75" i="43"/>
  <c r="A74" i="43"/>
  <c r="A73" i="43"/>
  <c r="A61" i="43"/>
  <c r="A60" i="43"/>
  <c r="C17" i="21"/>
  <c r="G1" i="5"/>
  <c r="C6" i="5"/>
  <c r="D26" i="32"/>
  <c r="D28" i="32"/>
  <c r="B56" i="3"/>
  <c r="B55" i="3"/>
  <c r="B54" i="3"/>
  <c r="B53" i="3"/>
  <c r="A28" i="21"/>
  <c r="A27" i="21"/>
  <c r="M1" i="22"/>
  <c r="D103" i="2"/>
  <c r="E103" i="2"/>
  <c r="A13" i="2"/>
  <c r="A102" i="2"/>
  <c r="A1" i="40"/>
  <c r="A1" i="39"/>
  <c r="B1" i="22"/>
  <c r="J1" i="24"/>
  <c r="A31" i="2"/>
  <c r="F26" i="32"/>
  <c r="F28" i="32" s="1"/>
  <c r="E26" i="32"/>
  <c r="E28" i="32" s="1"/>
  <c r="D30" i="21"/>
  <c r="G42" i="22"/>
  <c r="F39" i="21"/>
  <c r="G32" i="22"/>
  <c r="F38" i="21"/>
  <c r="G20" i="22"/>
  <c r="G43" i="22" s="1"/>
  <c r="F37" i="21"/>
  <c r="F41" i="21" s="1"/>
  <c r="E17" i="21"/>
  <c r="G85" i="34"/>
  <c r="E16" i="21"/>
  <c r="G44" i="34"/>
  <c r="E15" i="21"/>
  <c r="D54" i="3"/>
  <c r="D53" i="3"/>
  <c r="A16" i="21"/>
  <c r="C16" i="21"/>
  <c r="B48" i="3"/>
  <c r="C21" i="3"/>
  <c r="B8" i="5"/>
  <c r="B1" i="5"/>
  <c r="G1" i="32"/>
  <c r="E7" i="32"/>
  <c r="C31" i="32"/>
  <c r="B1" i="32"/>
  <c r="M20" i="22"/>
  <c r="M32" i="22"/>
  <c r="M43" i="22"/>
  <c r="M42" i="22"/>
  <c r="L20" i="22"/>
  <c r="L32" i="22"/>
  <c r="L43" i="22" s="1"/>
  <c r="L42" i="22"/>
  <c r="K20" i="22"/>
  <c r="K32" i="22"/>
  <c r="K42" i="22"/>
  <c r="J20" i="22"/>
  <c r="J32" i="22"/>
  <c r="J42" i="22"/>
  <c r="J43" i="22" s="1"/>
  <c r="I1" i="23"/>
  <c r="D1" i="9"/>
  <c r="C3" i="9"/>
  <c r="C65" i="9" s="1"/>
  <c r="I1" i="3"/>
  <c r="G60" i="3"/>
  <c r="B2" i="3"/>
  <c r="A1" i="43"/>
  <c r="I5" i="40"/>
  <c r="G5" i="40"/>
  <c r="E5" i="40"/>
  <c r="C5" i="40"/>
  <c r="A5" i="40"/>
  <c r="I5" i="39"/>
  <c r="G5" i="39"/>
  <c r="E5" i="39"/>
  <c r="C5" i="39"/>
  <c r="A5" i="39"/>
  <c r="B85" i="2"/>
  <c r="A83" i="2"/>
  <c r="D83" i="2"/>
  <c r="K7" i="40"/>
  <c r="K7" i="39"/>
  <c r="B52" i="3"/>
  <c r="B51" i="3"/>
  <c r="B50" i="3"/>
  <c r="C20" i="3"/>
  <c r="D43" i="3"/>
  <c r="D41" i="3"/>
  <c r="D40" i="3"/>
  <c r="D39" i="3"/>
  <c r="D38" i="3"/>
  <c r="D37" i="3"/>
  <c r="D35" i="3"/>
  <c r="D34" i="3"/>
  <c r="D33" i="3"/>
  <c r="B49" i="3"/>
  <c r="B43" i="3"/>
  <c r="B42" i="3"/>
  <c r="B41" i="3"/>
  <c r="B40" i="3"/>
  <c r="B39" i="3"/>
  <c r="B38" i="3"/>
  <c r="B37" i="3"/>
  <c r="B36" i="3"/>
  <c r="B35" i="3"/>
  <c r="B34" i="3"/>
  <c r="B33" i="3"/>
  <c r="D59" i="3"/>
  <c r="B4" i="3"/>
  <c r="E33" i="3"/>
  <c r="E35" i="3"/>
  <c r="E40" i="3"/>
  <c r="E39" i="3"/>
  <c r="C1" i="24"/>
  <c r="A1" i="9"/>
  <c r="A61" i="9"/>
  <c r="B65" i="7"/>
  <c r="B61" i="7"/>
  <c r="B6" i="7"/>
  <c r="B1" i="7"/>
  <c r="B84" i="2"/>
  <c r="B1" i="23"/>
  <c r="I28" i="23"/>
  <c r="H28" i="23"/>
  <c r="G28" i="23"/>
  <c r="F40" i="21"/>
  <c r="B7" i="5"/>
  <c r="B5" i="15"/>
  <c r="B1" i="15"/>
  <c r="B36" i="16"/>
  <c r="B5" i="16"/>
  <c r="B1" i="16"/>
  <c r="B36" i="17"/>
  <c r="B5" i="17"/>
  <c r="B1" i="17"/>
  <c r="B5" i="18"/>
  <c r="B1" i="18"/>
  <c r="B5" i="19"/>
  <c r="B1" i="19"/>
  <c r="B38" i="14"/>
  <c r="B5" i="14"/>
  <c r="B1" i="14"/>
  <c r="A26" i="21"/>
  <c r="A25" i="21"/>
  <c r="A24" i="21"/>
  <c r="A23" i="21"/>
  <c r="A22" i="21"/>
  <c r="A21" i="21"/>
  <c r="A20" i="21"/>
  <c r="A19" i="21"/>
  <c r="A18" i="21"/>
  <c r="C15" i="21"/>
  <c r="C29" i="21" s="1"/>
  <c r="B24" i="21"/>
  <c r="B23" i="21"/>
  <c r="B20" i="21"/>
  <c r="D23" i="21"/>
  <c r="F26" i="21"/>
  <c r="F23" i="21"/>
  <c r="F20" i="21"/>
  <c r="F18" i="21"/>
  <c r="A4" i="21"/>
  <c r="A15" i="21"/>
  <c r="C49" i="14"/>
  <c r="C62" i="14" s="1"/>
  <c r="D39" i="14" s="1"/>
  <c r="E47" i="14"/>
  <c r="D60" i="14"/>
  <c r="E34" i="3"/>
  <c r="C14" i="24"/>
  <c r="E17" i="14"/>
  <c r="E16" i="14" s="1"/>
  <c r="E9" i="3"/>
  <c r="B7" i="3"/>
  <c r="C31" i="17"/>
  <c r="C16" i="15"/>
  <c r="C29" i="15" s="1"/>
  <c r="B24" i="24"/>
  <c r="B30" i="16"/>
  <c r="G13" i="21"/>
  <c r="A42" i="24"/>
  <c r="C49" i="18"/>
  <c r="C62" i="18"/>
  <c r="D39" i="18" s="1"/>
  <c r="D49" i="18" s="1"/>
  <c r="D62" i="18" s="1"/>
  <c r="A6" i="43"/>
  <c r="A53" i="43"/>
  <c r="J29" i="21"/>
  <c r="F36" i="21"/>
  <c r="M39" i="21"/>
  <c r="F30" i="21"/>
  <c r="G19" i="52"/>
  <c r="C69" i="3"/>
  <c r="J31" i="21"/>
  <c r="J37" i="21"/>
  <c r="J40" i="21"/>
  <c r="J32" i="21"/>
  <c r="J38" i="21"/>
  <c r="H76" i="34"/>
  <c r="A9" i="21"/>
  <c r="H78" i="34"/>
  <c r="B47" i="57"/>
  <c r="B84" i="57"/>
  <c r="B91" i="57"/>
  <c r="B46" i="57"/>
  <c r="F10" i="5"/>
  <c r="D11" i="5"/>
  <c r="F11" i="5"/>
  <c r="D13" i="5"/>
  <c r="F13" i="5"/>
  <c r="D15" i="5"/>
  <c r="F15" i="5"/>
  <c r="D17" i="5"/>
  <c r="F17" i="5"/>
  <c r="D19" i="5"/>
  <c r="F19" i="5"/>
  <c r="D10" i="5"/>
  <c r="D12" i="5"/>
  <c r="D14" i="5"/>
  <c r="D16" i="5"/>
  <c r="D18" i="5"/>
  <c r="F16" i="5"/>
  <c r="F12" i="5"/>
  <c r="C16" i="16"/>
  <c r="C29" i="16"/>
  <c r="B3" i="9"/>
  <c r="B65" i="9"/>
  <c r="D3" i="9"/>
  <c r="D65" i="9" s="1"/>
  <c r="D5" i="16"/>
  <c r="C5" i="15"/>
  <c r="E5" i="15"/>
  <c r="C36" i="16"/>
  <c r="E36" i="16"/>
  <c r="D36" i="17"/>
  <c r="F12" i="21"/>
  <c r="D61" i="9"/>
  <c r="B61" i="16"/>
  <c r="B61" i="15"/>
  <c r="B63" i="14"/>
  <c r="D5" i="17"/>
  <c r="C5" i="16"/>
  <c r="E5" i="16"/>
  <c r="C36" i="15"/>
  <c r="E14" i="5"/>
  <c r="E16" i="5"/>
  <c r="E18" i="5"/>
  <c r="E11" i="5"/>
  <c r="E13" i="5"/>
  <c r="E15" i="5"/>
  <c r="E17" i="5"/>
  <c r="E19" i="5"/>
  <c r="E10" i="5"/>
  <c r="E12" i="5"/>
  <c r="F18" i="5"/>
  <c r="F14" i="5"/>
  <c r="F21" i="21"/>
  <c r="M40" i="21"/>
  <c r="J105" i="7"/>
  <c r="J68" i="34"/>
  <c r="J69" i="34"/>
  <c r="B117" i="9"/>
  <c r="H9" i="23"/>
  <c r="C65" i="18"/>
  <c r="D72" i="34"/>
  <c r="D17" i="21"/>
  <c r="D25" i="21"/>
  <c r="D29" i="18"/>
  <c r="D20" i="21"/>
  <c r="D27" i="15"/>
  <c r="B32" i="14"/>
  <c r="C38" i="14"/>
  <c r="E38" i="14"/>
  <c r="D5" i="14"/>
  <c r="D58" i="17"/>
  <c r="C60" i="14"/>
  <c r="D22" i="21"/>
  <c r="D76" i="7"/>
  <c r="G121" i="7"/>
  <c r="H115" i="7"/>
  <c r="E65" i="7"/>
  <c r="H113" i="7"/>
  <c r="B112" i="7"/>
  <c r="H116" i="7"/>
  <c r="D6" i="7"/>
  <c r="G105" i="7"/>
  <c r="H121" i="7"/>
  <c r="F22" i="21"/>
  <c r="E58" i="16"/>
  <c r="E38" i="3"/>
  <c r="C27" i="16"/>
  <c r="C47" i="15"/>
  <c r="C60" i="15"/>
  <c r="C63" i="15" s="1"/>
  <c r="C45" i="15"/>
  <c r="C5" i="17"/>
  <c r="B61" i="17"/>
  <c r="A22" i="44"/>
  <c r="B3" i="44"/>
  <c r="J30" i="40"/>
  <c r="B28" i="24"/>
  <c r="B5" i="24"/>
  <c r="B9" i="24"/>
  <c r="B38" i="24"/>
  <c r="B11" i="24"/>
  <c r="B13" i="24"/>
  <c r="B18" i="24"/>
  <c r="C15" i="24"/>
  <c r="B6" i="24"/>
  <c r="A3" i="24"/>
  <c r="L6" i="22"/>
  <c r="G7" i="22"/>
  <c r="J6" i="22"/>
  <c r="A52" i="43"/>
  <c r="A51" i="43"/>
  <c r="A9" i="43"/>
  <c r="C58" i="43"/>
  <c r="A15" i="43"/>
  <c r="A36" i="43"/>
  <c r="E76" i="7"/>
  <c r="D64" i="18"/>
  <c r="D36" i="21"/>
  <c r="B36" i="21"/>
  <c r="J27" i="21"/>
  <c r="B12" i="21"/>
  <c r="D12" i="21"/>
  <c r="D68" i="7"/>
  <c r="D31" i="17"/>
  <c r="D27" i="17"/>
  <c r="D62" i="15"/>
  <c r="E37" i="3"/>
  <c r="E27" i="16"/>
  <c r="B59" i="9"/>
  <c r="D37" i="15"/>
  <c r="D47" i="15"/>
  <c r="D60" i="15" s="1"/>
  <c r="E37" i="15" s="1"/>
  <c r="E47" i="15" s="1"/>
  <c r="E60" i="15" s="1"/>
  <c r="E61" i="15" s="1"/>
  <c r="D63" i="15"/>
  <c r="E5" i="34"/>
  <c r="H86" i="34"/>
  <c r="H85" i="34"/>
  <c r="H33" i="34"/>
  <c r="H84" i="34"/>
  <c r="H39" i="34"/>
  <c r="C40" i="34"/>
  <c r="G68" i="34"/>
  <c r="B75" i="34"/>
  <c r="B35" i="34"/>
  <c r="H45" i="34"/>
  <c r="H38" i="34"/>
  <c r="H73" i="34"/>
  <c r="G31" i="34"/>
  <c r="H43" i="34"/>
  <c r="H44" i="34"/>
  <c r="E69" i="7"/>
  <c r="E83" i="7" s="1"/>
  <c r="E110" i="7" s="1"/>
  <c r="F15" i="21" s="1"/>
  <c r="G71" i="34"/>
  <c r="C5" i="34"/>
  <c r="D5" i="34"/>
  <c r="F7" i="32"/>
  <c r="F10" i="3"/>
  <c r="H35" i="34"/>
  <c r="H75" i="34"/>
  <c r="H34" i="34"/>
  <c r="A32" i="44"/>
  <c r="E5" i="14"/>
  <c r="H36" i="34"/>
  <c r="B8" i="3"/>
  <c r="H87" i="34"/>
  <c r="H46" i="34"/>
  <c r="G64" i="34"/>
  <c r="D44" i="34"/>
  <c r="G24" i="34"/>
  <c r="H74" i="34"/>
  <c r="C5" i="14"/>
  <c r="B13" i="3"/>
  <c r="C44" i="34"/>
  <c r="E44" i="34"/>
  <c r="C80" i="34"/>
  <c r="H79" i="34"/>
  <c r="B5" i="44"/>
  <c r="D7" i="32"/>
  <c r="E5" i="18"/>
  <c r="D5" i="18"/>
  <c r="C5" i="18"/>
  <c r="C58" i="17"/>
  <c r="C62" i="16"/>
  <c r="B22" i="21"/>
  <c r="C64" i="14"/>
  <c r="G78" i="34"/>
  <c r="C96" i="34"/>
  <c r="B77" i="34" s="1"/>
  <c r="C72" i="34"/>
  <c r="C61" i="34"/>
  <c r="C74" i="34" s="1"/>
  <c r="C97" i="34" s="1"/>
  <c r="G38" i="34"/>
  <c r="B16" i="21"/>
  <c r="C94" i="34"/>
  <c r="C21" i="34"/>
  <c r="C34" i="34"/>
  <c r="C68" i="7"/>
  <c r="D45" i="34"/>
  <c r="B30" i="21"/>
  <c r="B29" i="40"/>
  <c r="B30" i="40" s="1"/>
  <c r="K17" i="40"/>
  <c r="K30" i="40" s="1"/>
  <c r="H29" i="39"/>
  <c r="H30" i="39" s="1"/>
  <c r="F29" i="39"/>
  <c r="F30" i="39"/>
  <c r="K17" i="39"/>
  <c r="B27" i="21"/>
  <c r="D30" i="39"/>
  <c r="C35" i="19"/>
  <c r="B26" i="21"/>
  <c r="E31" i="19"/>
  <c r="E62" i="19"/>
  <c r="C67" i="19"/>
  <c r="D41" i="19"/>
  <c r="D51" i="19" s="1"/>
  <c r="D64" i="19"/>
  <c r="D40" i="19"/>
  <c r="C5" i="19"/>
  <c r="E40" i="19"/>
  <c r="D5" i="19"/>
  <c r="C40" i="19"/>
  <c r="E5" i="19"/>
  <c r="B34" i="19"/>
  <c r="K18" i="39"/>
  <c r="K30" i="39"/>
  <c r="C31" i="18"/>
  <c r="B18" i="21"/>
  <c r="C31" i="14"/>
  <c r="C33" i="14"/>
  <c r="D6" i="14"/>
  <c r="C34" i="14"/>
  <c r="E29" i="57"/>
  <c r="E28" i="57"/>
  <c r="E29" i="21"/>
  <c r="C45" i="16"/>
  <c r="D37" i="16"/>
  <c r="D47" i="16" s="1"/>
  <c r="D60" i="16" s="1"/>
  <c r="D6" i="16"/>
  <c r="D16" i="16" s="1"/>
  <c r="D29" i="16" s="1"/>
  <c r="C32" i="16"/>
  <c r="C32" i="15"/>
  <c r="D6" i="15"/>
  <c r="D16" i="15" s="1"/>
  <c r="D29" i="15"/>
  <c r="E6" i="15" s="1"/>
  <c r="E16" i="15" s="1"/>
  <c r="E29" i="15" s="1"/>
  <c r="E30" i="15" s="1"/>
  <c r="D49" i="14"/>
  <c r="D62" i="14" s="1"/>
  <c r="C65" i="14"/>
  <c r="C95" i="34"/>
  <c r="D6" i="34"/>
  <c r="D21" i="34"/>
  <c r="D34" i="34" s="1"/>
  <c r="D95" i="34" s="1"/>
  <c r="M32" i="21"/>
  <c r="G123" i="7"/>
  <c r="E79" i="34"/>
  <c r="E39" i="34"/>
  <c r="C45" i="17"/>
  <c r="D37" i="17"/>
  <c r="D47" i="17" s="1"/>
  <c r="D60" i="17"/>
  <c r="C63" i="17"/>
  <c r="D112" i="9"/>
  <c r="B112" i="9"/>
  <c r="B44" i="9"/>
  <c r="C72" i="7"/>
  <c r="B55" i="9"/>
  <c r="C74" i="7" s="1"/>
  <c r="E68" i="7"/>
  <c r="B22" i="9"/>
  <c r="D75" i="7"/>
  <c r="C55" i="7"/>
  <c r="D69" i="7"/>
  <c r="D18" i="14"/>
  <c r="D31" i="14" s="1"/>
  <c r="D34" i="14" s="1"/>
  <c r="D8" i="44"/>
  <c r="E8" i="44" s="1"/>
  <c r="E70" i="34"/>
  <c r="E73" i="34" s="1"/>
  <c r="D7" i="44"/>
  <c r="E7" i="44"/>
  <c r="E30" i="34" s="1"/>
  <c r="E33" i="34" s="1"/>
  <c r="D83" i="7"/>
  <c r="D110" i="7" s="1"/>
  <c r="C57" i="9"/>
  <c r="C113" i="9" s="1"/>
  <c r="D15" i="21"/>
  <c r="D57" i="9"/>
  <c r="D113" i="9" s="1"/>
  <c r="D114" i="9"/>
  <c r="C66" i="7"/>
  <c r="E6" i="14"/>
  <c r="E18" i="14" s="1"/>
  <c r="E31" i="14" s="1"/>
  <c r="E32" i="14" s="1"/>
  <c r="D19" i="44"/>
  <c r="E109" i="7"/>
  <c r="G18" i="52"/>
  <c r="E21" i="3" l="1"/>
  <c r="F16" i="21"/>
  <c r="E32" i="34"/>
  <c r="C69" i="7"/>
  <c r="C83" i="7" s="1"/>
  <c r="C110" i="7" s="1"/>
  <c r="B57" i="9"/>
  <c r="B113" i="9" s="1"/>
  <c r="B114" i="9" s="1"/>
  <c r="E19" i="44"/>
  <c r="E22" i="3"/>
  <c r="E77" i="34"/>
  <c r="E72" i="34"/>
  <c r="E37" i="17"/>
  <c r="E47" i="17" s="1"/>
  <c r="E60" i="17" s="1"/>
  <c r="E61" i="17" s="1"/>
  <c r="D63" i="17"/>
  <c r="B38" i="34"/>
  <c r="F17" i="21"/>
  <c r="D109" i="7"/>
  <c r="D131" i="7"/>
  <c r="E6" i="16"/>
  <c r="E16" i="16" s="1"/>
  <c r="E29" i="16" s="1"/>
  <c r="E30" i="16" s="1"/>
  <c r="D32" i="16"/>
  <c r="D67" i="19"/>
  <c r="E41" i="19"/>
  <c r="E51" i="19" s="1"/>
  <c r="E64" i="19" s="1"/>
  <c r="E65" i="19" s="1"/>
  <c r="E39" i="18"/>
  <c r="E49" i="18" s="1"/>
  <c r="E62" i="18" s="1"/>
  <c r="E63" i="18" s="1"/>
  <c r="D65" i="18"/>
  <c r="B30" i="39"/>
  <c r="K29" i="39"/>
  <c r="E37" i="34"/>
  <c r="G33" i="34"/>
  <c r="E6" i="34"/>
  <c r="F113" i="7"/>
  <c r="E114" i="7"/>
  <c r="E20" i="3"/>
  <c r="F76" i="34"/>
  <c r="F36" i="34"/>
  <c r="D32" i="15"/>
  <c r="E39" i="14"/>
  <c r="E49" i="14" s="1"/>
  <c r="E62" i="14" s="1"/>
  <c r="E63" i="14" s="1"/>
  <c r="D65" i="14"/>
  <c r="D63" i="16"/>
  <c r="E37" i="16"/>
  <c r="E47" i="16" s="1"/>
  <c r="E60" i="16" s="1"/>
  <c r="E61" i="16" s="1"/>
  <c r="C34" i="18"/>
  <c r="D6" i="18"/>
  <c r="D17" i="18" s="1"/>
  <c r="D31" i="18" s="1"/>
  <c r="D32" i="21"/>
  <c r="J5" i="24"/>
  <c r="J7" i="24" s="1"/>
  <c r="C112" i="9"/>
  <c r="C114" i="9" s="1"/>
  <c r="G87" i="34"/>
  <c r="G46" i="34"/>
  <c r="C33" i="18"/>
  <c r="D35" i="19"/>
  <c r="D26" i="21"/>
  <c r="C16" i="19"/>
  <c r="C18" i="19"/>
  <c r="C33" i="19" s="1"/>
  <c r="B63" i="18"/>
  <c r="C38" i="18"/>
  <c r="B32" i="18"/>
  <c r="E38" i="18"/>
  <c r="D38" i="18"/>
  <c r="C65" i="7"/>
  <c r="H112" i="7"/>
  <c r="C117" i="7"/>
  <c r="E6" i="7"/>
  <c r="D65" i="7"/>
  <c r="G108" i="7"/>
  <c r="G101" i="7"/>
  <c r="H111" i="7"/>
  <c r="H120" i="7"/>
  <c r="H122" i="7"/>
  <c r="H123" i="7"/>
  <c r="C6" i="7"/>
  <c r="H110" i="7"/>
  <c r="F28" i="5"/>
  <c r="E27" i="5"/>
  <c r="D26" i="5"/>
  <c r="D21" i="21"/>
  <c r="D31" i="16"/>
  <c r="D27" i="16"/>
  <c r="D31" i="15"/>
  <c r="F19" i="21"/>
  <c r="E60" i="14"/>
  <c r="D29" i="14"/>
  <c r="D18" i="21"/>
  <c r="D29" i="21" s="1"/>
  <c r="D31" i="21" s="1"/>
  <c r="D29" i="40"/>
  <c r="D30" i="40" s="1"/>
  <c r="K18" i="40"/>
  <c r="E29" i="18"/>
  <c r="E41" i="3"/>
  <c r="F25" i="21"/>
  <c r="F29" i="21" s="1"/>
  <c r="F31" i="21" s="1"/>
  <c r="D32" i="34"/>
  <c r="D94" i="34"/>
  <c r="B37" i="34" s="1"/>
  <c r="G9" i="23"/>
  <c r="I9" i="23"/>
  <c r="C16" i="17"/>
  <c r="C29" i="17" s="1"/>
  <c r="C14" i="17"/>
  <c r="D62" i="19"/>
  <c r="F24" i="21"/>
  <c r="E58" i="17"/>
  <c r="K43" i="22"/>
  <c r="D5" i="5"/>
  <c r="B6" i="5"/>
  <c r="G16" i="24"/>
  <c r="G26" i="24" s="1"/>
  <c r="G30" i="24" s="1"/>
  <c r="G32" i="24" s="1"/>
  <c r="J34" i="24" s="1"/>
  <c r="D62" i="17"/>
  <c r="D24" i="21"/>
  <c r="D60" i="34"/>
  <c r="D59" i="34" s="1"/>
  <c r="E15" i="57"/>
  <c r="E22" i="57" s="1"/>
  <c r="G22" i="52"/>
  <c r="D7" i="52" s="1"/>
  <c r="D20" i="3"/>
  <c r="C119" i="7"/>
  <c r="G23" i="52"/>
  <c r="A50" i="43"/>
  <c r="A19" i="43"/>
  <c r="A57" i="43"/>
  <c r="B58" i="43"/>
  <c r="A16" i="43"/>
  <c r="A8" i="43"/>
  <c r="A14" i="43"/>
  <c r="A46" i="43"/>
  <c r="A38" i="43"/>
  <c r="A7" i="43"/>
  <c r="D5" i="44"/>
  <c r="C5" i="44"/>
  <c r="E5" i="44"/>
  <c r="B30" i="17"/>
  <c r="C36" i="17"/>
  <c r="E36" i="17"/>
  <c r="E5" i="17"/>
  <c r="D5" i="15"/>
  <c r="B30" i="15"/>
  <c r="D36" i="15"/>
  <c r="D33" i="18"/>
  <c r="D58" i="16"/>
  <c r="D62" i="16"/>
  <c r="E58" i="15"/>
  <c r="E36" i="3"/>
  <c r="D64" i="14"/>
  <c r="D19" i="21"/>
  <c r="D6" i="17" l="1"/>
  <c r="D16" i="17" s="1"/>
  <c r="D29" i="17" s="1"/>
  <c r="C32" i="17"/>
  <c r="K29" i="40"/>
  <c r="D9" i="5"/>
  <c r="E49" i="34" s="1"/>
  <c r="D8" i="5"/>
  <c r="D61" i="34"/>
  <c r="D74" i="34" s="1"/>
  <c r="E9" i="5"/>
  <c r="E50" i="34" s="1"/>
  <c r="G18" i="57" s="1"/>
  <c r="E8" i="5"/>
  <c r="C36" i="19"/>
  <c r="D6" i="19"/>
  <c r="D18" i="19" s="1"/>
  <c r="D33" i="19" s="1"/>
  <c r="E6" i="18"/>
  <c r="E17" i="18" s="1"/>
  <c r="E31" i="18" s="1"/>
  <c r="E32" i="18" s="1"/>
  <c r="D34" i="18"/>
  <c r="C131" i="7"/>
  <c r="B114" i="7" s="1"/>
  <c r="G115" i="7"/>
  <c r="B15" i="21"/>
  <c r="B29" i="21" s="1"/>
  <c r="B31" i="21" s="1"/>
  <c r="C109" i="7"/>
  <c r="C111" i="7"/>
  <c r="F8" i="5"/>
  <c r="F9" i="5"/>
  <c r="E51" i="34" s="1"/>
  <c r="G19" i="57" s="1"/>
  <c r="J36" i="24"/>
  <c r="E57" i="3"/>
  <c r="D7" i="7" l="1"/>
  <c r="D57" i="7" s="1"/>
  <c r="C132" i="7"/>
  <c r="E6" i="19"/>
  <c r="E18" i="19" s="1"/>
  <c r="E33" i="19" s="1"/>
  <c r="E34" i="19" s="1"/>
  <c r="D36" i="19"/>
  <c r="E6" i="17"/>
  <c r="E16" i="17" s="1"/>
  <c r="E29" i="17" s="1"/>
  <c r="E30" i="17" s="1"/>
  <c r="D32" i="17"/>
  <c r="E45" i="34"/>
  <c r="D97" i="34"/>
  <c r="B78" i="34" s="1"/>
  <c r="G73" i="34"/>
  <c r="E7" i="5"/>
  <c r="E11" i="34"/>
  <c r="E10" i="34"/>
  <c r="E20" i="34" s="1"/>
  <c r="D7" i="5"/>
  <c r="E12" i="34"/>
  <c r="F7" i="5"/>
  <c r="E60" i="34"/>
  <c r="G17" i="57"/>
  <c r="G34" i="34" l="1"/>
  <c r="E21" i="34"/>
  <c r="E38" i="34" s="1"/>
  <c r="E40" i="34" s="1"/>
  <c r="F20" i="5"/>
  <c r="E13" i="7"/>
  <c r="E61" i="34"/>
  <c r="E78" i="34" s="1"/>
  <c r="E80" i="34" s="1"/>
  <c r="E12" i="7"/>
  <c r="E20" i="5"/>
  <c r="D20" i="5"/>
  <c r="E11" i="7"/>
  <c r="E59" i="34"/>
  <c r="G74" i="34"/>
  <c r="D66" i="7"/>
  <c r="D111" i="7"/>
  <c r="E7" i="7" l="1"/>
  <c r="G110" i="7"/>
  <c r="D132" i="7"/>
  <c r="B115" i="7" s="1"/>
  <c r="J38" i="24"/>
  <c r="J40" i="24" s="1"/>
  <c r="H16" i="21"/>
  <c r="G43" i="34" s="1"/>
  <c r="G16" i="21"/>
  <c r="F21" i="3"/>
  <c r="G35" i="34"/>
  <c r="E56" i="7"/>
  <c r="G15" i="57"/>
  <c r="G22" i="57" s="1"/>
  <c r="F22" i="3"/>
  <c r="G17" i="21"/>
  <c r="H17" i="21" s="1"/>
  <c r="G75" i="34"/>
  <c r="E19" i="34"/>
  <c r="G36" i="34"/>
  <c r="G39" i="34" s="1"/>
  <c r="G84" i="34" l="1"/>
  <c r="G29" i="57"/>
  <c r="E30" i="57" s="1"/>
  <c r="D31" i="57" s="1"/>
  <c r="G111" i="7"/>
  <c r="E57" i="7"/>
  <c r="K75" i="34"/>
  <c r="G76" i="34"/>
  <c r="G79" i="34" s="1"/>
  <c r="E23" i="57"/>
  <c r="D24" i="57"/>
  <c r="F33" i="57" s="1"/>
  <c r="F80" i="34" s="1"/>
  <c r="E66" i="7" l="1"/>
  <c r="E115" i="7"/>
  <c r="E116" i="7" l="1"/>
  <c r="G112" i="7" s="1"/>
  <c r="K112" i="7" l="1"/>
  <c r="G113" i="7"/>
  <c r="G116" i="7" s="1"/>
  <c r="E117" i="7"/>
  <c r="G15" i="21" l="1"/>
  <c r="G29" i="21" s="1"/>
  <c r="M31" i="21" s="1"/>
  <c r="M33" i="21" s="1"/>
  <c r="M28" i="21" s="1"/>
  <c r="J28" i="21" s="1"/>
  <c r="F20" i="3"/>
  <c r="F57" i="3" s="1"/>
  <c r="F58" i="3" s="1"/>
  <c r="E55" i="7"/>
  <c r="H15" i="21" l="1"/>
  <c r="I48" i="34"/>
  <c r="I125" i="7"/>
  <c r="I89" i="34"/>
  <c r="G120" i="7" l="1"/>
  <c r="H29" i="21"/>
  <c r="M37" i="21" l="1"/>
  <c r="G45" i="34"/>
  <c r="G86" i="34"/>
  <c r="G122" i="7"/>
</calcChain>
</file>

<file path=xl/sharedStrings.xml><?xml version="1.0" encoding="utf-8"?>
<sst xmlns="http://schemas.openxmlformats.org/spreadsheetml/2006/main" count="1139" uniqueCount="547">
  <si>
    <t>Outstanding Indebtedness, January 1:</t>
  </si>
  <si>
    <t>From the League of Municipalities' Budget Tips (Special City and County Highway Fund):</t>
  </si>
  <si>
    <t>Attest:_____________________,</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</si>
  <si>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</si>
  <si>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</si>
  <si>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</si>
  <si>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</si>
  <si>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</si>
  <si>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</si>
  <si>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</si>
  <si>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Enter City Name (City of)</t>
  </si>
  <si>
    <t>Enter County Name followed by "County"</t>
  </si>
  <si>
    <t>Cash Balance Jan 1</t>
  </si>
  <si>
    <t>***If you are merely leasing/renting with no intent to purchase, do not list--such transactions are not lease-purchases.</t>
  </si>
  <si>
    <t>Debt Service</t>
  </si>
  <si>
    <t>(Note: Should agree with general sub-totals.)</t>
  </si>
  <si>
    <t xml:space="preserve">Ad Valorem Tax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</si>
  <si>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</si>
  <si>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</si>
  <si>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</si>
  <si>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</si>
  <si>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</si>
  <si>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</si>
  <si>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</si>
  <si>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</si>
  <si>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</si>
  <si>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</si>
  <si>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</si>
  <si>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</si>
  <si>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</si>
  <si>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</si>
  <si>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</si>
  <si>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</si>
  <si>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</si>
  <si>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</si>
  <si>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</si>
  <si>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</si>
  <si>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</si>
  <si>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</si>
  <si>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</si>
  <si>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</si>
  <si>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</si>
  <si>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</si>
  <si>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</si>
  <si>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</si>
  <si>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</si>
  <si>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</si>
  <si>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</si>
  <si>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</si>
  <si>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</si>
  <si>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</si>
  <si>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</si>
  <si>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</si>
  <si>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</si>
  <si>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</si>
  <si>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</si>
  <si>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</si>
  <si>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</si>
  <si>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</si>
  <si>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</si>
  <si>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</si>
  <si>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Commodities</t>
  </si>
  <si>
    <t xml:space="preserve">  Capital Outlay</t>
  </si>
  <si>
    <t>Total Expenditures</t>
  </si>
  <si>
    <t>Tax Required</t>
  </si>
  <si>
    <t>%</t>
  </si>
  <si>
    <t>Page No.</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</si>
  <si>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</si>
  <si>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</si>
  <si>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</si>
  <si>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</si>
  <si>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</si>
  <si>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</si>
  <si>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</si>
  <si>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</si>
  <si>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</si>
  <si>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</si>
  <si>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</si>
  <si>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</si>
  <si>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</si>
  <si>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</si>
  <si>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</si>
  <si>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</si>
  <si>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</si>
  <si>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</si>
  <si>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</si>
  <si>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</si>
  <si>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</si>
  <si>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</si>
  <si>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</si>
  <si>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</si>
  <si>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</si>
  <si>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</si>
  <si>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</si>
  <si>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</si>
  <si>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</si>
  <si>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</si>
  <si>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</si>
  <si>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</si>
  <si>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</si>
  <si>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</si>
  <si>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</si>
  <si>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</si>
  <si>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</si>
  <si>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</si>
  <si>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</si>
  <si>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</si>
  <si>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</si>
  <si>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</si>
  <si>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</si>
  <si>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</si>
  <si>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</si>
  <si>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</si>
  <si>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</si>
  <si>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</si>
  <si>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</si>
  <si>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</si>
  <si>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</si>
  <si>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</si>
  <si>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</si>
  <si>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</si>
  <si>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</si>
  <si>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</si>
  <si>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</si>
  <si>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</si>
  <si>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</si>
  <si>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</si>
  <si>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</si>
  <si>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</si>
  <si>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</si>
  <si>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</si>
  <si>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</si>
  <si>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</si>
  <si>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</si>
  <si>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</si>
  <si>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</si>
  <si>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</si>
  <si>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</si>
  <si>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</si>
  <si>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</si>
  <si>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</si>
  <si>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</si>
  <si>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</si>
  <si>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</si>
  <si>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</si>
  <si>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</si>
  <si>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</si>
  <si>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</si>
  <si>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</si>
  <si>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</si>
  <si>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</si>
  <si>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</si>
  <si>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</si>
  <si>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</si>
  <si>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</si>
  <si>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</si>
  <si>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</si>
  <si>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</si>
  <si>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</si>
  <si>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</si>
  <si>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</si>
  <si>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</si>
  <si>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</si>
  <si>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</si>
  <si>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</si>
  <si>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</si>
  <si>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</si>
  <si>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</si>
  <si>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</si>
  <si>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</si>
  <si>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</si>
  <si>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</si>
  <si>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</si>
  <si>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</si>
  <si>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City Clerk</t>
  </si>
  <si>
    <t>Current</t>
  </si>
  <si>
    <t>Proposed</t>
  </si>
  <si>
    <t>Address:</t>
  </si>
  <si>
    <t>NON-BUDGETED FUNDS (A)</t>
  </si>
  <si>
    <t>(1) Fund Name:</t>
  </si>
  <si>
    <t>(2) Fund Name:</t>
  </si>
  <si>
    <t>(3) Fund Name:</t>
  </si>
  <si>
    <t>(4) Fund Name:</t>
  </si>
  <si>
    <t>(5) Fund Name:</t>
  </si>
  <si>
    <t xml:space="preserve">Unencumbered </t>
  </si>
  <si>
    <t>Cash Balance Dec 31</t>
  </si>
  <si>
    <t>NON-BUDGETED FUNDS (B)</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</si>
  <si>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</si>
  <si>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</si>
  <si>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</si>
  <si>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</si>
  <si>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</si>
  <si>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</si>
  <si>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</si>
  <si>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</si>
  <si>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</si>
  <si>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</si>
  <si>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</si>
  <si>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</si>
  <si>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</si>
  <si>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</si>
  <si>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</si>
  <si>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</si>
  <si>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</si>
  <si>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</si>
  <si>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</si>
  <si>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</si>
  <si>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</si>
  <si>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</si>
  <si>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</si>
  <si>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</si>
  <si>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</si>
  <si>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</si>
  <si>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</si>
  <si>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</si>
  <si>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</si>
  <si>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</si>
  <si>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</si>
  <si>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</si>
  <si>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</si>
  <si>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Funds-B</t>
  </si>
  <si>
    <t>Non-Budgeted Funds-A</t>
  </si>
  <si>
    <t>Estimate</t>
  </si>
  <si>
    <t>Single Non Tax Levy:</t>
  </si>
  <si>
    <t>Non-Budgeted (A):</t>
  </si>
  <si>
    <t>Non-Budgeted (B):</t>
  </si>
  <si>
    <t>Non-Budgeted (C):</t>
  </si>
  <si>
    <t>Non-Budgeted (D):</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</si>
  <si>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</si>
  <si>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</si>
  <si>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Note:  All amounts are to be entered in as whole numbers only.</t>
  </si>
  <si>
    <t xml:space="preserve">The input for the following comes directly from </t>
  </si>
  <si>
    <t>Budget Summary</t>
  </si>
  <si>
    <t>Is an Ordinance required  to be passed, published, and attached to the budget?</t>
  </si>
  <si>
    <t>**</t>
  </si>
  <si>
    <t>**Note: These two block figures should agree.</t>
  </si>
  <si>
    <t>Valuation Factor:</t>
  </si>
  <si>
    <t>Neighborhood Revitalization Subj to Rebate:</t>
  </si>
  <si>
    <t>Neighborhood Revitalization factor:</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</si>
  <si>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</si>
  <si>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</si>
  <si>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</si>
  <si>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</si>
  <si>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</si>
  <si>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</si>
  <si>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</si>
  <si>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</si>
  <si>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</si>
  <si>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</si>
  <si>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</si>
  <si>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</si>
  <si>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</si>
  <si>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</si>
  <si>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</si>
  <si>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</si>
  <si>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</si>
  <si>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</si>
  <si>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</si>
  <si>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What should I do?</t>
  </si>
  <si>
    <t>answering objections of taxpayers relating to the proposed use of all funds and the amount of ad valorem tax.</t>
  </si>
  <si>
    <t>the Neighborhood Revitalization Rebate table.</t>
  </si>
  <si>
    <t>*Note:</t>
  </si>
  <si>
    <t>Expenditure</t>
  </si>
  <si>
    <t>Receipt</t>
  </si>
  <si>
    <t xml:space="preserve">Fund Transferred </t>
  </si>
  <si>
    <t>Fund Transferred</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</si>
  <si>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</si>
  <si>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</si>
  <si>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</si>
  <si>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</si>
  <si>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</si>
  <si>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</si>
  <si>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</si>
  <si>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Change in Ad Valorem Tax Revenue:</t>
  </si>
  <si>
    <t>What Mill Rate Would Be Desired?</t>
  </si>
  <si>
    <t>Official Title:</t>
  </si>
  <si>
    <t>City Clerk, City Treasurer, Mayor</t>
  </si>
  <si>
    <t>Franchise Tax</t>
  </si>
  <si>
    <t>Desired Carryover Amount:</t>
  </si>
  <si>
    <t>Estimated Mill Rate Impact:</t>
  </si>
  <si>
    <t xml:space="preserve">Totals </t>
  </si>
  <si>
    <t>Does miscellaneous exceed 10% Total Rec</t>
  </si>
  <si>
    <t>Does miscellaneous exceed 10% Total Exp</t>
  </si>
  <si>
    <t>Does miscellanous exceed 10% Total Exp</t>
  </si>
  <si>
    <t xml:space="preserve"> Debt</t>
  </si>
  <si>
    <t>Type of</t>
  </si>
  <si>
    <t xml:space="preserve"> Purchased</t>
  </si>
  <si>
    <t>Item</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</si>
  <si>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</si>
  <si>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</si>
  <si>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</si>
  <si>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</si>
  <si>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</si>
  <si>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</si>
  <si>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</si>
  <si>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</si>
  <si>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</si>
  <si>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</si>
  <si>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</si>
  <si>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</si>
  <si>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</si>
  <si>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</si>
  <si>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</si>
  <si>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</si>
  <si>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</si>
  <si>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</si>
  <si>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</si>
  <si>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</si>
  <si>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</si>
  <si>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</si>
  <si>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</si>
  <si>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</si>
  <si>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</si>
  <si>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</si>
  <si>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</si>
  <si>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</si>
  <si>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</si>
  <si>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</si>
  <si>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</si>
  <si>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</si>
  <si>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</si>
  <si>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</si>
  <si>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</si>
  <si>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</si>
  <si>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</si>
  <si>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</si>
  <si>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</si>
  <si>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</si>
  <si>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</si>
  <si>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</si>
  <si>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</si>
  <si>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</si>
  <si>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</si>
  <si>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</si>
  <si>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</si>
  <si>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</si>
  <si>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</si>
  <si>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</si>
  <si>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</si>
  <si>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</si>
  <si>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</si>
  <si>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</si>
  <si>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</si>
  <si>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</si>
  <si>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</si>
  <si>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</si>
  <si>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</si>
  <si>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</si>
  <si>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</si>
  <si>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</si>
  <si>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</si>
  <si>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</si>
  <si>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</si>
  <si>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</si>
  <si>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</si>
  <si>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</si>
  <si>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</si>
  <si>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</si>
  <si>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</si>
  <si>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</si>
  <si>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</si>
  <si>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</si>
  <si>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</si>
  <si>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</si>
  <si>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</si>
  <si>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</si>
  <si>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Budget Tax Levy </t>
  </si>
  <si>
    <t xml:space="preserve">Prior Year </t>
  </si>
  <si>
    <t xml:space="preserve">Current Year </t>
  </si>
  <si>
    <t xml:space="preserve">Proposed Budget </t>
  </si>
  <si>
    <t xml:space="preserve">peter.haxton@library.ks.gov </t>
  </si>
  <si>
    <t xml:space="preserve">Ad Valorem </t>
  </si>
  <si>
    <t xml:space="preserve">Recreational Vehicle Tax </t>
  </si>
  <si>
    <t xml:space="preserve">16/20M Vehicle Tax </t>
  </si>
  <si>
    <t>Is an ordinance required?</t>
  </si>
  <si>
    <t>See Accountants' Compilation Report</t>
  </si>
  <si>
    <t>City of Eureka</t>
  </si>
  <si>
    <t>Greenwood County</t>
  </si>
  <si>
    <t>Bond and Interest</t>
  </si>
  <si>
    <t>Special Parks &amp; Recreation</t>
  </si>
  <si>
    <t>Promotion</t>
  </si>
  <si>
    <t>Water Revolving Loan</t>
  </si>
  <si>
    <t>Sewer Revolving Loan</t>
  </si>
  <si>
    <t>Employee Health Benefits</t>
  </si>
  <si>
    <t>Sales Tax Revenue</t>
  </si>
  <si>
    <t>Sewer Utility</t>
  </si>
  <si>
    <t>Water Utility</t>
  </si>
  <si>
    <t>Meter Deposit</t>
  </si>
  <si>
    <t xml:space="preserve">Water Reserve </t>
  </si>
  <si>
    <t>Eureka Pbl Bldg Comm P &amp; I</t>
  </si>
  <si>
    <t xml:space="preserve">Refuse Collections </t>
  </si>
  <si>
    <t xml:space="preserve">Sewer Reserve </t>
  </si>
  <si>
    <t>Revolving Ln Improvement</t>
  </si>
  <si>
    <t>CDBG Project</t>
  </si>
  <si>
    <t>Memorial Hall</t>
  </si>
  <si>
    <t>Philip A. Jarred, CPA</t>
  </si>
  <si>
    <t>Jarred, Gilmore &amp; Phillips, PA</t>
  </si>
  <si>
    <t>1815 S. Sante Fe, P.O. Box 779</t>
  </si>
  <si>
    <t>Chanute, Ks 66720</t>
  </si>
  <si>
    <t>pjarred@jgppa.com</t>
  </si>
  <si>
    <t xml:space="preserve">Sales Tax Revenue </t>
  </si>
  <si>
    <t xml:space="preserve">Sewer Revolving Loan </t>
  </si>
  <si>
    <t xml:space="preserve">General </t>
  </si>
  <si>
    <t>Water Utility Reserve</t>
  </si>
  <si>
    <t>KSA 12-825d</t>
  </si>
  <si>
    <t>Trafficway - Series 2009</t>
  </si>
  <si>
    <t>2.00-3.00</t>
  </si>
  <si>
    <t>Water Pollution Control</t>
  </si>
  <si>
    <t>Revolving Loan</t>
  </si>
  <si>
    <t>(Sewer Utility)</t>
  </si>
  <si>
    <t>Public Water Supply Loan</t>
  </si>
  <si>
    <t>(Water Utility)</t>
  </si>
  <si>
    <t>Eureka Public Housing Comm</t>
  </si>
  <si>
    <t>3.75-4.75</t>
  </si>
  <si>
    <t>Revolving Loan (Sewer Utility)</t>
  </si>
  <si>
    <t>4/1, 10/1</t>
  </si>
  <si>
    <t>3/1, 9/1</t>
  </si>
  <si>
    <t>2/1, 8/1</t>
  </si>
  <si>
    <t>6/1, 12/1</t>
  </si>
  <si>
    <t>KDOT Revolving Loan</t>
  </si>
  <si>
    <t>Case 621 E Wheel Loader</t>
  </si>
  <si>
    <t>Asphalt Zipper</t>
  </si>
  <si>
    <t>Vehicle Rental Excise Tax</t>
  </si>
  <si>
    <t>Special Assessments</t>
  </si>
  <si>
    <t>Connecting Links</t>
  </si>
  <si>
    <t>Local Alcoholic Liquor Tax</t>
  </si>
  <si>
    <t>Cereal Malt Licenses</t>
  </si>
  <si>
    <t>Building &amp; Moving Permits</t>
  </si>
  <si>
    <t>Occupation Tax</t>
  </si>
  <si>
    <t>FAA Grant</t>
  </si>
  <si>
    <t>Fines &amp; Forfeitures</t>
  </si>
  <si>
    <t>Charges for Services</t>
  </si>
  <si>
    <t xml:space="preserve">   Trash Removal Fees</t>
  </si>
  <si>
    <t xml:space="preserve">   Refuse Collection</t>
  </si>
  <si>
    <t xml:space="preserve">  Animal Tags, Releases, &amp; Cremations</t>
  </si>
  <si>
    <t xml:space="preserve">  Street Cuts</t>
  </si>
  <si>
    <t>Lake Receipts:  Lake Lot Leases</t>
  </si>
  <si>
    <t xml:space="preserve">  Lake Hay Ground Lease</t>
  </si>
  <si>
    <t xml:space="preserve">  Hunting, Fishing, Camping Permits</t>
  </si>
  <si>
    <t xml:space="preserve">  Building Rental &amp; Sewer Permits</t>
  </si>
  <si>
    <t>Rentals:   Community Building Rentals</t>
  </si>
  <si>
    <t xml:space="preserve">  Memorial Hall/Table Rentals</t>
  </si>
  <si>
    <t xml:space="preserve">  Airport Hangar Rentals</t>
  </si>
  <si>
    <t xml:space="preserve">  Airport Hay Ground Lease</t>
  </si>
  <si>
    <t xml:space="preserve">  Industrial Park Hay Ground Lease</t>
  </si>
  <si>
    <t>Reimbursed Expense</t>
  </si>
  <si>
    <t>Operating Transfers Funds</t>
  </si>
  <si>
    <t xml:space="preserve">    Water Utility Fund</t>
  </si>
  <si>
    <t xml:space="preserve">     Employee Health Benefits Fund</t>
  </si>
  <si>
    <t>General Administration</t>
  </si>
  <si>
    <t xml:space="preserve">  Personal Services-Wages</t>
  </si>
  <si>
    <t xml:space="preserve">  Personal Services-Employee Benefits</t>
  </si>
  <si>
    <t xml:space="preserve">  Contractual Services</t>
  </si>
  <si>
    <t xml:space="preserve">Street and Alley </t>
  </si>
  <si>
    <t xml:space="preserve">  Capital Outlay - Other</t>
  </si>
  <si>
    <t>Community Building Department</t>
  </si>
  <si>
    <t>Industrial Development Department</t>
  </si>
  <si>
    <t>Lakes and Park Department</t>
  </si>
  <si>
    <t>Police Department</t>
  </si>
  <si>
    <t>Fire Department</t>
  </si>
  <si>
    <t>Cemetery Department</t>
  </si>
  <si>
    <t>Animal Control Department</t>
  </si>
  <si>
    <t>Airport Department</t>
  </si>
  <si>
    <t>Engineering</t>
  </si>
  <si>
    <t>Library Department</t>
  </si>
  <si>
    <t xml:space="preserve">  Appropriation to Library</t>
  </si>
  <si>
    <t>Economic Development</t>
  </si>
  <si>
    <t xml:space="preserve">Principal </t>
  </si>
  <si>
    <t xml:space="preserve">Interest </t>
  </si>
  <si>
    <t>Cash Basis Reserve</t>
  </si>
  <si>
    <t>Culture and Recreation</t>
  </si>
  <si>
    <t xml:space="preserve">  Personal Services</t>
  </si>
  <si>
    <t xml:space="preserve">  Appropriations to Library Board</t>
  </si>
  <si>
    <t>Streets:</t>
  </si>
  <si>
    <t xml:space="preserve">  Personal Services- Employee Benefits</t>
  </si>
  <si>
    <t>Transient Guest Tax</t>
  </si>
  <si>
    <t xml:space="preserve">  Convention Expense</t>
  </si>
  <si>
    <t xml:space="preserve">  Tourism Expense</t>
  </si>
  <si>
    <t>Operating Transfers From</t>
  </si>
  <si>
    <t xml:space="preserve">   Principal</t>
  </si>
  <si>
    <t xml:space="preserve">   Interest</t>
  </si>
  <si>
    <t xml:space="preserve">    Sewer Utility Fund</t>
  </si>
  <si>
    <t xml:space="preserve">  Internal Service Fee</t>
  </si>
  <si>
    <t>General Government</t>
  </si>
  <si>
    <t xml:space="preserve">   Personal Services</t>
  </si>
  <si>
    <t>Residual Transfer to General Fund</t>
  </si>
  <si>
    <t>Transfers to Eureka Public Building</t>
  </si>
  <si>
    <t xml:space="preserve">  Commission Principal &amp; Interest Fund</t>
  </si>
  <si>
    <t>Sewer Charges</t>
  </si>
  <si>
    <t>Connecting Fees</t>
  </si>
  <si>
    <t>Penalties</t>
  </si>
  <si>
    <t>General and Administrative</t>
  </si>
  <si>
    <t>Operating Transfers to:</t>
  </si>
  <si>
    <t xml:space="preserve">    Sewer Revolving Loan Fund</t>
  </si>
  <si>
    <t>Meter Deposits</t>
  </si>
  <si>
    <t>Deposit Refunds</t>
  </si>
  <si>
    <t>Operating Revenue</t>
  </si>
  <si>
    <t xml:space="preserve">  Water Sales</t>
  </si>
  <si>
    <t xml:space="preserve">  Penalties</t>
  </si>
  <si>
    <t xml:space="preserve">  Connection</t>
  </si>
  <si>
    <t>Other Revenues</t>
  </si>
  <si>
    <t xml:space="preserve">  Reimbursed Expense</t>
  </si>
  <si>
    <t>Operating Expenditures</t>
  </si>
  <si>
    <t xml:space="preserve">   Water Revolving Loan Fund</t>
  </si>
  <si>
    <t xml:space="preserve">   General Fund</t>
  </si>
  <si>
    <t xml:space="preserve">   Water Utility Reserve Fund</t>
  </si>
  <si>
    <t>Operating Transfers</t>
  </si>
  <si>
    <t xml:space="preserve">  Water Utility Fd</t>
  </si>
  <si>
    <t>Capital Outlay</t>
  </si>
  <si>
    <t xml:space="preserve">   Sales Tax Rev Fd</t>
  </si>
  <si>
    <t xml:space="preserve">Charges for Services </t>
  </si>
  <si>
    <t xml:space="preserve">  Refuse Collections</t>
  </si>
  <si>
    <t>Collection</t>
  </si>
  <si>
    <t xml:space="preserve">    Contractual Services</t>
  </si>
  <si>
    <t>Loan Proceeds</t>
  </si>
  <si>
    <t>Federal Grant</t>
  </si>
  <si>
    <t>August 12, 2013</t>
  </si>
  <si>
    <t>7:00 PM</t>
  </si>
  <si>
    <t>Case 621 E Wheel Loader -</t>
  </si>
  <si>
    <t xml:space="preserve">  Refinancing of $47,700</t>
  </si>
  <si>
    <t>Series 2013 GO Bonds- Lake</t>
  </si>
  <si>
    <t>Reimbursed Expenses</t>
  </si>
  <si>
    <t xml:space="preserve">  Cemetery Openings/Closings</t>
  </si>
  <si>
    <t xml:space="preserve">  Cemetery-Sale of Cemetery Lots</t>
  </si>
  <si>
    <t>Airport Snow Removal Grant</t>
  </si>
  <si>
    <t xml:space="preserve">  Lake Grant Proceeds</t>
  </si>
  <si>
    <t>Airport Power Line Burial Grant</t>
  </si>
  <si>
    <t xml:space="preserve">Fire Grant </t>
  </si>
  <si>
    <t xml:space="preserve">  Capital Outlay - Asphalt Zipper</t>
  </si>
  <si>
    <t xml:space="preserve">  Capital Outlay - KDOT Revolv Loan</t>
  </si>
  <si>
    <t xml:space="preserve">  Capital Outlay - Loader Lease Purchase</t>
  </si>
  <si>
    <t xml:space="preserve">  Capital Outlay - Bobcat</t>
  </si>
  <si>
    <t xml:space="preserve">  Capital Outlay - Truck</t>
  </si>
  <si>
    <t xml:space="preserve">  Capital Outlay - Doors</t>
  </si>
  <si>
    <t xml:space="preserve">  Capital Outlay - Siding</t>
  </si>
  <si>
    <t xml:space="preserve">  Capital Outlay - A/C Unit</t>
  </si>
  <si>
    <t xml:space="preserve">  Fire Grant Expense - Anticipated</t>
  </si>
  <si>
    <t xml:space="preserve">  Capital Outlay - Sign</t>
  </si>
  <si>
    <t xml:space="preserve">  Capital Outlay - Rock</t>
  </si>
  <si>
    <t xml:space="preserve">  Airport Power Line Burial Grant</t>
  </si>
  <si>
    <t xml:space="preserve">  Airport Snow Removal Grant </t>
  </si>
  <si>
    <t>Airport Grants</t>
  </si>
  <si>
    <t xml:space="preserve">  Capital Outlay - Incl. Grant Expenses</t>
  </si>
  <si>
    <t xml:space="preserve">  Capital Outlay - Bldg Repairs/Roof</t>
  </si>
  <si>
    <t xml:space="preserve">  Capital Outlay - Mausoleum Repairs</t>
  </si>
  <si>
    <t xml:space="preserve">     Refuse Collections Fund</t>
  </si>
  <si>
    <t xml:space="preserve">  Lake Grant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</si>
</sst>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_);[Red]\(&quot;$&quot;#,##0\)"/>
    <numFmt numFmtId="41" formatCode="_(* #,##0_);_(* \(#,##0\);_(* &quot;-&quot;_);_(@_)"/>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409]mmmm\ d\,\ yyyy;@"/>
    <numFmt numFmtId="174" formatCode="[$-409]h:mm\ AM/PM;@"/>
    <numFmt numFmtId="175" formatCode="&quot;$&quot;#,##0"/>
    <numFmt numFmtId="176" formatCode="#,###"/>
    <numFmt numFmtId="177" formatCode="0.0%"/>
    <numFmt numFmtId="178" formatCode="#,##0.000_);[Red]\(#,##0.000\)"/>
    <numFmt numFmtId="179" formatCode="mm/dd/yy;@"/>
  </numFmts>
  <fonts count="44" x14ac:knownFonts="1">
    <font>
      <sz val="12"/>
      <name val="Courier"/>
    </font>
    <font>
      <b/>
      <sz val="12"/>
      <name val="Courier"/>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8"/>
      <name val="Courier"/>
      <family val="3"/>
    </font>
    <font>
      <u/>
      <sz val="12"/>
      <color indexed="12"/>
      <name val="Courier"/>
      <family val="3"/>
    </font>
    <font>
      <sz val="8"/>
      <name val="Times New Roman"/>
      <family val="1"/>
    </font>
    <font>
      <b/>
      <u/>
      <sz val="12"/>
      <name val="Times New Roman"/>
      <family val="1"/>
    </font>
    <font>
      <b/>
      <u/>
      <sz val="12"/>
      <color indexed="10"/>
      <name val="Times New Roman"/>
      <family val="1"/>
    </font>
    <font>
      <b/>
      <u/>
      <sz val="12"/>
      <name val="Courier"/>
      <family val="3"/>
    </font>
    <font>
      <sz val="12"/>
      <color indexed="10"/>
      <name val="Times New Roman"/>
      <family val="1"/>
    </font>
    <font>
      <b/>
      <sz val="8"/>
      <name val="Times New Roman"/>
      <family val="1"/>
    </font>
    <font>
      <sz val="12"/>
      <color indexed="10"/>
      <name val="Courier"/>
      <family val="3"/>
    </font>
    <font>
      <i/>
      <sz val="12"/>
      <name val="Times New Roman"/>
      <family val="1"/>
    </font>
    <font>
      <b/>
      <sz val="12"/>
      <color indexed="10"/>
      <name val="Times New Roman"/>
      <family val="1"/>
    </font>
    <font>
      <b/>
      <u/>
      <sz val="8"/>
      <color indexed="10"/>
      <name val="Times New Roman"/>
      <family val="1"/>
    </font>
    <font>
      <sz val="12"/>
      <name val="Courier"/>
      <family val="3"/>
    </font>
    <font>
      <sz val="12"/>
      <name val="Courier New"/>
      <family val="3"/>
    </font>
    <font>
      <b/>
      <sz val="12"/>
      <name val="Courier"/>
      <family val="3"/>
    </font>
    <font>
      <sz val="12"/>
      <name val="Courier New"/>
      <family val="3"/>
    </font>
    <font>
      <b/>
      <u/>
      <sz val="8"/>
      <name val="Times New Roman"/>
      <family val="1"/>
    </font>
    <font>
      <sz val="9"/>
      <color indexed="10"/>
      <name val="Times New Roman"/>
      <family val="1"/>
    </font>
    <font>
      <sz val="10"/>
      <name val="Times New Roman"/>
      <family val="1"/>
    </font>
    <font>
      <b/>
      <u/>
      <sz val="10"/>
      <name val="Times New Roman"/>
      <family val="1"/>
    </font>
    <font>
      <b/>
      <sz val="10"/>
      <name val="Times New Roman"/>
      <family val="1"/>
    </font>
    <font>
      <sz val="10"/>
      <color indexed="10"/>
      <name val="Times New Roman"/>
      <family val="1"/>
    </font>
    <font>
      <sz val="10"/>
      <name val="Courier"/>
      <family val="3"/>
    </font>
    <font>
      <u/>
      <sz val="12"/>
      <color indexed="12"/>
      <name val="Courier New"/>
      <family val="3"/>
    </font>
    <font>
      <sz val="11"/>
      <color theme="1"/>
      <name val="Calibri"/>
      <family val="2"/>
      <scheme val="minor"/>
    </font>
    <font>
      <u/>
      <sz val="12"/>
      <color rgb="FFFF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sz val="12"/>
      <color rgb="FFFF0000"/>
      <name val="Times New Roman"/>
      <family val="1"/>
    </font>
    <font>
      <b/>
      <sz val="10"/>
      <color rgb="FFFF0000"/>
      <name val="Times New Roman"/>
      <family val="1"/>
    </font>
  </fonts>
  <fills count="17">
    <fill>
      <patternFill patternType="none"/>
    </fill>
    <fill>
      <patternFill patternType="gray125"/>
    </fill>
    <fill>
      <patternFill patternType="solid">
        <fgColor indexed="11"/>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FFFFC0"/>
        <bgColor indexed="64"/>
      </patternFill>
    </fill>
    <fill>
      <patternFill patternType="solid">
        <fgColor rgb="FF00FF00"/>
        <bgColor indexed="64"/>
      </patternFill>
    </fill>
    <fill>
      <patternFill patternType="solid">
        <fgColor rgb="FFFFFF00"/>
        <bgColor indexed="64"/>
      </patternFill>
    </fill>
    <fill>
      <patternFill patternType="solid">
        <fgColor rgb="FFFFFF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414">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1" fillId="0" borderId="0"/>
    <xf numFmtId="0" fontId="22" fillId="0" borderId="0"/>
    <xf numFmtId="0" fontId="2" fillId="0" borderId="0"/>
    <xf numFmtId="0" fontId="2" fillId="0" borderId="0"/>
    <xf numFmtId="0" fontId="22" fillId="0" borderId="0"/>
    <xf numFmtId="0" fontId="22" fillId="0" borderId="0"/>
    <xf numFmtId="0" fontId="2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 fillId="0" borderId="0"/>
    <xf numFmtId="0" fontId="21"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2" fillId="0" borderId="0"/>
    <xf numFmtId="0" fontId="22" fillId="0" borderId="0"/>
    <xf numFmtId="0" fontId="22" fillId="0" borderId="0"/>
    <xf numFmtId="0" fontId="2" fillId="0" borderId="0"/>
    <xf numFmtId="0" fontId="2" fillId="0" borderId="0"/>
    <xf numFmtId="0" fontId="2" fillId="0" borderId="0"/>
    <xf numFmtId="0" fontId="24" fillId="0" borderId="0"/>
    <xf numFmtId="0" fontId="22" fillId="0" borderId="0"/>
    <xf numFmtId="0" fontId="22" fillId="0" borderId="0"/>
    <xf numFmtId="0" fontId="22" fillId="0" borderId="0"/>
    <xf numFmtId="0" fontId="24" fillId="0" borderId="0"/>
    <xf numFmtId="0" fontId="22" fillId="0" borderId="0"/>
    <xf numFmtId="0" fontId="22" fillId="0" borderId="0"/>
    <xf numFmtId="0" fontId="22" fillId="0" borderId="0"/>
    <xf numFmtId="0" fontId="24" fillId="0" borderId="0"/>
    <xf numFmtId="0" fontId="22" fillId="0" borderId="0"/>
    <xf numFmtId="0" fontId="22" fillId="0" borderId="0"/>
    <xf numFmtId="0" fontId="22" fillId="0" borderId="0"/>
    <xf numFmtId="0" fontId="24" fillId="0" borderId="0"/>
    <xf numFmtId="0" fontId="22" fillId="0" borderId="0"/>
    <xf numFmtId="0" fontId="2" fillId="0" borderId="0"/>
    <xf numFmtId="0" fontId="22" fillId="0" borderId="0"/>
    <xf numFmtId="0" fontId="2" fillId="0" borderId="0"/>
    <xf numFmtId="0" fontId="2" fillId="0" borderId="0"/>
    <xf numFmtId="0" fontId="22" fillId="0" borderId="0"/>
    <xf numFmtId="0" fontId="22" fillId="0" borderId="0"/>
    <xf numFmtId="0" fontId="2" fillId="0" borderId="0"/>
    <xf numFmtId="0" fontId="2" fillId="0" borderId="0"/>
    <xf numFmtId="0" fontId="24" fillId="0" borderId="0"/>
    <xf numFmtId="0" fontId="22" fillId="0" borderId="0"/>
    <xf numFmtId="0" fontId="2" fillId="0" borderId="0"/>
    <xf numFmtId="0" fontId="22" fillId="0" borderId="0"/>
    <xf numFmtId="0" fontId="2" fillId="0" borderId="0"/>
    <xf numFmtId="0" fontId="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 fillId="0" borderId="0"/>
    <xf numFmtId="0" fontId="22" fillId="0" borderId="0"/>
    <xf numFmtId="0" fontId="22" fillId="0" borderId="0"/>
    <xf numFmtId="0" fontId="2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 fillId="0" borderId="0"/>
    <xf numFmtId="0" fontId="21" fillId="0" borderId="0"/>
    <xf numFmtId="0" fontId="2" fillId="0" borderId="0"/>
    <xf numFmtId="0" fontId="21" fillId="0" borderId="0"/>
    <xf numFmtId="0" fontId="2" fillId="0" borderId="0"/>
    <xf numFmtId="0" fontId="2" fillId="0" borderId="0"/>
    <xf numFmtId="0" fontId="22" fillId="0" borderId="0"/>
    <xf numFmtId="0" fontId="2" fillId="0" borderId="0"/>
    <xf numFmtId="0" fontId="22" fillId="0" borderId="0"/>
    <xf numFmtId="0" fontId="21" fillId="0" borderId="0"/>
    <xf numFmtId="0" fontId="2" fillId="0" borderId="0"/>
    <xf numFmtId="0" fontId="2" fillId="0" borderId="0"/>
    <xf numFmtId="0" fontId="22" fillId="0" borderId="0"/>
    <xf numFmtId="0" fontId="2" fillId="0" borderId="0"/>
    <xf numFmtId="0" fontId="22" fillId="0" borderId="0"/>
    <xf numFmtId="0" fontId="21" fillId="0" borderId="0"/>
    <xf numFmtId="0" fontId="2" fillId="0" borderId="0"/>
    <xf numFmtId="0" fontId="21" fillId="0" borderId="0"/>
    <xf numFmtId="0" fontId="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1" fillId="0" borderId="0"/>
    <xf numFmtId="0" fontId="2" fillId="0" borderId="0"/>
    <xf numFmtId="0" fontId="2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 fillId="0" borderId="0"/>
    <xf numFmtId="0" fontId="22" fillId="0" borderId="0"/>
    <xf numFmtId="0" fontId="2" fillId="0" borderId="0"/>
    <xf numFmtId="0" fontId="2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 fillId="0" borderId="0"/>
    <xf numFmtId="0" fontId="2" fillId="0" borderId="0"/>
    <xf numFmtId="0" fontId="2" fillId="0" borderId="0"/>
    <xf numFmtId="0" fontId="22" fillId="0" borderId="0"/>
    <xf numFmtId="0" fontId="22" fillId="0" borderId="0"/>
    <xf numFmtId="0" fontId="21" fillId="0" borderId="0"/>
    <xf numFmtId="0" fontId="2" fillId="0" borderId="0"/>
    <xf numFmtId="0" fontId="2" fillId="0" borderId="0"/>
    <xf numFmtId="0" fontId="22" fillId="0" borderId="0"/>
    <xf numFmtId="0" fontId="2" fillId="0" borderId="0"/>
    <xf numFmtId="0" fontId="2" fillId="0" borderId="0"/>
    <xf numFmtId="0" fontId="22" fillId="0" borderId="0"/>
    <xf numFmtId="0" fontId="21"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2" fillId="0" borderId="0"/>
    <xf numFmtId="0" fontId="22" fillId="0" borderId="0"/>
    <xf numFmtId="0" fontId="21" fillId="0" borderId="0"/>
    <xf numFmtId="0" fontId="2" fillId="0" borderId="0"/>
    <xf numFmtId="0" fontId="2" fillId="0" borderId="0"/>
    <xf numFmtId="0" fontId="22" fillId="0" borderId="0"/>
    <xf numFmtId="0" fontId="2" fillId="0" borderId="0"/>
    <xf numFmtId="0" fontId="2" fillId="0" borderId="0"/>
    <xf numFmtId="0" fontId="22" fillId="0" borderId="0"/>
    <xf numFmtId="0" fontId="21"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2" fillId="0" borderId="0"/>
    <xf numFmtId="0" fontId="21"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2" fillId="0" borderId="0"/>
    <xf numFmtId="0" fontId="21"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1" fillId="0" borderId="0"/>
    <xf numFmtId="0" fontId="2" fillId="0" borderId="0"/>
    <xf numFmtId="0" fontId="2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 fillId="0" borderId="0"/>
    <xf numFmtId="0" fontId="22" fillId="0" borderId="0"/>
    <xf numFmtId="0" fontId="22" fillId="0" borderId="0"/>
    <xf numFmtId="0" fontId="2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 fillId="0" borderId="0"/>
    <xf numFmtId="0" fontId="22" fillId="0" borderId="0"/>
    <xf numFmtId="0" fontId="22" fillId="0" borderId="0"/>
    <xf numFmtId="0" fontId="2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 fillId="0" borderId="0"/>
    <xf numFmtId="0" fontId="22" fillId="0" borderId="0"/>
    <xf numFmtId="0" fontId="22" fillId="0" borderId="0"/>
    <xf numFmtId="0" fontId="22" fillId="0" borderId="0"/>
    <xf numFmtId="0" fontId="2" fillId="0" borderId="0"/>
    <xf numFmtId="0" fontId="22" fillId="0" borderId="0"/>
    <xf numFmtId="0" fontId="2" fillId="0" borderId="0"/>
    <xf numFmtId="0" fontId="22" fillId="0" borderId="0"/>
    <xf numFmtId="0" fontId="22" fillId="0" borderId="0"/>
    <xf numFmtId="0" fontId="22" fillId="0" borderId="0"/>
    <xf numFmtId="0" fontId="2" fillId="0" borderId="0"/>
    <xf numFmtId="0" fontId="2" fillId="0" borderId="0"/>
    <xf numFmtId="0" fontId="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 fillId="0" borderId="0"/>
    <xf numFmtId="0" fontId="2" fillId="0" borderId="0"/>
    <xf numFmtId="0" fontId="21" fillId="0" borderId="0"/>
    <xf numFmtId="0" fontId="2" fillId="0" borderId="0"/>
    <xf numFmtId="0" fontId="2" fillId="0" borderId="0"/>
    <xf numFmtId="0" fontId="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 fillId="0" borderId="0"/>
    <xf numFmtId="0" fontId="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cellStyleXfs>
  <cellXfs count="671">
    <xf numFmtId="0" fontId="0" fillId="0" borderId="0" xfId="0"/>
    <xf numFmtId="0" fontId="4" fillId="0" borderId="0" xfId="0" applyFont="1"/>
    <xf numFmtId="0" fontId="4" fillId="0" borderId="0" xfId="0" applyFont="1" applyProtection="1">
      <protection locked="0"/>
    </xf>
    <xf numFmtId="0" fontId="4" fillId="2" borderId="1" xfId="0" applyFont="1" applyFill="1" applyBorder="1" applyProtection="1">
      <protection locked="0"/>
    </xf>
    <xf numFmtId="0" fontId="4" fillId="3" borderId="2" xfId="0" applyFont="1" applyFill="1" applyBorder="1" applyProtection="1"/>
    <xf numFmtId="0" fontId="4" fillId="3" borderId="0" xfId="0" applyFont="1" applyFill="1" applyProtection="1"/>
    <xf numFmtId="0" fontId="4" fillId="3" borderId="0" xfId="0" applyFont="1" applyFill="1" applyAlignment="1" applyProtection="1">
      <alignment horizontal="right"/>
    </xf>
    <xf numFmtId="37" fontId="4" fillId="3" borderId="0" xfId="0" applyNumberFormat="1" applyFont="1" applyFill="1" applyAlignment="1" applyProtection="1">
      <alignment horizontal="right"/>
    </xf>
    <xf numFmtId="0" fontId="4" fillId="3" borderId="0" xfId="0" applyFont="1" applyFill="1" applyAlignment="1" applyProtection="1">
      <alignment horizontal="centerContinuous"/>
    </xf>
    <xf numFmtId="0" fontId="4" fillId="3" borderId="3" xfId="0" applyFont="1" applyFill="1" applyBorder="1" applyProtection="1"/>
    <xf numFmtId="37" fontId="4" fillId="3" borderId="0" xfId="0" applyNumberFormat="1" applyFont="1" applyFill="1" applyProtection="1"/>
    <xf numFmtId="0" fontId="3" fillId="3" borderId="0" xfId="413" applyFont="1" applyFill="1" applyAlignment="1" applyProtection="1">
      <alignment horizontal="centerContinuous"/>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4" fillId="3" borderId="5" xfId="0" applyFont="1" applyFill="1" applyBorder="1" applyAlignment="1" applyProtection="1">
      <alignment horizontal="center"/>
    </xf>
    <xf numFmtId="14" fontId="4" fillId="3" borderId="5" xfId="0" quotePrefix="1" applyNumberFormat="1" applyFont="1" applyFill="1" applyBorder="1" applyAlignment="1" applyProtection="1">
      <alignment horizontal="center"/>
    </xf>
    <xf numFmtId="0" fontId="4" fillId="3" borderId="2" xfId="0" applyFont="1" applyFill="1" applyBorder="1" applyAlignment="1" applyProtection="1">
      <alignment horizontal="fill"/>
    </xf>
    <xf numFmtId="0" fontId="3" fillId="3" borderId="0" xfId="0" applyFont="1" applyFill="1" applyAlignment="1" applyProtection="1">
      <alignment horizontal="left"/>
    </xf>
    <xf numFmtId="0" fontId="7" fillId="3" borderId="5" xfId="0" applyFont="1" applyFill="1" applyBorder="1" applyAlignment="1" applyProtection="1">
      <alignment horizontal="center"/>
    </xf>
    <xf numFmtId="0" fontId="4" fillId="3" borderId="0" xfId="0" applyFont="1" applyFill="1" applyAlignment="1" applyProtection="1">
      <alignment horizontal="center"/>
    </xf>
    <xf numFmtId="0" fontId="4" fillId="3" borderId="0" xfId="0" applyNumberFormat="1" applyFont="1" applyFill="1" applyAlignment="1" applyProtection="1">
      <alignment horizontal="right"/>
    </xf>
    <xf numFmtId="2" fontId="4" fillId="2" borderId="1" xfId="0" applyNumberFormat="1" applyFont="1" applyFill="1" applyBorder="1" applyAlignment="1" applyProtection="1">
      <alignment horizontal="center"/>
      <protection locked="0"/>
    </xf>
    <xf numFmtId="3" fontId="4" fillId="2" borderId="1" xfId="0" applyNumberFormat="1" applyFont="1" applyFill="1" applyBorder="1" applyAlignment="1" applyProtection="1">
      <alignment horizontal="center"/>
      <protection locked="0"/>
    </xf>
    <xf numFmtId="1" fontId="4" fillId="2" borderId="1" xfId="0" applyNumberFormat="1" applyFont="1" applyFill="1" applyBorder="1" applyAlignment="1" applyProtection="1">
      <alignment horizontal="center"/>
      <protection locked="0"/>
    </xf>
    <xf numFmtId="3" fontId="3" fillId="4" borderId="6" xfId="0" applyNumberFormat="1" applyFont="1" applyFill="1" applyBorder="1" applyAlignment="1" applyProtection="1">
      <alignment horizontal="center"/>
    </xf>
    <xf numFmtId="14" fontId="4" fillId="2" borderId="1" xfId="0" applyNumberFormat="1" applyFont="1" applyFill="1" applyBorder="1" applyAlignment="1" applyProtection="1">
      <alignment horizontal="center"/>
      <protection locked="0"/>
    </xf>
    <xf numFmtId="0" fontId="4" fillId="5" borderId="0" xfId="412" applyFont="1" applyFill="1" applyProtection="1"/>
    <xf numFmtId="0" fontId="4" fillId="5" borderId="0" xfId="0" applyFont="1" applyFill="1" applyProtection="1"/>
    <xf numFmtId="0" fontId="4" fillId="0" borderId="0" xfId="0" applyFont="1" applyAlignment="1">
      <alignment vertical="center"/>
    </xf>
    <xf numFmtId="0" fontId="4" fillId="5" borderId="0" xfId="0" applyFont="1" applyFill="1" applyAlignment="1">
      <alignment vertical="center"/>
    </xf>
    <xf numFmtId="0" fontId="4" fillId="0" borderId="0" xfId="0" applyFont="1" applyAlignment="1" applyProtection="1">
      <alignment vertical="center"/>
      <protection locked="0"/>
    </xf>
    <xf numFmtId="37" fontId="3" fillId="3" borderId="0" xfId="0" applyNumberFormat="1" applyFont="1" applyFill="1" applyAlignment="1" applyProtection="1">
      <alignment horizontal="left" vertical="center"/>
    </xf>
    <xf numFmtId="0" fontId="4" fillId="3" borderId="0" xfId="0" applyFont="1" applyFill="1" applyAlignment="1" applyProtection="1">
      <alignment vertical="center"/>
    </xf>
    <xf numFmtId="0" fontId="4" fillId="6" borderId="2" xfId="0" applyFont="1" applyFill="1" applyBorder="1" applyAlignment="1" applyProtection="1">
      <alignment vertical="center"/>
    </xf>
    <xf numFmtId="0" fontId="4" fillId="6" borderId="7" xfId="0"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4" fillId="3" borderId="0" xfId="0" applyNumberFormat="1" applyFont="1" applyFill="1" applyBorder="1" applyAlignment="1" applyProtection="1">
      <alignment horizontal="left" vertical="center"/>
      <protection locked="0"/>
    </xf>
    <xf numFmtId="0" fontId="3" fillId="6" borderId="1" xfId="0" applyFont="1" applyFill="1" applyBorder="1" applyAlignment="1" applyProtection="1">
      <alignment horizontal="center" vertical="center"/>
      <protection locked="0"/>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0" fontId="3" fillId="7" borderId="0" xfId="0" applyFont="1" applyFill="1" applyAlignment="1" applyProtection="1">
      <alignment vertical="center"/>
    </xf>
    <xf numFmtId="0" fontId="4" fillId="7" borderId="0" xfId="0" applyFont="1" applyFill="1" applyAlignment="1" applyProtection="1">
      <alignment vertical="center"/>
    </xf>
    <xf numFmtId="37" fontId="3" fillId="8" borderId="0" xfId="0" applyNumberFormat="1" applyFont="1" applyFill="1" applyAlignment="1" applyProtection="1">
      <alignment horizontal="left" vertical="center"/>
    </xf>
    <xf numFmtId="0" fontId="4" fillId="8" borderId="0" xfId="0" applyFont="1" applyFill="1" applyAlignment="1" applyProtection="1">
      <alignment vertical="center"/>
    </xf>
    <xf numFmtId="0" fontId="4" fillId="9" borderId="3"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7" fontId="4" fillId="9" borderId="5"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0" fontId="4" fillId="3" borderId="1" xfId="0" applyFont="1" applyFill="1" applyBorder="1" applyAlignment="1" applyProtection="1">
      <alignment vertical="center"/>
    </xf>
    <xf numFmtId="3" fontId="4" fillId="2" borderId="5" xfId="0" applyNumberFormat="1" applyFont="1" applyFill="1" applyBorder="1" applyAlignment="1" applyProtection="1">
      <alignment vertical="center"/>
      <protection locked="0"/>
    </xf>
    <xf numFmtId="3" fontId="4" fillId="2" borderId="1" xfId="0" applyNumberFormat="1" applyFont="1" applyFill="1" applyBorder="1" applyAlignment="1" applyProtection="1">
      <alignment vertical="center"/>
      <protection locked="0"/>
    </xf>
    <xf numFmtId="0" fontId="0" fillId="3" borderId="0" xfId="0" applyFill="1" applyAlignment="1">
      <alignment vertical="center"/>
    </xf>
    <xf numFmtId="0" fontId="4" fillId="2" borderId="1" xfId="0" applyFont="1" applyFill="1" applyBorder="1" applyAlignment="1" applyProtection="1">
      <alignment vertical="center"/>
      <protection locked="0"/>
    </xf>
    <xf numFmtId="37" fontId="4" fillId="3" borderId="2" xfId="0" applyNumberFormat="1" applyFont="1" applyFill="1" applyBorder="1" applyAlignment="1" applyProtection="1">
      <alignment horizontal="left" vertical="center"/>
    </xf>
    <xf numFmtId="0" fontId="4" fillId="3" borderId="2" xfId="0" applyFont="1" applyFill="1" applyBorder="1" applyAlignment="1" applyProtection="1">
      <alignment vertical="center"/>
    </xf>
    <xf numFmtId="0" fontId="4" fillId="3" borderId="7" xfId="0" applyFont="1" applyFill="1" applyBorder="1" applyAlignment="1" applyProtection="1">
      <alignment vertical="center"/>
    </xf>
    <xf numFmtId="37" fontId="4" fillId="3" borderId="9" xfId="0" applyNumberFormat="1" applyFont="1" applyFill="1" applyBorder="1" applyAlignment="1" applyProtection="1">
      <alignment vertical="center"/>
    </xf>
    <xf numFmtId="37" fontId="4" fillId="4" borderId="9" xfId="0" applyNumberFormat="1" applyFont="1" applyFill="1" applyBorder="1" applyAlignment="1" applyProtection="1">
      <alignment vertical="center"/>
    </xf>
    <xf numFmtId="37" fontId="4" fillId="3" borderId="0" xfId="0" applyNumberFormat="1" applyFont="1" applyFill="1" applyBorder="1" applyAlignment="1" applyProtection="1">
      <alignment horizontal="left"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vertical="center"/>
    </xf>
    <xf numFmtId="164" fontId="4" fillId="2" borderId="1" xfId="0" applyNumberFormat="1" applyFont="1" applyFill="1" applyBorder="1" applyAlignment="1" applyProtection="1">
      <alignment vertical="center"/>
      <protection locked="0"/>
    </xf>
    <xf numFmtId="164" fontId="4" fillId="3" borderId="1" xfId="0" applyNumberFormat="1" applyFont="1" applyFill="1" applyBorder="1" applyAlignment="1" applyProtection="1">
      <alignment vertical="center"/>
      <protection locked="0"/>
    </xf>
    <xf numFmtId="164" fontId="4" fillId="3" borderId="2" xfId="0" applyNumberFormat="1" applyFont="1" applyFill="1" applyBorder="1" applyAlignment="1" applyProtection="1">
      <alignment vertical="center"/>
      <protection locked="0"/>
    </xf>
    <xf numFmtId="0" fontId="4" fillId="3" borderId="8" xfId="0" applyFont="1" applyFill="1" applyBorder="1" applyAlignment="1" applyProtection="1">
      <alignment vertical="center"/>
    </xf>
    <xf numFmtId="3" fontId="4" fillId="4" borderId="1" xfId="0" applyNumberFormat="1" applyFont="1" applyFill="1" applyBorder="1" applyAlignment="1" applyProtection="1">
      <alignment vertical="center"/>
    </xf>
    <xf numFmtId="164" fontId="4" fillId="3" borderId="5" xfId="0" applyNumberFormat="1" applyFont="1" applyFill="1" applyBorder="1" applyAlignment="1" applyProtection="1">
      <alignment vertical="center"/>
      <protection locked="0"/>
    </xf>
    <xf numFmtId="3" fontId="4" fillId="3" borderId="0" xfId="0" applyNumberFormat="1" applyFont="1" applyFill="1" applyBorder="1" applyAlignment="1" applyProtection="1">
      <alignment vertical="center"/>
      <protection locked="0"/>
    </xf>
    <xf numFmtId="37" fontId="4" fillId="7" borderId="0" xfId="0" applyNumberFormat="1" applyFont="1" applyFill="1" applyAlignment="1" applyProtection="1">
      <alignment horizontal="center" vertical="center"/>
    </xf>
    <xf numFmtId="0" fontId="4" fillId="7" borderId="2" xfId="0" applyFont="1" applyFill="1" applyBorder="1" applyAlignment="1">
      <alignment horizontal="center" vertical="center"/>
    </xf>
    <xf numFmtId="37" fontId="4" fillId="3" borderId="1" xfId="0" applyNumberFormat="1" applyFont="1" applyFill="1" applyBorder="1" applyAlignment="1" applyProtection="1">
      <alignment vertical="center"/>
    </xf>
    <xf numFmtId="164" fontId="4" fillId="4" borderId="1" xfId="0" applyNumberFormat="1" applyFont="1" applyFill="1" applyBorder="1" applyAlignment="1" applyProtection="1">
      <alignment vertical="center"/>
    </xf>
    <xf numFmtId="37" fontId="4" fillId="9" borderId="2" xfId="0" applyNumberFormat="1" applyFont="1" applyFill="1" applyBorder="1" applyAlignment="1" applyProtection="1">
      <alignment horizontal="left" vertical="center"/>
    </xf>
    <xf numFmtId="0" fontId="4" fillId="9" borderId="2" xfId="0" applyFont="1" applyFill="1" applyBorder="1" applyAlignment="1" applyProtection="1">
      <alignment vertical="center"/>
    </xf>
    <xf numFmtId="37" fontId="4" fillId="9" borderId="7" xfId="0" applyNumberFormat="1" applyFont="1" applyFill="1" applyBorder="1" applyAlignment="1" applyProtection="1">
      <alignment horizontal="left" vertical="center"/>
    </xf>
    <xf numFmtId="0" fontId="4" fillId="9" borderId="7" xfId="0" applyFont="1" applyFill="1" applyBorder="1" applyAlignment="1" applyProtection="1">
      <alignment vertical="center"/>
    </xf>
    <xf numFmtId="0" fontId="4" fillId="3" borderId="9" xfId="0" applyFont="1" applyFill="1" applyBorder="1" applyAlignment="1" applyProtection="1">
      <alignment vertical="center"/>
    </xf>
    <xf numFmtId="37" fontId="12" fillId="7" borderId="0" xfId="0" applyNumberFormat="1" applyFont="1" applyFill="1" applyAlignment="1" applyProtection="1">
      <alignment horizontal="left" vertical="center"/>
    </xf>
    <xf numFmtId="0" fontId="5" fillId="9" borderId="0" xfId="0" applyFont="1" applyFill="1" applyAlignment="1" applyProtection="1">
      <alignment vertical="center"/>
    </xf>
    <xf numFmtId="0" fontId="5" fillId="3" borderId="0" xfId="0" applyFont="1" applyFill="1" applyAlignment="1" applyProtection="1">
      <alignment horizontal="center" vertical="center"/>
    </xf>
    <xf numFmtId="3" fontId="4" fillId="3" borderId="0" xfId="0" applyNumberFormat="1" applyFont="1" applyFill="1" applyAlignment="1" applyProtection="1">
      <alignment vertical="center"/>
    </xf>
    <xf numFmtId="0" fontId="4" fillId="3" borderId="0" xfId="0" applyFont="1" applyFill="1" applyAlignment="1" applyProtection="1">
      <alignment vertical="center"/>
      <protection locked="0"/>
    </xf>
    <xf numFmtId="0" fontId="4" fillId="3" borderId="2" xfId="0" applyFont="1" applyFill="1" applyBorder="1" applyAlignment="1" applyProtection="1">
      <alignment horizontal="center" vertical="center"/>
    </xf>
    <xf numFmtId="0" fontId="4" fillId="3" borderId="2" xfId="0" applyFont="1" applyFill="1" applyBorder="1" applyAlignment="1" applyProtection="1">
      <alignment horizontal="center" vertical="center"/>
      <protection locked="0"/>
    </xf>
    <xf numFmtId="0" fontId="4" fillId="7" borderId="2" xfId="0" applyFont="1" applyFill="1" applyBorder="1" applyAlignment="1" applyProtection="1">
      <alignment vertical="center"/>
    </xf>
    <xf numFmtId="0" fontId="4" fillId="3" borderId="8" xfId="0" applyFont="1" applyFill="1" applyBorder="1" applyAlignment="1" applyProtection="1">
      <alignment vertical="center"/>
      <protection locked="0"/>
    </xf>
    <xf numFmtId="3" fontId="4" fillId="6" borderId="1" xfId="0" applyNumberFormat="1" applyFont="1" applyFill="1" applyBorder="1" applyAlignment="1" applyProtection="1">
      <alignment vertical="center"/>
      <protection locked="0"/>
    </xf>
    <xf numFmtId="0" fontId="4" fillId="7" borderId="7" xfId="0" applyFont="1" applyFill="1" applyBorder="1" applyAlignment="1" applyProtection="1">
      <alignment vertical="center"/>
    </xf>
    <xf numFmtId="0" fontId="4" fillId="3" borderId="9" xfId="0" applyFont="1" applyFill="1" applyBorder="1" applyAlignment="1" applyProtection="1">
      <alignment vertical="center"/>
      <protection locked="0"/>
    </xf>
    <xf numFmtId="0" fontId="0" fillId="0" borderId="0" xfId="0" applyAlignment="1">
      <alignment vertical="center"/>
    </xf>
    <xf numFmtId="37" fontId="4" fillId="3" borderId="7" xfId="0" applyNumberFormat="1" applyFont="1" applyFill="1" applyBorder="1" applyAlignment="1" applyProtection="1">
      <alignment horizontal="left" vertical="center"/>
    </xf>
    <xf numFmtId="37" fontId="4" fillId="6" borderId="1" xfId="0" applyNumberFormat="1" applyFont="1" applyFill="1" applyBorder="1" applyAlignment="1" applyProtection="1">
      <alignment vertical="center"/>
      <protection locked="0"/>
    </xf>
    <xf numFmtId="37" fontId="3" fillId="3" borderId="7" xfId="0" applyNumberFormat="1" applyFont="1" applyFill="1" applyBorder="1" applyAlignment="1" applyProtection="1">
      <alignment horizontal="left" vertical="center"/>
    </xf>
    <xf numFmtId="0" fontId="12" fillId="3" borderId="0" xfId="0" applyFont="1" applyFill="1" applyBorder="1" applyAlignment="1" applyProtection="1">
      <alignment horizontal="center" vertical="center"/>
    </xf>
    <xf numFmtId="171" fontId="4" fillId="6" borderId="2" xfId="0" applyNumberFormat="1" applyFont="1" applyFill="1" applyBorder="1" applyAlignment="1" applyProtection="1">
      <alignment vertical="center"/>
      <protection locked="0"/>
    </xf>
    <xf numFmtId="171" fontId="4" fillId="6" borderId="7" xfId="0" applyNumberFormat="1" applyFont="1" applyFill="1" applyBorder="1" applyAlignment="1" applyProtection="1">
      <alignment vertical="center"/>
      <protection locked="0"/>
    </xf>
    <xf numFmtId="0" fontId="4" fillId="3" borderId="10" xfId="0" applyFont="1" applyFill="1" applyBorder="1" applyAlignment="1" applyProtection="1">
      <alignment vertical="center"/>
    </xf>
    <xf numFmtId="171" fontId="4" fillId="6" borderId="10" xfId="0" applyNumberFormat="1" applyFont="1" applyFill="1" applyBorder="1" applyAlignment="1" applyProtection="1">
      <alignment vertical="center"/>
      <protection locked="0"/>
    </xf>
    <xf numFmtId="0" fontId="0" fillId="3" borderId="0" xfId="0" applyFill="1" applyAlignment="1" applyProtection="1">
      <alignment vertical="center"/>
    </xf>
    <xf numFmtId="0" fontId="0" fillId="3" borderId="2" xfId="0" applyFill="1" applyBorder="1" applyAlignment="1" applyProtection="1">
      <alignment vertical="center"/>
    </xf>
    <xf numFmtId="37" fontId="3" fillId="7" borderId="0" xfId="0" applyNumberFormat="1" applyFont="1" applyFill="1" applyAlignment="1" applyProtection="1">
      <alignment horizontal="left" vertical="center"/>
    </xf>
    <xf numFmtId="3" fontId="4" fillId="7" borderId="0" xfId="0" applyNumberFormat="1" applyFont="1" applyFill="1" applyAlignment="1" applyProtection="1">
      <alignment vertical="center"/>
    </xf>
    <xf numFmtId="3" fontId="4" fillId="3" borderId="8" xfId="0" applyNumberFormat="1" applyFont="1" applyFill="1" applyBorder="1" applyAlignment="1" applyProtection="1">
      <alignment vertical="center"/>
    </xf>
    <xf numFmtId="3" fontId="4" fillId="3" borderId="9" xfId="0" applyNumberFormat="1" applyFont="1" applyFill="1" applyBorder="1" applyAlignment="1" applyProtection="1">
      <alignment vertical="center"/>
    </xf>
    <xf numFmtId="0" fontId="3" fillId="7" borderId="0" xfId="0" applyFont="1" applyFill="1" applyAlignment="1">
      <alignment vertical="center"/>
    </xf>
    <xf numFmtId="0" fontId="1" fillId="7" borderId="0" xfId="0" applyFont="1" applyFill="1" applyAlignment="1">
      <alignment vertical="center"/>
    </xf>
    <xf numFmtId="0" fontId="0" fillId="7" borderId="0" xfId="0" applyFill="1" applyAlignment="1" applyProtection="1">
      <alignment vertical="center"/>
      <protection locked="0"/>
    </xf>
    <xf numFmtId="0" fontId="4" fillId="3" borderId="2" xfId="0" applyFont="1" applyFill="1" applyBorder="1" applyAlignment="1">
      <alignment vertical="center"/>
    </xf>
    <xf numFmtId="0" fontId="0" fillId="3" borderId="2" xfId="0" applyFill="1" applyBorder="1" applyAlignment="1">
      <alignment vertical="center"/>
    </xf>
    <xf numFmtId="0" fontId="0" fillId="3" borderId="8" xfId="0" applyFill="1" applyBorder="1" applyAlignment="1">
      <alignment vertical="center"/>
    </xf>
    <xf numFmtId="0" fontId="4" fillId="3" borderId="7" xfId="0" applyFont="1" applyFill="1" applyBorder="1" applyAlignment="1">
      <alignment vertical="center"/>
    </xf>
    <xf numFmtId="0" fontId="0" fillId="3" borderId="7" xfId="0" applyFill="1" applyBorder="1" applyAlignment="1">
      <alignment vertical="center"/>
    </xf>
    <xf numFmtId="0" fontId="0" fillId="3" borderId="9" xfId="0" applyFill="1" applyBorder="1" applyAlignment="1">
      <alignment vertical="center"/>
    </xf>
    <xf numFmtId="0" fontId="0" fillId="5" borderId="0" xfId="0" applyFill="1" applyAlignment="1">
      <alignment vertical="center"/>
    </xf>
    <xf numFmtId="0" fontId="4" fillId="9" borderId="3" xfId="0" applyFont="1" applyFill="1" applyBorder="1" applyAlignment="1">
      <alignment horizontal="center" vertical="center"/>
    </xf>
    <xf numFmtId="0" fontId="4" fillId="9" borderId="5" xfId="0" applyFont="1" applyFill="1" applyBorder="1" applyAlignment="1">
      <alignment horizontal="center" vertical="center"/>
    </xf>
    <xf numFmtId="0" fontId="15" fillId="3" borderId="0" xfId="0" applyFont="1" applyFill="1" applyAlignment="1">
      <alignment vertical="center"/>
    </xf>
    <xf numFmtId="0" fontId="17" fillId="3" borderId="0" xfId="0" applyFont="1" applyFill="1" applyAlignment="1">
      <alignment vertical="center"/>
    </xf>
    <xf numFmtId="37" fontId="4" fillId="3" borderId="1" xfId="0" applyNumberFormat="1" applyFont="1" applyFill="1" applyBorder="1" applyAlignment="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37" fontId="4" fillId="3" borderId="11" xfId="0" applyNumberFormat="1" applyFont="1" applyFill="1" applyBorder="1" applyAlignment="1" applyProtection="1">
      <alignment horizontal="centerContinuous" vertical="center"/>
    </xf>
    <xf numFmtId="0" fontId="4" fillId="3" borderId="7"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37" fontId="4" fillId="3" borderId="2" xfId="0" applyNumberFormat="1" applyFont="1" applyFill="1" applyBorder="1" applyAlignment="1" applyProtection="1">
      <alignment horizontal="fill" vertical="center"/>
    </xf>
    <xf numFmtId="37" fontId="4" fillId="3" borderId="3" xfId="0" applyNumberFormat="1" applyFont="1" applyFill="1" applyBorder="1" applyAlignment="1" applyProtection="1">
      <alignment horizontal="lef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0" fontId="4" fillId="3" borderId="4" xfId="0" applyFont="1" applyFill="1" applyBorder="1" applyAlignment="1">
      <alignment horizontal="center" vertical="center"/>
    </xf>
    <xf numFmtId="37" fontId="3" fillId="3" borderId="2" xfId="0" applyNumberFormat="1" applyFont="1" applyFill="1" applyBorder="1" applyAlignment="1" applyProtection="1">
      <alignment horizontal="left" vertical="center"/>
    </xf>
    <xf numFmtId="37" fontId="4" fillId="3" borderId="5" xfId="0" applyNumberFormat="1" applyFont="1" applyFill="1" applyBorder="1" applyAlignment="1" applyProtection="1">
      <alignment horizontal="center" vertical="center"/>
    </xf>
    <xf numFmtId="0" fontId="4" fillId="3" borderId="5" xfId="0" applyFont="1" applyFill="1" applyBorder="1" applyAlignment="1">
      <alignment horizontal="center" vertical="center"/>
    </xf>
    <xf numFmtId="37" fontId="4" fillId="3" borderId="11" xfId="0" applyNumberFormat="1" applyFont="1" applyFill="1" applyBorder="1" applyAlignment="1" applyProtection="1">
      <alignment horizontal="left" vertical="center"/>
    </xf>
    <xf numFmtId="37" fontId="4" fillId="3" borderId="1" xfId="0" applyNumberFormat="1" applyFont="1" applyFill="1" applyBorder="1" applyAlignment="1" applyProtection="1">
      <alignment horizontal="center" vertical="center"/>
    </xf>
    <xf numFmtId="0" fontId="4" fillId="3" borderId="3" xfId="0" applyFont="1" applyFill="1" applyBorder="1" applyAlignment="1" applyProtection="1">
      <alignment vertical="center"/>
    </xf>
    <xf numFmtId="0" fontId="4" fillId="3" borderId="4" xfId="0" applyFont="1" applyFill="1" applyBorder="1" applyAlignment="1" applyProtection="1">
      <alignment vertical="center"/>
    </xf>
    <xf numFmtId="37" fontId="12" fillId="3" borderId="11" xfId="0" applyNumberFormat="1" applyFont="1" applyFill="1" applyBorder="1" applyAlignment="1" applyProtection="1">
      <alignment horizontal="left" vertical="center"/>
    </xf>
    <xf numFmtId="37" fontId="12" fillId="3" borderId="9"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5" xfId="0" applyFont="1" applyFill="1" applyBorder="1" applyAlignment="1" applyProtection="1">
      <alignment vertical="center"/>
    </xf>
    <xf numFmtId="37" fontId="4" fillId="4" borderId="1" xfId="0" applyNumberFormat="1" applyFont="1" applyFill="1" applyBorder="1" applyAlignment="1" applyProtection="1">
      <alignment horizontal="center" vertical="center"/>
    </xf>
    <xf numFmtId="37" fontId="4" fillId="3" borderId="11" xfId="0" applyNumberFormat="1" applyFont="1" applyFill="1" applyBorder="1" applyAlignment="1" applyProtection="1">
      <alignment vertical="center"/>
    </xf>
    <xf numFmtId="0" fontId="4" fillId="3" borderId="9" xfId="0" applyFont="1" applyFill="1" applyBorder="1" applyAlignment="1" applyProtection="1">
      <alignment horizontal="center" vertical="center"/>
    </xf>
    <xf numFmtId="37" fontId="4" fillId="3" borderId="9" xfId="0" applyNumberFormat="1"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 xfId="0" applyNumberFormat="1" applyFont="1" applyFill="1" applyBorder="1" applyAlignment="1" applyProtection="1">
      <alignment vertical="center"/>
    </xf>
    <xf numFmtId="0" fontId="0" fillId="10" borderId="1" xfId="0" applyFill="1" applyBorder="1" applyAlignment="1" applyProtection="1">
      <alignment vertical="center"/>
    </xf>
    <xf numFmtId="0" fontId="15" fillId="10" borderId="9" xfId="0" applyFont="1" applyFill="1" applyBorder="1" applyAlignment="1" applyProtection="1">
      <alignment horizontal="center" vertical="center"/>
    </xf>
    <xf numFmtId="37" fontId="4" fillId="3" borderId="0" xfId="0" applyNumberFormat="1" applyFont="1" applyFill="1" applyAlignment="1" applyProtection="1">
      <alignment horizontal="right" vertical="center"/>
    </xf>
    <xf numFmtId="0" fontId="4" fillId="3" borderId="0" xfId="0" applyFont="1" applyFill="1" applyBorder="1" applyAlignment="1" applyProtection="1">
      <alignment horizontal="right" vertical="center"/>
    </xf>
    <xf numFmtId="0" fontId="4" fillId="3" borderId="0" xfId="0" applyFont="1" applyFill="1" applyAlignment="1" applyProtection="1">
      <alignment horizontal="left" vertical="center"/>
    </xf>
    <xf numFmtId="0" fontId="4" fillId="3" borderId="0" xfId="0" applyFont="1" applyFill="1" applyAlignment="1" applyProtection="1">
      <alignment horizontal="center" vertical="center"/>
    </xf>
    <xf numFmtId="0" fontId="4" fillId="3" borderId="0" xfId="0" applyFont="1" applyFill="1" applyAlignment="1">
      <alignment vertical="center"/>
    </xf>
    <xf numFmtId="37" fontId="4" fillId="3" borderId="0" xfId="0" applyNumberFormat="1" applyFont="1" applyFill="1" applyAlignment="1">
      <alignment vertical="center"/>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4" fillId="3" borderId="0" xfId="0" quotePrefix="1" applyFont="1" applyFill="1" applyAlignment="1">
      <alignment horizontal="right" vertical="center"/>
    </xf>
    <xf numFmtId="3" fontId="4" fillId="3" borderId="0" xfId="0" applyNumberFormat="1" applyFont="1" applyFill="1" applyAlignment="1">
      <alignment vertical="center"/>
    </xf>
    <xf numFmtId="3" fontId="4" fillId="3" borderId="0" xfId="0" quotePrefix="1" applyNumberFormat="1" applyFont="1" applyFill="1" applyAlignment="1">
      <alignment vertical="center"/>
    </xf>
    <xf numFmtId="3" fontId="4" fillId="3" borderId="2" xfId="0" applyNumberFormat="1" applyFont="1" applyFill="1" applyBorder="1" applyAlignment="1">
      <alignment vertical="center"/>
    </xf>
    <xf numFmtId="3" fontId="4" fillId="3" borderId="7" xfId="0" applyNumberFormat="1" applyFont="1" applyFill="1" applyBorder="1" applyAlignment="1" applyProtection="1">
      <alignment horizontal="right" vertical="center"/>
    </xf>
    <xf numFmtId="0" fontId="3" fillId="3" borderId="0" xfId="0" applyFont="1" applyFill="1" applyAlignment="1">
      <alignment vertical="center"/>
    </xf>
    <xf numFmtId="3" fontId="4" fillId="3" borderId="7" xfId="0" applyNumberFormat="1" applyFont="1" applyFill="1" applyBorder="1" applyAlignment="1">
      <alignment vertical="center"/>
    </xf>
    <xf numFmtId="3" fontId="4" fillId="3" borderId="2" xfId="0" applyNumberFormat="1" applyFont="1" applyFill="1" applyBorder="1" applyAlignment="1" applyProtection="1">
      <alignment vertical="center"/>
    </xf>
    <xf numFmtId="3" fontId="4" fillId="3" borderId="0" xfId="0" applyNumberFormat="1" applyFont="1" applyFill="1" applyBorder="1" applyAlignment="1">
      <alignment vertical="center"/>
    </xf>
    <xf numFmtId="0" fontId="4" fillId="3" borderId="0" xfId="0" quotePrefix="1" applyFont="1" applyFill="1" applyAlignment="1">
      <alignment vertical="center"/>
    </xf>
    <xf numFmtId="0" fontId="4" fillId="3" borderId="0" xfId="0" applyFont="1" applyFill="1" applyAlignment="1">
      <alignment horizontal="right" vertical="center"/>
    </xf>
    <xf numFmtId="3" fontId="4" fillId="3" borderId="7" xfId="0" applyNumberFormat="1" applyFont="1" applyFill="1" applyBorder="1" applyAlignment="1" applyProtection="1">
      <alignment vertical="center"/>
    </xf>
    <xf numFmtId="3" fontId="4" fillId="3" borderId="10" xfId="0" applyNumberFormat="1" applyFont="1" applyFill="1" applyBorder="1" applyAlignment="1">
      <alignment vertical="center"/>
    </xf>
    <xf numFmtId="0" fontId="4" fillId="3" borderId="10" xfId="0" applyFont="1" applyFill="1" applyBorder="1" applyAlignment="1">
      <alignment vertical="center"/>
    </xf>
    <xf numFmtId="0" fontId="4" fillId="3" borderId="0" xfId="0" applyFont="1" applyFill="1" applyBorder="1" applyAlignment="1">
      <alignment vertical="center"/>
    </xf>
    <xf numFmtId="167" fontId="4" fillId="3" borderId="2" xfId="0" applyNumberFormat="1" applyFont="1" applyFill="1" applyBorder="1" applyAlignment="1">
      <alignment vertical="center"/>
    </xf>
    <xf numFmtId="0" fontId="4" fillId="3" borderId="0" xfId="0" quotePrefix="1" applyFont="1" applyFill="1" applyBorder="1" applyAlignment="1">
      <alignment vertical="center"/>
    </xf>
    <xf numFmtId="3" fontId="4" fillId="3" borderId="14" xfId="0" applyNumberFormat="1" applyFont="1" applyFill="1" applyBorder="1" applyAlignment="1">
      <alignment vertical="center"/>
    </xf>
    <xf numFmtId="3" fontId="4" fillId="3" borderId="2" xfId="1" applyNumberFormat="1" applyFont="1" applyFill="1" applyBorder="1" applyAlignment="1" applyProtection="1">
      <alignment vertical="center"/>
    </xf>
    <xf numFmtId="0" fontId="6" fillId="0" borderId="0" xfId="0" applyFont="1" applyAlignment="1">
      <alignment vertical="center"/>
    </xf>
    <xf numFmtId="37" fontId="4" fillId="3" borderId="0" xfId="0" applyNumberFormat="1" applyFont="1" applyFill="1" applyAlignment="1" applyProtection="1">
      <alignment vertical="center"/>
    </xf>
    <xf numFmtId="0" fontId="4" fillId="3" borderId="2" xfId="0" applyFont="1" applyFill="1" applyBorder="1" applyAlignment="1" applyProtection="1">
      <alignment horizontal="centerContinuous" vertical="center"/>
    </xf>
    <xf numFmtId="0" fontId="4" fillId="3" borderId="3"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66" fontId="4" fillId="3" borderId="0" xfId="0" applyNumberFormat="1" applyFont="1" applyFill="1" applyAlignment="1" applyProtection="1">
      <alignment vertical="center"/>
    </xf>
    <xf numFmtId="37" fontId="4" fillId="3" borderId="2" xfId="0" applyNumberFormat="1" applyFont="1" applyFill="1" applyBorder="1" applyAlignment="1" applyProtection="1">
      <alignment vertical="center"/>
    </xf>
    <xf numFmtId="165" fontId="4" fillId="4" borderId="2" xfId="0" applyNumberFormat="1" applyFont="1" applyFill="1" applyBorder="1" applyAlignment="1" applyProtection="1">
      <alignment vertical="center"/>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1" fontId="4" fillId="3" borderId="5" xfId="0" applyNumberFormat="1" applyFont="1" applyFill="1" applyBorder="1" applyAlignment="1" applyProtection="1">
      <alignment horizontal="center" vertical="center"/>
    </xf>
    <xf numFmtId="170" fontId="4" fillId="6" borderId="5" xfId="1" applyNumberFormat="1" applyFont="1" applyFill="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1" xfId="0" applyFont="1" applyFill="1" applyBorder="1" applyAlignment="1" applyProtection="1">
      <alignment vertical="center"/>
      <protection locked="0"/>
    </xf>
    <xf numFmtId="170" fontId="4" fillId="6" borderId="1" xfId="1"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xf>
    <xf numFmtId="3" fontId="4" fillId="4" borderId="1"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protection locked="0"/>
    </xf>
    <xf numFmtId="37" fontId="3" fillId="3" borderId="1"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right" vertical="center"/>
    </xf>
    <xf numFmtId="0" fontId="3" fillId="3" borderId="0" xfId="413" applyFont="1" applyFill="1" applyAlignment="1" applyProtection="1">
      <alignment horizontal="centerContinuous" vertical="center"/>
    </xf>
    <xf numFmtId="0" fontId="4" fillId="3" borderId="2" xfId="0" applyFont="1" applyFill="1" applyBorder="1" applyAlignment="1" applyProtection="1">
      <alignment horizontal="fill" vertical="center"/>
    </xf>
    <xf numFmtId="0" fontId="4" fillId="3" borderId="15" xfId="0" applyFont="1" applyFill="1" applyBorder="1" applyAlignment="1" applyProtection="1">
      <alignment horizontal="centerContinuous" vertical="center"/>
    </xf>
    <xf numFmtId="0" fontId="4" fillId="3" borderId="1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 fontId="4" fillId="3" borderId="16"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2" fontId="4" fillId="3" borderId="1" xfId="0" applyNumberFormat="1" applyFont="1" applyFill="1" applyBorder="1" applyAlignment="1" applyProtection="1">
      <alignment vertical="center"/>
    </xf>
    <xf numFmtId="3" fontId="4" fillId="3" borderId="1" xfId="0" applyNumberFormat="1" applyFont="1" applyFill="1" applyBorder="1" applyAlignment="1" applyProtection="1">
      <alignment vertical="center"/>
    </xf>
    <xf numFmtId="2" fontId="4" fillId="2" borderId="1" xfId="0" applyNumberFormat="1" applyFont="1" applyFill="1" applyBorder="1" applyAlignment="1" applyProtection="1">
      <alignment horizontal="center" vertical="center"/>
      <protection locked="0"/>
    </xf>
    <xf numFmtId="3" fontId="4" fillId="2" borderId="1" xfId="0" applyNumberFormat="1" applyFont="1" applyFill="1" applyBorder="1" applyAlignment="1" applyProtection="1">
      <alignment horizontal="center" vertical="center"/>
      <protection locked="0"/>
    </xf>
    <xf numFmtId="37" fontId="4" fillId="2" borderId="1" xfId="0" applyNumberFormat="1" applyFont="1" applyFill="1" applyBorder="1" applyAlignment="1" applyProtection="1">
      <alignment horizontal="center" vertical="center"/>
      <protection locked="0"/>
    </xf>
    <xf numFmtId="169" fontId="4" fillId="2" borderId="1"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left" vertical="center"/>
    </xf>
    <xf numFmtId="168" fontId="3" fillId="3" borderId="1" xfId="0" applyNumberFormat="1" applyFont="1" applyFill="1" applyBorder="1" applyAlignment="1" applyProtection="1">
      <alignment horizontal="center" vertical="center"/>
    </xf>
    <xf numFmtId="2" fontId="3" fillId="3" borderId="1"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37" fontId="3" fillId="4" borderId="1" xfId="0" applyNumberFormat="1" applyFont="1" applyFill="1" applyBorder="1" applyAlignment="1" applyProtection="1">
      <alignment horizontal="center" vertical="center"/>
    </xf>
    <xf numFmtId="169" fontId="3" fillId="3" borderId="1" xfId="0" applyNumberFormat="1" applyFont="1" applyFill="1" applyBorder="1" applyAlignment="1" applyProtection="1">
      <alignment horizontal="center" vertical="center"/>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 fontId="3" fillId="3" borderId="1" xfId="0" applyNumberFormat="1" applyFont="1" applyFill="1" applyBorder="1" applyAlignment="1" applyProtection="1">
      <alignment horizontal="center" vertical="center"/>
    </xf>
    <xf numFmtId="3" fontId="3" fillId="4"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 borderId="0" xfId="0" applyNumberFormat="1" applyFont="1" applyFill="1" applyAlignment="1" applyProtection="1">
      <alignment horizontal="right" vertical="center"/>
    </xf>
    <xf numFmtId="0" fontId="3" fillId="3" borderId="0" xfId="0" applyFont="1" applyFill="1" applyAlignment="1" applyProtection="1">
      <alignment vertical="center"/>
    </xf>
    <xf numFmtId="0" fontId="4" fillId="3" borderId="0" xfId="0" applyFont="1" applyFill="1" applyBorder="1" applyAlignment="1" applyProtection="1">
      <alignment horizontal="fill" vertical="center"/>
    </xf>
    <xf numFmtId="0" fontId="4" fillId="3" borderId="5" xfId="0" applyNumberFormat="1" applyFont="1" applyFill="1" applyBorder="1" applyAlignment="1" applyProtection="1">
      <alignment horizontal="center" vertical="center"/>
    </xf>
    <xf numFmtId="0" fontId="4" fillId="3" borderId="11" xfId="0" applyFont="1" applyFill="1" applyBorder="1" applyAlignment="1" applyProtection="1">
      <alignment horizontal="left" vertical="center"/>
    </xf>
    <xf numFmtId="37" fontId="4" fillId="2" borderId="11" xfId="0" applyNumberFormat="1" applyFont="1" applyFill="1" applyBorder="1" applyAlignment="1" applyProtection="1">
      <alignment vertical="center"/>
      <protection locked="0"/>
    </xf>
    <xf numFmtId="3" fontId="4" fillId="3" borderId="11" xfId="0" applyNumberFormat="1" applyFont="1" applyFill="1" applyBorder="1" applyAlignment="1" applyProtection="1">
      <alignment vertical="center"/>
    </xf>
    <xf numFmtId="0" fontId="4" fillId="3" borderId="16" xfId="0" applyFont="1" applyFill="1" applyBorder="1" applyAlignment="1" applyProtection="1">
      <alignment horizontal="left" vertical="center"/>
    </xf>
    <xf numFmtId="3" fontId="4" fillId="2" borderId="11" xfId="0" applyNumberFormat="1" applyFont="1" applyFill="1" applyBorder="1" applyAlignment="1" applyProtection="1">
      <alignment vertical="center"/>
      <protection locked="0"/>
    </xf>
    <xf numFmtId="3" fontId="4" fillId="2" borderId="9" xfId="0" applyNumberFormat="1" applyFont="1" applyFill="1" applyBorder="1" applyAlignment="1" applyProtection="1">
      <alignment vertical="center"/>
      <protection locked="0"/>
    </xf>
    <xf numFmtId="37" fontId="4" fillId="3" borderId="1" xfId="0" applyNumberFormat="1" applyFont="1" applyFill="1" applyBorder="1" applyAlignment="1" applyProtection="1">
      <alignment horizontal="fill" vertical="center"/>
    </xf>
    <xf numFmtId="37" fontId="4" fillId="2" borderId="1" xfId="0" applyNumberFormat="1" applyFont="1" applyFill="1" applyBorder="1" applyAlignment="1" applyProtection="1">
      <alignment vertical="center"/>
      <protection locked="0"/>
    </xf>
    <xf numFmtId="0" fontId="4" fillId="2" borderId="11" xfId="0" applyFont="1" applyFill="1" applyBorder="1" applyAlignment="1" applyProtection="1">
      <alignment horizontal="left" vertical="center"/>
      <protection locked="0"/>
    </xf>
    <xf numFmtId="37" fontId="15" fillId="10" borderId="11" xfId="0" applyNumberFormat="1" applyFont="1" applyFill="1" applyBorder="1" applyAlignment="1" applyProtection="1">
      <alignment horizontal="center" vertical="center"/>
    </xf>
    <xf numFmtId="37" fontId="15" fillId="10" borderId="9" xfId="0" applyNumberFormat="1" applyFont="1" applyFill="1" applyBorder="1" applyAlignment="1" applyProtection="1">
      <alignment horizontal="center" vertical="center"/>
    </xf>
    <xf numFmtId="37" fontId="3" fillId="3" borderId="11" xfId="0" applyNumberFormat="1" applyFont="1" applyFill="1" applyBorder="1" applyAlignment="1" applyProtection="1">
      <alignment horizontal="left" vertical="center"/>
    </xf>
    <xf numFmtId="37" fontId="3" fillId="4" borderId="1" xfId="0" applyNumberFormat="1" applyFont="1" applyFill="1" applyBorder="1" applyAlignment="1" applyProtection="1">
      <alignment vertical="center"/>
    </xf>
    <xf numFmtId="3" fontId="3" fillId="4" borderId="11" xfId="0" applyNumberFormat="1" applyFont="1" applyFill="1" applyBorder="1" applyAlignment="1" applyProtection="1">
      <alignment vertical="center"/>
    </xf>
    <xf numFmtId="3" fontId="3" fillId="4" borderId="1" xfId="0" applyNumberFormat="1" applyFont="1" applyFill="1" applyBorder="1" applyAlignment="1" applyProtection="1">
      <alignment vertical="center"/>
    </xf>
    <xf numFmtId="0" fontId="3" fillId="3" borderId="0" xfId="0" applyFont="1" applyFill="1" applyAlignment="1" applyProtection="1">
      <alignment horizontal="left" vertical="center"/>
    </xf>
    <xf numFmtId="0" fontId="3" fillId="3" borderId="11" xfId="0" applyFont="1" applyFill="1" applyBorder="1" applyAlignment="1" applyProtection="1">
      <alignment horizontal="left" vertical="center"/>
    </xf>
    <xf numFmtId="3" fontId="4" fillId="4" borderId="11" xfId="0" applyNumberFormat="1" applyFont="1" applyFill="1" applyBorder="1" applyAlignment="1" applyProtection="1">
      <alignment vertical="center"/>
    </xf>
    <xf numFmtId="3" fontId="4" fillId="0" borderId="0" xfId="0" applyNumberFormat="1" applyFont="1" applyFill="1" applyBorder="1" applyAlignment="1" applyProtection="1">
      <alignment vertical="center"/>
      <protection locked="0"/>
    </xf>
    <xf numFmtId="0" fontId="4" fillId="4" borderId="11" xfId="0" applyFont="1" applyFill="1" applyBorder="1" applyAlignment="1" applyProtection="1">
      <alignment vertical="center"/>
    </xf>
    <xf numFmtId="0" fontId="4" fillId="2" borderId="11" xfId="0" applyFont="1" applyFill="1" applyBorder="1" applyAlignment="1" applyProtection="1">
      <alignment vertical="center"/>
      <protection locked="0"/>
    </xf>
    <xf numFmtId="0" fontId="4" fillId="3" borderId="11" xfId="0" applyFont="1" applyFill="1" applyBorder="1" applyAlignment="1" applyProtection="1">
      <alignment vertical="center"/>
    </xf>
    <xf numFmtId="37" fontId="4" fillId="4" borderId="1" xfId="0" applyNumberFormat="1" applyFont="1" applyFill="1" applyBorder="1" applyAlignment="1" applyProtection="1">
      <alignment vertical="center"/>
    </xf>
    <xf numFmtId="0" fontId="15" fillId="0" borderId="0" xfId="0" applyFont="1" applyAlignment="1" applyProtection="1">
      <alignment vertical="center"/>
    </xf>
    <xf numFmtId="0" fontId="13" fillId="3" borderId="0" xfId="0" applyFont="1" applyFill="1" applyAlignment="1" applyProtection="1">
      <alignment horizontal="center" vertical="center"/>
    </xf>
    <xf numFmtId="1" fontId="4" fillId="3" borderId="3" xfId="0" applyNumberFormat="1" applyFont="1" applyFill="1" applyBorder="1" applyAlignment="1" applyProtection="1">
      <alignment horizontal="center" vertical="center"/>
    </xf>
    <xf numFmtId="0" fontId="4" fillId="2" borderId="1" xfId="0" applyFont="1" applyFill="1" applyBorder="1" applyAlignment="1" applyProtection="1">
      <alignment horizontal="left" vertical="center"/>
      <protection locked="0"/>
    </xf>
    <xf numFmtId="0" fontId="4" fillId="6" borderId="0" xfId="0" applyFont="1" applyFill="1" applyAlignment="1" applyProtection="1">
      <alignment horizontal="left" vertical="center"/>
      <protection locked="0"/>
    </xf>
    <xf numFmtId="37" fontId="3" fillId="4" borderId="6" xfId="0" applyNumberFormat="1" applyFont="1" applyFill="1" applyBorder="1" applyAlignment="1" applyProtection="1">
      <alignment vertical="center"/>
    </xf>
    <xf numFmtId="0" fontId="15" fillId="3" borderId="0" xfId="0" applyFont="1" applyFill="1" applyAlignment="1" applyProtection="1">
      <alignment vertical="center"/>
    </xf>
    <xf numFmtId="37" fontId="4" fillId="3" borderId="16" xfId="0" applyNumberFormat="1" applyFont="1" applyFill="1" applyBorder="1" applyAlignment="1" applyProtection="1">
      <alignment horizontal="left" vertical="center"/>
    </xf>
    <xf numFmtId="3" fontId="4" fillId="11" borderId="1" xfId="0" applyNumberFormat="1" applyFont="1" applyFill="1" applyBorder="1" applyAlignment="1" applyProtection="1">
      <alignment vertical="center"/>
    </xf>
    <xf numFmtId="37" fontId="4" fillId="3" borderId="0" xfId="0" applyNumberFormat="1" applyFont="1" applyFill="1" applyBorder="1" applyAlignment="1" applyProtection="1">
      <alignment horizontal="fill" vertical="center"/>
    </xf>
    <xf numFmtId="3" fontId="4" fillId="3" borderId="1" xfId="0" applyNumberFormat="1"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3" fontId="4" fillId="3" borderId="2" xfId="0" applyNumberFormat="1" applyFont="1" applyFill="1" applyBorder="1" applyAlignment="1" applyProtection="1">
      <alignment horizontal="fill" vertical="center"/>
    </xf>
    <xf numFmtId="0" fontId="4" fillId="3" borderId="15" xfId="0" applyFont="1" applyFill="1" applyBorder="1" applyAlignment="1" applyProtection="1">
      <alignment vertical="center"/>
    </xf>
    <xf numFmtId="37" fontId="15" fillId="10" borderId="1" xfId="0" applyNumberFormat="1" applyFont="1" applyFill="1" applyBorder="1" applyAlignment="1" applyProtection="1">
      <alignment horizontal="center" vertical="center"/>
    </xf>
    <xf numFmtId="0" fontId="4" fillId="3" borderId="0" xfId="0" applyFont="1" applyFill="1" applyAlignment="1">
      <alignment horizontal="center" vertical="center"/>
    </xf>
    <xf numFmtId="0" fontId="18" fillId="3" borderId="0" xfId="0" applyFont="1" applyFill="1" applyAlignment="1">
      <alignment horizontal="center" vertical="center"/>
    </xf>
    <xf numFmtId="0" fontId="12" fillId="3" borderId="0" xfId="0" applyFont="1" applyFill="1" applyAlignment="1">
      <alignment horizontal="center" vertical="center"/>
    </xf>
    <xf numFmtId="0" fontId="4" fillId="3" borderId="9" xfId="0" applyFont="1" applyFill="1" applyBorder="1" applyAlignment="1">
      <alignment horizontal="center" vertical="center"/>
    </xf>
    <xf numFmtId="0" fontId="11" fillId="3" borderId="3" xfId="0" applyFont="1" applyFill="1" applyBorder="1" applyAlignment="1">
      <alignment vertical="center"/>
    </xf>
    <xf numFmtId="0" fontId="11" fillId="3" borderId="9" xfId="0" applyFont="1" applyFill="1" applyBorder="1" applyAlignment="1">
      <alignment horizontal="center" vertical="center"/>
    </xf>
    <xf numFmtId="0" fontId="11" fillId="3" borderId="13" xfId="0" applyFont="1" applyFill="1" applyBorder="1" applyAlignment="1">
      <alignment vertical="center"/>
    </xf>
    <xf numFmtId="0" fontId="11" fillId="3" borderId="1" xfId="0" applyFont="1" applyFill="1" applyBorder="1" applyAlignment="1">
      <alignment horizontal="center" vertical="center"/>
    </xf>
    <xf numFmtId="0" fontId="4" fillId="3" borderId="9" xfId="0" applyFont="1" applyFill="1" applyBorder="1" applyAlignment="1">
      <alignment vertical="center"/>
    </xf>
    <xf numFmtId="0" fontId="4" fillId="3" borderId="1" xfId="0" applyFont="1" applyFill="1" applyBorder="1" applyAlignment="1">
      <alignment horizontal="center" vertical="center"/>
    </xf>
    <xf numFmtId="0" fontId="11" fillId="3" borderId="16" xfId="0" applyFont="1" applyFill="1" applyBorder="1" applyAlignment="1">
      <alignment vertical="center"/>
    </xf>
    <xf numFmtId="3" fontId="11" fillId="6" borderId="1" xfId="0" applyNumberFormat="1" applyFont="1" applyFill="1" applyBorder="1" applyAlignment="1" applyProtection="1">
      <alignment horizontal="center" vertical="center"/>
      <protection locked="0"/>
    </xf>
    <xf numFmtId="0" fontId="11" fillId="3" borderId="2" xfId="0" applyFont="1" applyFill="1" applyBorder="1" applyAlignment="1">
      <alignment vertical="center"/>
    </xf>
    <xf numFmtId="3" fontId="11" fillId="4" borderId="1" xfId="0" applyNumberFormat="1" applyFont="1" applyFill="1" applyBorder="1" applyAlignment="1">
      <alignment horizontal="center" vertical="center"/>
    </xf>
    <xf numFmtId="0" fontId="11" fillId="3" borderId="0" xfId="0" applyFont="1" applyFill="1" applyAlignment="1">
      <alignment vertical="center"/>
    </xf>
    <xf numFmtId="3" fontId="11" fillId="3" borderId="0" xfId="0" applyNumberFormat="1" applyFont="1" applyFill="1" applyAlignment="1">
      <alignment horizontal="center" vertical="center"/>
    </xf>
    <xf numFmtId="0" fontId="11" fillId="3" borderId="0" xfId="0" applyFont="1" applyFill="1" applyAlignment="1">
      <alignment horizontal="center" vertical="center"/>
    </xf>
    <xf numFmtId="0" fontId="11" fillId="6" borderId="1" xfId="0" applyFont="1" applyFill="1" applyBorder="1" applyAlignment="1" applyProtection="1">
      <alignment vertical="center"/>
      <protection locked="0"/>
    </xf>
    <xf numFmtId="0" fontId="11" fillId="6" borderId="13" xfId="0" applyFont="1" applyFill="1" applyBorder="1" applyAlignment="1" applyProtection="1">
      <alignment vertical="center"/>
      <protection locked="0"/>
    </xf>
    <xf numFmtId="0" fontId="11" fillId="6" borderId="0" xfId="0" applyFont="1" applyFill="1" applyAlignment="1" applyProtection="1">
      <alignment vertical="center"/>
      <protection locked="0"/>
    </xf>
    <xf numFmtId="0" fontId="11" fillId="6" borderId="9" xfId="0" applyFont="1" applyFill="1" applyBorder="1" applyAlignment="1" applyProtection="1">
      <alignment vertical="center"/>
      <protection locked="0"/>
    </xf>
    <xf numFmtId="0" fontId="11" fillId="6" borderId="5" xfId="0" applyFont="1" applyFill="1" applyBorder="1" applyAlignment="1" applyProtection="1">
      <alignment vertical="center"/>
      <protection locked="0"/>
    </xf>
    <xf numFmtId="0" fontId="11" fillId="6" borderId="12" xfId="0" applyFont="1" applyFill="1" applyBorder="1" applyAlignment="1" applyProtection="1">
      <alignment vertical="center"/>
      <protection locked="0"/>
    </xf>
    <xf numFmtId="3" fontId="16" fillId="10" borderId="1" xfId="0" applyNumberFormat="1" applyFont="1" applyFill="1" applyBorder="1" applyAlignment="1">
      <alignment horizontal="center"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3" borderId="11" xfId="0" applyNumberFormat="1" applyFont="1" applyFill="1" applyBorder="1" applyAlignment="1" applyProtection="1">
      <alignment horizontal="centerContinuous" vertical="center"/>
    </xf>
    <xf numFmtId="164" fontId="4" fillId="3" borderId="1" xfId="0" applyNumberFormat="1" applyFont="1" applyFill="1" applyBorder="1" applyAlignment="1" applyProtection="1">
      <alignment vertical="center"/>
    </xf>
    <xf numFmtId="37" fontId="4" fillId="3" borderId="5" xfId="0" applyNumberFormat="1" applyFont="1" applyFill="1" applyBorder="1" applyAlignment="1" applyProtection="1">
      <alignment horizontal="fill" vertical="center"/>
    </xf>
    <xf numFmtId="1" fontId="5" fillId="3" borderId="0" xfId="0" applyNumberFormat="1" applyFont="1" applyFill="1" applyAlignment="1" applyProtection="1">
      <alignment horizontal="center" vertical="center"/>
    </xf>
    <xf numFmtId="3" fontId="4" fillId="3" borderId="2" xfId="0" applyNumberFormat="1" applyFont="1" applyFill="1" applyBorder="1" applyAlignment="1" applyProtection="1">
      <alignment horizontal="center" vertical="center"/>
    </xf>
    <xf numFmtId="0" fontId="4" fillId="3" borderId="3"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3" fontId="4" fillId="6" borderId="1" xfId="0" applyNumberFormat="1" applyFont="1" applyFill="1" applyBorder="1" applyAlignment="1" applyProtection="1">
      <alignment horizontal="center" vertical="center"/>
      <protection locked="0"/>
    </xf>
    <xf numFmtId="172" fontId="4" fillId="3" borderId="1" xfId="0" applyNumberFormat="1" applyFont="1" applyFill="1" applyBorder="1" applyAlignment="1" applyProtection="1">
      <alignment horizontal="center" vertical="center"/>
    </xf>
    <xf numFmtId="3" fontId="4" fillId="6" borderId="3" xfId="0" applyNumberFormat="1" applyFont="1" applyFill="1" applyBorder="1" applyAlignment="1" applyProtection="1">
      <alignment horizontal="center" vertical="center"/>
      <protection locked="0"/>
    </xf>
    <xf numFmtId="3" fontId="4" fillId="3" borderId="6" xfId="0" applyNumberFormat="1" applyFont="1" applyFill="1" applyBorder="1" applyAlignment="1" applyProtection="1">
      <alignment horizontal="center" vertical="center"/>
    </xf>
    <xf numFmtId="172" fontId="4" fillId="3" borderId="6" xfId="0" applyNumberFormat="1" applyFont="1" applyFill="1" applyBorder="1" applyAlignment="1" applyProtection="1">
      <alignment horizontal="center" vertical="center"/>
    </xf>
    <xf numFmtId="172" fontId="4" fillId="3" borderId="2" xfId="0" applyNumberFormat="1" applyFont="1" applyFill="1" applyBorder="1" applyAlignment="1" applyProtection="1">
      <alignment horizontal="center" vertical="center"/>
    </xf>
    <xf numFmtId="172" fontId="4" fillId="3" borderId="0" xfId="0" applyNumberFormat="1" applyFont="1" applyFill="1" applyBorder="1" applyAlignment="1" applyProtection="1">
      <alignment horizontal="center" vertical="center"/>
    </xf>
    <xf numFmtId="3" fontId="4" fillId="3" borderId="2" xfId="0" applyNumberFormat="1" applyFont="1" applyFill="1" applyBorder="1" applyAlignment="1">
      <alignment horizontal="center" vertical="center"/>
    </xf>
    <xf numFmtId="0" fontId="0" fillId="3" borderId="0" xfId="0" applyFill="1" applyAlignment="1">
      <alignment horizontal="center" vertical="center"/>
    </xf>
    <xf numFmtId="172" fontId="4" fillId="3" borderId="2" xfId="0" applyNumberFormat="1" applyFont="1" applyFill="1" applyBorder="1" applyAlignment="1">
      <alignment horizontal="center" vertical="center"/>
    </xf>
    <xf numFmtId="171" fontId="4" fillId="3" borderId="0" xfId="0" applyNumberFormat="1" applyFont="1" applyFill="1" applyBorder="1" applyAlignment="1" applyProtection="1">
      <alignment vertical="center"/>
    </xf>
    <xf numFmtId="3" fontId="20" fillId="10" borderId="0" xfId="0" applyNumberFormat="1" applyFont="1" applyFill="1" applyAlignment="1">
      <alignment horizontal="center" vertical="center"/>
    </xf>
    <xf numFmtId="37" fontId="3" fillId="12" borderId="1" xfId="0" applyNumberFormat="1" applyFont="1" applyFill="1" applyBorder="1" applyAlignment="1" applyProtection="1">
      <alignment vertical="center"/>
    </xf>
    <xf numFmtId="37" fontId="4" fillId="12" borderId="1" xfId="0" applyNumberFormat="1" applyFont="1" applyFill="1" applyBorder="1" applyAlignment="1" applyProtection="1">
      <alignment vertical="center"/>
    </xf>
    <xf numFmtId="0" fontId="22" fillId="0" borderId="0" xfId="387"/>
    <xf numFmtId="0" fontId="4" fillId="0" borderId="0" xfId="387" applyFont="1" applyAlignment="1">
      <alignment horizontal="left" vertical="center"/>
    </xf>
    <xf numFmtId="173" fontId="11" fillId="0" borderId="0" xfId="387" applyNumberFormat="1" applyFont="1" applyAlignment="1">
      <alignment horizontal="left" vertical="center"/>
    </xf>
    <xf numFmtId="49" fontId="4" fillId="0" borderId="0" xfId="387" applyNumberFormat="1" applyFont="1" applyAlignment="1">
      <alignment horizontal="left" vertical="center"/>
    </xf>
    <xf numFmtId="0" fontId="11" fillId="0" borderId="0" xfId="387" applyFont="1" applyAlignment="1">
      <alignment horizontal="left" vertical="center"/>
    </xf>
    <xf numFmtId="174" fontId="11" fillId="0" borderId="0" xfId="387" applyNumberFormat="1" applyFont="1" applyAlignment="1">
      <alignment horizontal="left" vertical="center"/>
    </xf>
    <xf numFmtId="0" fontId="4" fillId="3" borderId="0" xfId="0" applyFont="1" applyFill="1"/>
    <xf numFmtId="0" fontId="34"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2" borderId="1" xfId="0" applyNumberFormat="1" applyFont="1" applyFill="1" applyBorder="1" applyAlignment="1" applyProtection="1">
      <alignment horizontal="center" vertical="center"/>
      <protection locked="0"/>
    </xf>
    <xf numFmtId="3" fontId="11" fillId="4" borderId="5" xfId="0" applyNumberFormat="1" applyFont="1" applyFill="1" applyBorder="1" applyAlignment="1">
      <alignment horizontal="center" vertical="center"/>
    </xf>
    <xf numFmtId="3" fontId="4" fillId="11" borderId="11" xfId="0" applyNumberFormat="1" applyFont="1" applyFill="1" applyBorder="1" applyAlignment="1" applyProtection="1">
      <alignment vertical="center"/>
    </xf>
    <xf numFmtId="37" fontId="13" fillId="3" borderId="1" xfId="0" applyNumberFormat="1" applyFont="1" applyFill="1" applyBorder="1" applyAlignment="1" applyProtection="1">
      <alignment horizontal="center" vertical="center"/>
    </xf>
    <xf numFmtId="3" fontId="4" fillId="3" borderId="0" xfId="0" applyNumberFormat="1" applyFont="1" applyFill="1" applyBorder="1" applyAlignment="1" applyProtection="1">
      <alignment vertical="center"/>
    </xf>
    <xf numFmtId="49" fontId="4" fillId="2" borderId="1" xfId="0" applyNumberFormat="1" applyFont="1" applyFill="1" applyBorder="1" applyAlignment="1" applyProtection="1">
      <alignment horizontal="center" vertical="center"/>
      <protection locked="0"/>
    </xf>
    <xf numFmtId="0" fontId="4" fillId="3" borderId="0" xfId="40" applyFont="1" applyFill="1" applyAlignment="1" applyProtection="1">
      <alignment horizontal="right" vertical="center"/>
    </xf>
    <xf numFmtId="0" fontId="2" fillId="0" borderId="0" xfId="36"/>
    <xf numFmtId="0" fontId="4" fillId="3" borderId="0" xfId="36" applyFont="1" applyFill="1" applyAlignment="1" applyProtection="1">
      <alignment vertical="center"/>
    </xf>
    <xf numFmtId="0" fontId="4" fillId="0" borderId="0" xfId="36" applyFont="1" applyAlignment="1" applyProtection="1">
      <alignment vertical="center"/>
      <protection locked="0"/>
    </xf>
    <xf numFmtId="37" fontId="4" fillId="3" borderId="0" xfId="36" applyNumberFormat="1" applyFont="1" applyFill="1" applyAlignment="1" applyProtection="1">
      <alignment horizontal="left" vertical="center"/>
    </xf>
    <xf numFmtId="0" fontId="3" fillId="3" borderId="0" xfId="36" applyFont="1" applyFill="1" applyAlignment="1" applyProtection="1">
      <alignment vertical="center"/>
    </xf>
    <xf numFmtId="3" fontId="4" fillId="2" borderId="1" xfId="36" applyNumberFormat="1" applyFont="1" applyFill="1" applyBorder="1" applyAlignment="1" applyProtection="1">
      <alignment vertical="center"/>
      <protection locked="0"/>
    </xf>
    <xf numFmtId="3" fontId="4" fillId="4" borderId="1" xfId="36" applyNumberFormat="1" applyFont="1" applyFill="1" applyBorder="1" applyAlignment="1" applyProtection="1">
      <alignment vertical="center"/>
    </xf>
    <xf numFmtId="0" fontId="4" fillId="3" borderId="0" xfId="36" applyFont="1" applyFill="1" applyAlignment="1" applyProtection="1">
      <alignment vertical="center"/>
      <protection locked="0"/>
    </xf>
    <xf numFmtId="0" fontId="2" fillId="0" borderId="0" xfId="36" applyAlignment="1">
      <alignment vertical="center"/>
    </xf>
    <xf numFmtId="1" fontId="4" fillId="3" borderId="0" xfId="36" applyNumberFormat="1" applyFont="1" applyFill="1" applyBorder="1" applyAlignment="1" applyProtection="1">
      <alignment horizontal="right" vertical="center"/>
    </xf>
    <xf numFmtId="37" fontId="4" fillId="3" borderId="0" xfId="36" quotePrefix="1" applyNumberFormat="1" applyFont="1" applyFill="1" applyAlignment="1" applyProtection="1">
      <alignment horizontal="right" vertical="center"/>
    </xf>
    <xf numFmtId="37" fontId="4" fillId="3" borderId="11" xfId="36" applyNumberFormat="1" applyFont="1" applyFill="1" applyBorder="1" applyAlignment="1" applyProtection="1">
      <alignment horizontal="left" vertical="center"/>
    </xf>
    <xf numFmtId="3" fontId="4" fillId="3" borderId="1" xfId="36" applyNumberFormat="1" applyFont="1" applyFill="1" applyBorder="1" applyAlignment="1" applyProtection="1">
      <alignment vertical="center"/>
    </xf>
    <xf numFmtId="37" fontId="4" fillId="3" borderId="11" xfId="36" applyNumberFormat="1" applyFont="1" applyFill="1" applyBorder="1" applyAlignment="1" applyProtection="1">
      <alignment vertical="center"/>
    </xf>
    <xf numFmtId="0" fontId="4" fillId="3" borderId="11" xfId="36" applyFont="1" applyFill="1" applyBorder="1" applyAlignment="1" applyProtection="1">
      <alignment vertical="center"/>
    </xf>
    <xf numFmtId="37" fontId="4" fillId="3" borderId="0" xfId="36" applyNumberFormat="1" applyFont="1" applyFill="1" applyAlignment="1" applyProtection="1">
      <alignment vertical="center"/>
    </xf>
    <xf numFmtId="0" fontId="4" fillId="3" borderId="0" xfId="36" applyFont="1" applyFill="1" applyAlignment="1" applyProtection="1">
      <alignment horizontal="right" vertical="center"/>
    </xf>
    <xf numFmtId="37" fontId="4" fillId="3" borderId="0" xfId="36" applyNumberFormat="1" applyFont="1" applyFill="1" applyAlignment="1" applyProtection="1">
      <alignment horizontal="right" vertical="center"/>
    </xf>
    <xf numFmtId="3" fontId="4" fillId="3" borderId="1" xfId="36" applyNumberFormat="1" applyFont="1" applyFill="1" applyBorder="1" applyAlignment="1" applyProtection="1">
      <alignment horizontal="center" vertical="center"/>
    </xf>
    <xf numFmtId="37" fontId="4" fillId="3" borderId="0" xfId="36" applyNumberFormat="1" applyFont="1" applyFill="1" applyAlignment="1" applyProtection="1">
      <alignment horizontal="fill" vertical="center"/>
    </xf>
    <xf numFmtId="37" fontId="4" fillId="3" borderId="16" xfId="36" applyNumberFormat="1" applyFont="1" applyFill="1" applyBorder="1" applyAlignment="1" applyProtection="1">
      <alignment horizontal="left" vertical="center"/>
    </xf>
    <xf numFmtId="37" fontId="3" fillId="3" borderId="11" xfId="36" applyNumberFormat="1" applyFont="1" applyFill="1" applyBorder="1" applyAlignment="1" applyProtection="1">
      <alignment horizontal="left" vertical="center"/>
    </xf>
    <xf numFmtId="3" fontId="4" fillId="3" borderId="0" xfId="36" applyNumberFormat="1" applyFont="1" applyFill="1" applyAlignment="1" applyProtection="1">
      <alignment horizontal="center" vertical="center"/>
    </xf>
    <xf numFmtId="0" fontId="15" fillId="0" borderId="0" xfId="36" applyFont="1" applyAlignment="1" applyProtection="1">
      <alignment vertical="center"/>
    </xf>
    <xf numFmtId="0" fontId="13" fillId="3" borderId="0" xfId="36" applyFont="1" applyFill="1" applyAlignment="1" applyProtection="1">
      <alignment horizontal="center" vertical="center"/>
    </xf>
    <xf numFmtId="37" fontId="4" fillId="2" borderId="11" xfId="36" applyNumberFormat="1" applyFont="1" applyFill="1" applyBorder="1" applyAlignment="1" applyProtection="1">
      <alignment horizontal="left" vertical="center"/>
      <protection locked="0"/>
    </xf>
    <xf numFmtId="3" fontId="3" fillId="4" borderId="1" xfId="36" applyNumberFormat="1" applyFont="1" applyFill="1" applyBorder="1" applyAlignment="1" applyProtection="1">
      <alignment vertical="center"/>
    </xf>
    <xf numFmtId="0" fontId="4" fillId="3" borderId="11" xfId="36" applyFont="1" applyFill="1" applyBorder="1" applyAlignment="1" applyProtection="1">
      <alignment vertical="center"/>
      <protection locked="0"/>
    </xf>
    <xf numFmtId="3" fontId="4" fillId="3" borderId="1" xfId="36" applyNumberFormat="1" applyFont="1" applyFill="1" applyBorder="1" applyAlignment="1" applyProtection="1">
      <alignment horizontal="fill" vertical="center"/>
    </xf>
    <xf numFmtId="0" fontId="4" fillId="2" borderId="11" xfId="36" applyFont="1" applyFill="1" applyBorder="1" applyAlignment="1" applyProtection="1">
      <alignment horizontal="left" vertical="center"/>
      <protection locked="0"/>
    </xf>
    <xf numFmtId="3" fontId="3" fillId="3" borderId="1" xfId="36" applyNumberFormat="1" applyFont="1" applyFill="1" applyBorder="1" applyAlignment="1" applyProtection="1">
      <alignment vertical="center"/>
    </xf>
    <xf numFmtId="0" fontId="4" fillId="13" borderId="17" xfId="36" applyFont="1" applyFill="1" applyBorder="1" applyAlignment="1" applyProtection="1">
      <alignment vertical="center"/>
      <protection locked="0"/>
    </xf>
    <xf numFmtId="0" fontId="4" fillId="13" borderId="12" xfId="36" applyFont="1" applyFill="1" applyBorder="1" applyAlignment="1" applyProtection="1">
      <alignment vertical="center"/>
      <protection locked="0"/>
    </xf>
    <xf numFmtId="175" fontId="11" fillId="13" borderId="17" xfId="36" applyNumberFormat="1" applyFont="1" applyFill="1" applyBorder="1" applyAlignment="1" applyProtection="1">
      <alignment vertical="center"/>
      <protection locked="0"/>
    </xf>
    <xf numFmtId="175" fontId="11" fillId="13" borderId="16" xfId="36" applyNumberFormat="1" applyFont="1" applyFill="1" applyBorder="1" applyAlignment="1" applyProtection="1">
      <alignment horizontal="center" vertical="center"/>
      <protection locked="0"/>
    </xf>
    <xf numFmtId="175" fontId="11" fillId="13" borderId="17" xfId="36" applyNumberFormat="1" applyFont="1" applyFill="1" applyBorder="1" applyAlignment="1" applyProtection="1">
      <alignment horizontal="center" vertical="center"/>
      <protection locked="0"/>
    </xf>
    <xf numFmtId="0" fontId="11" fillId="13" borderId="0" xfId="36" applyFont="1" applyFill="1" applyBorder="1" applyAlignment="1" applyProtection="1">
      <alignment vertical="center"/>
      <protection locked="0"/>
    </xf>
    <xf numFmtId="0" fontId="11" fillId="13" borderId="0" xfId="36" applyFont="1" applyFill="1" applyBorder="1" applyAlignment="1" applyProtection="1">
      <alignment horizontal="left" vertical="center"/>
      <protection locked="0"/>
    </xf>
    <xf numFmtId="37" fontId="4" fillId="6" borderId="11" xfId="36" applyNumberFormat="1" applyFont="1" applyFill="1" applyBorder="1" applyAlignment="1" applyProtection="1">
      <alignment horizontal="right" vertical="center"/>
      <protection locked="0"/>
    </xf>
    <xf numFmtId="3" fontId="3" fillId="4" borderId="11" xfId="36" applyNumberFormat="1" applyFont="1" applyFill="1" applyBorder="1" applyAlignment="1" applyProtection="1">
      <alignment vertical="center"/>
    </xf>
    <xf numFmtId="3" fontId="4" fillId="3" borderId="11" xfId="36" applyNumberFormat="1" applyFont="1" applyFill="1" applyBorder="1" applyAlignment="1" applyProtection="1">
      <alignment vertical="center"/>
    </xf>
    <xf numFmtId="37" fontId="4" fillId="6" borderId="11" xfId="36" applyNumberFormat="1" applyFont="1" applyFill="1" applyBorder="1" applyAlignment="1" applyProtection="1">
      <alignment vertical="center"/>
      <protection locked="0"/>
    </xf>
    <xf numFmtId="3" fontId="4" fillId="2" borderId="11" xfId="36" applyNumberFormat="1" applyFont="1" applyFill="1" applyBorder="1" applyAlignment="1" applyProtection="1">
      <alignment vertical="center"/>
      <protection locked="0"/>
    </xf>
    <xf numFmtId="3" fontId="3" fillId="3" borderId="11" xfId="36" applyNumberFormat="1" applyFont="1" applyFill="1" applyBorder="1" applyAlignment="1" applyProtection="1">
      <alignment vertical="center"/>
    </xf>
    <xf numFmtId="3" fontId="4" fillId="4" borderId="11" xfId="36" applyNumberFormat="1" applyFont="1" applyFill="1" applyBorder="1" applyAlignment="1" applyProtection="1">
      <alignment vertical="center"/>
    </xf>
    <xf numFmtId="37" fontId="3" fillId="3" borderId="2" xfId="36" applyNumberFormat="1" applyFont="1" applyFill="1" applyBorder="1" applyAlignment="1" applyProtection="1">
      <alignment vertical="center"/>
    </xf>
    <xf numFmtId="37" fontId="3" fillId="3" borderId="0" xfId="36" applyNumberFormat="1" applyFont="1" applyFill="1" applyBorder="1" applyAlignment="1" applyProtection="1">
      <alignment vertical="center"/>
    </xf>
    <xf numFmtId="0" fontId="8" fillId="9" borderId="1" xfId="0" applyFont="1" applyFill="1" applyBorder="1" applyAlignment="1" applyProtection="1">
      <alignment vertical="center" shrinkToFit="1"/>
    </xf>
    <xf numFmtId="37" fontId="4" fillId="3" borderId="4" xfId="36" applyNumberFormat="1" applyFont="1" applyFill="1" applyBorder="1" applyAlignment="1" applyProtection="1">
      <alignment horizontal="center" vertical="center"/>
    </xf>
    <xf numFmtId="37" fontId="4" fillId="3" borderId="5" xfId="36" applyNumberFormat="1" applyFont="1" applyFill="1" applyBorder="1" applyAlignment="1" applyProtection="1">
      <alignment horizontal="center" vertical="center"/>
    </xf>
    <xf numFmtId="0" fontId="26" fillId="0" borderId="0" xfId="0" applyFont="1" applyAlignment="1" applyProtection="1">
      <alignment vertical="center"/>
    </xf>
    <xf numFmtId="3" fontId="4" fillId="3" borderId="5" xfId="0" applyNumberFormat="1" applyFont="1" applyFill="1" applyBorder="1" applyAlignment="1" applyProtection="1">
      <alignment horizontal="center" vertical="center"/>
    </xf>
    <xf numFmtId="3" fontId="4" fillId="3" borderId="3" xfId="0" applyNumberFormat="1" applyFont="1" applyFill="1" applyBorder="1" applyAlignment="1" applyProtection="1">
      <alignment horizontal="center" vertical="center"/>
    </xf>
    <xf numFmtId="3" fontId="4" fillId="6" borderId="11" xfId="36" applyNumberFormat="1" applyFont="1" applyFill="1" applyBorder="1" applyAlignment="1" applyProtection="1">
      <alignment horizontal="right" vertical="center"/>
      <protection locked="0"/>
    </xf>
    <xf numFmtId="172" fontId="4" fillId="14" borderId="12" xfId="36" applyNumberFormat="1" applyFont="1" applyFill="1" applyBorder="1" applyAlignment="1" applyProtection="1">
      <alignment horizontal="center"/>
      <protection locked="0"/>
    </xf>
    <xf numFmtId="0" fontId="4" fillId="13" borderId="0" xfId="36" applyFont="1" applyFill="1" applyBorder="1" applyProtection="1"/>
    <xf numFmtId="175" fontId="4" fillId="13" borderId="12" xfId="36" applyNumberFormat="1" applyFont="1" applyFill="1" applyBorder="1" applyAlignment="1" applyProtection="1">
      <alignment horizontal="center"/>
    </xf>
    <xf numFmtId="175" fontId="4" fillId="15" borderId="8" xfId="36" applyNumberFormat="1" applyFont="1" applyFill="1" applyBorder="1" applyAlignment="1" applyProtection="1">
      <alignment horizontal="center"/>
    </xf>
    <xf numFmtId="0" fontId="4" fillId="0" borderId="0" xfId="36" applyFont="1" applyFill="1" applyBorder="1" applyProtection="1"/>
    <xf numFmtId="0" fontId="4" fillId="13" borderId="17" xfId="36" applyFont="1" applyFill="1" applyBorder="1" applyProtection="1"/>
    <xf numFmtId="0" fontId="4" fillId="13" borderId="12" xfId="36" applyFont="1" applyFill="1" applyBorder="1" applyProtection="1"/>
    <xf numFmtId="171" fontId="4" fillId="13" borderId="12" xfId="36" applyNumberFormat="1" applyFont="1" applyFill="1" applyBorder="1" applyAlignment="1" applyProtection="1">
      <alignment horizontal="center"/>
    </xf>
    <xf numFmtId="0" fontId="4" fillId="15" borderId="17" xfId="36" applyFont="1" applyFill="1" applyBorder="1" applyProtection="1"/>
    <xf numFmtId="0" fontId="4" fillId="15" borderId="0" xfId="36" applyFont="1" applyFill="1" applyBorder="1" applyProtection="1"/>
    <xf numFmtId="0" fontId="4" fillId="15" borderId="16" xfId="36" applyFont="1" applyFill="1" applyBorder="1" applyProtection="1"/>
    <xf numFmtId="0" fontId="4" fillId="15" borderId="2" xfId="36" applyFont="1" applyFill="1" applyBorder="1" applyProtection="1"/>
    <xf numFmtId="0" fontId="4" fillId="0" borderId="0" xfId="36" applyFont="1" applyProtection="1"/>
    <xf numFmtId="175" fontId="4" fillId="13" borderId="8" xfId="36" applyNumberFormat="1" applyFont="1" applyFill="1" applyBorder="1" applyAlignment="1" applyProtection="1">
      <alignment horizontal="center"/>
    </xf>
    <xf numFmtId="0" fontId="35" fillId="0" borderId="0" xfId="0" applyFont="1" applyAlignment="1">
      <alignment vertical="center"/>
    </xf>
    <xf numFmtId="0" fontId="36" fillId="0" borderId="0" xfId="0" applyFont="1" applyAlignment="1" applyProtection="1">
      <alignment horizontal="center" vertical="center"/>
      <protection locked="0"/>
    </xf>
    <xf numFmtId="0" fontId="37" fillId="3" borderId="0" xfId="0" applyFont="1" applyFill="1" applyAlignment="1" applyProtection="1">
      <alignment horizontal="center" vertical="center"/>
    </xf>
    <xf numFmtId="170" fontId="4" fillId="6" borderId="1" xfId="1" applyNumberFormat="1" applyFont="1" applyFill="1" applyBorder="1" applyAlignment="1" applyProtection="1">
      <alignment vertical="center"/>
      <protection locked="0"/>
    </xf>
    <xf numFmtId="37" fontId="3" fillId="3" borderId="0" xfId="0" applyNumberFormat="1" applyFont="1" applyFill="1" applyBorder="1" applyAlignment="1" applyProtection="1">
      <alignment vertical="center"/>
    </xf>
    <xf numFmtId="0" fontId="4" fillId="13" borderId="0" xfId="36" applyFont="1" applyFill="1" applyBorder="1" applyAlignment="1" applyProtection="1">
      <alignment vertical="center"/>
      <protection locked="0"/>
    </xf>
    <xf numFmtId="0" fontId="4" fillId="13" borderId="0" xfId="36" applyFont="1" applyFill="1" applyBorder="1" applyAlignment="1" applyProtection="1">
      <alignment vertical="center"/>
    </xf>
    <xf numFmtId="0" fontId="27" fillId="13" borderId="0" xfId="36" applyFont="1" applyFill="1" applyBorder="1" applyAlignment="1" applyProtection="1">
      <alignment vertical="center"/>
      <protection locked="0"/>
    </xf>
    <xf numFmtId="175" fontId="27" fillId="14" borderId="1" xfId="36" applyNumberFormat="1" applyFont="1" applyFill="1" applyBorder="1" applyAlignment="1" applyProtection="1">
      <alignment horizontal="center" vertical="center"/>
      <protection locked="0"/>
    </xf>
    <xf numFmtId="0" fontId="4" fillId="13" borderId="17" xfId="36" applyFont="1" applyFill="1" applyBorder="1" applyAlignment="1" applyProtection="1">
      <alignment vertical="center"/>
    </xf>
    <xf numFmtId="0" fontId="4" fillId="13" borderId="12" xfId="36" applyFont="1" applyFill="1" applyBorder="1" applyAlignment="1" applyProtection="1">
      <alignment vertical="center"/>
    </xf>
    <xf numFmtId="175" fontId="27" fillId="13" borderId="17" xfId="36" applyNumberFormat="1" applyFont="1" applyFill="1" applyBorder="1" applyAlignment="1" applyProtection="1">
      <alignment horizontal="center" vertical="center"/>
    </xf>
    <xf numFmtId="0" fontId="27" fillId="13" borderId="0" xfId="36" applyFont="1" applyFill="1" applyBorder="1" applyAlignment="1" applyProtection="1">
      <alignment horizontal="left" vertical="center"/>
    </xf>
    <xf numFmtId="0" fontId="27" fillId="13" borderId="12" xfId="36" applyFont="1" applyFill="1" applyBorder="1" applyAlignment="1" applyProtection="1">
      <alignment vertical="center"/>
    </xf>
    <xf numFmtId="0" fontId="27" fillId="13" borderId="0" xfId="36" applyFont="1" applyFill="1" applyBorder="1" applyAlignment="1" applyProtection="1">
      <alignment vertical="center"/>
    </xf>
    <xf numFmtId="175" fontId="27" fillId="13" borderId="16" xfId="36" applyNumberFormat="1" applyFont="1" applyFill="1" applyBorder="1" applyAlignment="1" applyProtection="1">
      <alignment horizontal="center" vertical="center"/>
    </xf>
    <xf numFmtId="175" fontId="27" fillId="13" borderId="17" xfId="36" applyNumberFormat="1" applyFont="1" applyFill="1" applyBorder="1" applyAlignment="1" applyProtection="1">
      <alignment vertical="center"/>
    </xf>
    <xf numFmtId="0" fontId="29" fillId="15" borderId="2" xfId="36" applyFont="1" applyFill="1" applyBorder="1" applyAlignment="1" applyProtection="1">
      <alignment vertical="center"/>
    </xf>
    <xf numFmtId="0" fontId="27" fillId="15" borderId="8" xfId="36" applyFont="1" applyFill="1" applyBorder="1" applyAlignment="1" applyProtection="1">
      <alignment vertical="center"/>
    </xf>
    <xf numFmtId="0" fontId="4" fillId="15" borderId="8" xfId="36" applyFont="1" applyFill="1" applyBorder="1" applyAlignment="1" applyProtection="1">
      <alignment vertical="center"/>
    </xf>
    <xf numFmtId="0" fontId="27" fillId="13" borderId="17" xfId="36" applyFont="1" applyFill="1" applyBorder="1" applyAlignment="1" applyProtection="1">
      <alignment horizontal="left" vertical="center"/>
    </xf>
    <xf numFmtId="175" fontId="29" fillId="15" borderId="16" xfId="36" applyNumberFormat="1" applyFont="1" applyFill="1" applyBorder="1" applyAlignment="1" applyProtection="1">
      <alignment horizontal="center" vertical="center"/>
    </xf>
    <xf numFmtId="175" fontId="29" fillId="15" borderId="8" xfId="36" applyNumberFormat="1" applyFont="1" applyFill="1" applyBorder="1" applyAlignment="1" applyProtection="1">
      <alignment horizontal="center" vertical="center"/>
      <protection locked="0"/>
    </xf>
    <xf numFmtId="172" fontId="27" fillId="13" borderId="9" xfId="36" applyNumberFormat="1" applyFont="1" applyFill="1" applyBorder="1" applyAlignment="1" applyProtection="1">
      <alignment horizontal="center" vertical="center"/>
      <protection locked="0"/>
    </xf>
    <xf numFmtId="0" fontId="27" fillId="13" borderId="17" xfId="36" applyFont="1" applyFill="1" applyBorder="1" applyAlignment="1" applyProtection="1">
      <alignment vertical="center"/>
    </xf>
    <xf numFmtId="37" fontId="4" fillId="0" borderId="0" xfId="0" applyNumberFormat="1" applyFont="1" applyFill="1" applyBorder="1" applyAlignment="1" applyProtection="1">
      <alignment horizontal="center" vertical="center"/>
    </xf>
    <xf numFmtId="3" fontId="4" fillId="3" borderId="0" xfId="0" applyNumberFormat="1"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xf>
    <xf numFmtId="171" fontId="4" fillId="3" borderId="0" xfId="0" applyNumberFormat="1" applyFont="1" applyFill="1" applyBorder="1" applyAlignment="1" applyProtection="1">
      <alignment horizontal="center" vertical="center"/>
    </xf>
    <xf numFmtId="3" fontId="4" fillId="3" borderId="18" xfId="0" applyNumberFormat="1" applyFont="1" applyFill="1" applyBorder="1" applyAlignment="1" applyProtection="1">
      <alignment horizontal="center" vertical="center"/>
    </xf>
    <xf numFmtId="172" fontId="4" fillId="3" borderId="18" xfId="0" applyNumberFormat="1" applyFont="1" applyFill="1" applyBorder="1" applyAlignment="1" applyProtection="1">
      <alignment horizontal="center" vertical="center"/>
    </xf>
    <xf numFmtId="37" fontId="4" fillId="3" borderId="0" xfId="0" applyNumberFormat="1" applyFont="1" applyFill="1" applyAlignment="1" applyProtection="1">
      <alignment horizontal="left" vertical="center"/>
      <protection locked="0"/>
    </xf>
    <xf numFmtId="37" fontId="4" fillId="3" borderId="2" xfId="0" applyNumberFormat="1" applyFont="1" applyFill="1" applyBorder="1" applyAlignment="1" applyProtection="1">
      <alignment vertical="center"/>
      <protection locked="0"/>
    </xf>
    <xf numFmtId="37" fontId="4" fillId="3" borderId="3" xfId="26" applyNumberFormat="1" applyFont="1" applyFill="1" applyBorder="1" applyAlignment="1" applyProtection="1">
      <alignment horizontal="center"/>
    </xf>
    <xf numFmtId="37" fontId="4" fillId="3" borderId="5" xfId="26" applyNumberFormat="1" applyFont="1" applyFill="1" applyBorder="1" applyAlignment="1" applyProtection="1">
      <alignment horizontal="center"/>
    </xf>
    <xf numFmtId="3" fontId="4" fillId="12" borderId="6" xfId="0" applyNumberFormat="1" applyFont="1" applyFill="1" applyBorder="1" applyAlignment="1" applyProtection="1">
      <alignment horizontal="center" vertical="center"/>
    </xf>
    <xf numFmtId="37" fontId="7" fillId="3" borderId="3" xfId="0" applyNumberFormat="1" applyFont="1" applyFill="1" applyBorder="1" applyAlignment="1" applyProtection="1">
      <alignment horizontal="center" vertical="center"/>
    </xf>
    <xf numFmtId="1" fontId="7" fillId="3" borderId="3" xfId="0" applyNumberFormat="1" applyFont="1" applyFill="1" applyBorder="1" applyAlignment="1" applyProtection="1">
      <alignment horizontal="center" vertical="center"/>
    </xf>
    <xf numFmtId="0" fontId="3" fillId="3" borderId="2" xfId="0" applyFont="1" applyFill="1" applyBorder="1" applyAlignment="1" applyProtection="1">
      <alignment vertical="center"/>
    </xf>
    <xf numFmtId="175" fontId="4" fillId="15" borderId="12" xfId="36" applyNumberFormat="1" applyFont="1" applyFill="1" applyBorder="1" applyAlignment="1" applyProtection="1">
      <alignment horizontal="center"/>
    </xf>
    <xf numFmtId="0" fontId="4" fillId="3" borderId="0" xfId="10" applyNumberFormat="1" applyFont="1" applyFill="1" applyBorder="1" applyAlignment="1" applyProtection="1">
      <alignment horizontal="right" vertical="center"/>
    </xf>
    <xf numFmtId="0" fontId="4" fillId="3" borderId="4" xfId="0" applyFont="1" applyFill="1" applyBorder="1" applyProtection="1"/>
    <xf numFmtId="0" fontId="4" fillId="13" borderId="0" xfId="0" applyFont="1" applyFill="1" applyAlignment="1" applyProtection="1">
      <alignment vertical="center"/>
      <protection locked="0"/>
    </xf>
    <xf numFmtId="10" fontId="4" fillId="2" borderId="1" xfId="0" applyNumberFormat="1" applyFont="1" applyFill="1" applyBorder="1" applyAlignment="1" applyProtection="1">
      <alignment vertical="center"/>
      <protection locked="0"/>
    </xf>
    <xf numFmtId="177" fontId="4" fillId="2" borderId="1" xfId="0" applyNumberFormat="1" applyFont="1" applyFill="1" applyBorder="1" applyAlignment="1" applyProtection="1">
      <alignment vertical="center"/>
      <protection locked="0"/>
    </xf>
    <xf numFmtId="171" fontId="4" fillId="3" borderId="9" xfId="0" applyNumberFormat="1" applyFont="1" applyFill="1" applyBorder="1" applyAlignment="1" applyProtection="1">
      <alignment vertical="center"/>
    </xf>
    <xf numFmtId="0" fontId="38" fillId="0" borderId="0" xfId="0" applyFont="1"/>
    <xf numFmtId="49" fontId="4" fillId="6" borderId="0" xfId="387" applyNumberFormat="1" applyFont="1" applyFill="1" applyAlignment="1" applyProtection="1">
      <alignment horizontal="left" vertical="center"/>
      <protection locked="0"/>
    </xf>
    <xf numFmtId="49" fontId="4" fillId="0" borderId="0" xfId="387" applyNumberFormat="1" applyFont="1" applyFill="1" applyAlignment="1" applyProtection="1">
      <alignment horizontal="left" vertical="center"/>
      <protection locked="0"/>
    </xf>
    <xf numFmtId="0" fontId="4" fillId="6" borderId="0" xfId="387" applyFont="1" applyFill="1" applyAlignment="1" applyProtection="1">
      <alignment horizontal="left" vertical="center"/>
      <protection locked="0"/>
    </xf>
    <xf numFmtId="0" fontId="22" fillId="6" borderId="0" xfId="387" applyFill="1" applyAlignment="1" applyProtection="1">
      <alignment horizontal="left" vertical="center"/>
      <protection locked="0"/>
    </xf>
    <xf numFmtId="0" fontId="39" fillId="0" borderId="0" xfId="387" applyFont="1"/>
    <xf numFmtId="173" fontId="40" fillId="0" borderId="0" xfId="387" applyNumberFormat="1" applyFont="1" applyAlignment="1">
      <alignment horizontal="left" vertical="center"/>
    </xf>
    <xf numFmtId="0" fontId="40" fillId="0" borderId="0" xfId="387" applyNumberFormat="1" applyFont="1" applyAlignment="1">
      <alignment horizontal="left" vertical="center"/>
    </xf>
    <xf numFmtId="1" fontId="40" fillId="0" borderId="0" xfId="387" applyNumberFormat="1" applyFont="1" applyAlignment="1">
      <alignment horizontal="left" vertical="center"/>
    </xf>
    <xf numFmtId="0" fontId="41" fillId="0" borderId="0" xfId="387" applyFont="1" applyAlignment="1">
      <alignment horizontal="left" vertical="center"/>
    </xf>
    <xf numFmtId="49" fontId="4" fillId="3" borderId="0" xfId="0" applyNumberFormat="1" applyFont="1" applyFill="1" applyAlignment="1" applyProtection="1">
      <alignment horizontal="left" vertical="center"/>
    </xf>
    <xf numFmtId="0" fontId="29" fillId="15" borderId="17" xfId="36" applyFont="1" applyFill="1" applyBorder="1" applyAlignment="1" applyProtection="1">
      <alignment vertical="center"/>
      <protection locked="0"/>
    </xf>
    <xf numFmtId="0" fontId="4" fillId="15" borderId="0" xfId="36" applyFont="1" applyFill="1" applyBorder="1" applyAlignment="1" applyProtection="1">
      <alignment vertical="center"/>
      <protection locked="0"/>
    </xf>
    <xf numFmtId="0" fontId="27" fillId="15" borderId="0" xfId="36"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27" fillId="13" borderId="16" xfId="0" applyFont="1" applyFill="1" applyBorder="1" applyAlignment="1" applyProtection="1">
      <alignment vertical="center"/>
      <protection locked="0"/>
    </xf>
    <xf numFmtId="0" fontId="27" fillId="13" borderId="2" xfId="0" applyFont="1" applyFill="1" applyBorder="1" applyAlignment="1" applyProtection="1">
      <alignment vertical="center"/>
      <protection locked="0"/>
    </xf>
    <xf numFmtId="0" fontId="4" fillId="13" borderId="2" xfId="0" applyFont="1" applyFill="1" applyBorder="1" applyAlignment="1" applyProtection="1">
      <alignment vertical="center"/>
      <protection locked="0"/>
    </xf>
    <xf numFmtId="0" fontId="4" fillId="15" borderId="8" xfId="0" applyFont="1" applyFill="1" applyBorder="1" applyAlignment="1" applyProtection="1">
      <alignment vertical="center"/>
      <protection locked="0"/>
    </xf>
    <xf numFmtId="172" fontId="27" fillId="13" borderId="17" xfId="0" applyNumberFormat="1" applyFont="1" applyFill="1" applyBorder="1" applyAlignment="1" applyProtection="1">
      <alignment horizontal="center" vertical="center"/>
    </xf>
    <xf numFmtId="0" fontId="27" fillId="13" borderId="0" xfId="0" applyFont="1" applyFill="1" applyBorder="1" applyAlignment="1" applyProtection="1">
      <alignment horizontal="left" vertical="center"/>
    </xf>
    <xf numFmtId="0" fontId="28" fillId="13" borderId="0" xfId="0" applyFont="1" applyFill="1" applyBorder="1" applyAlignment="1" applyProtection="1">
      <alignment horizontal="center" vertical="center"/>
    </xf>
    <xf numFmtId="0" fontId="0" fillId="13" borderId="12" xfId="0" applyFill="1" applyBorder="1" applyAlignment="1" applyProtection="1">
      <alignment vertical="center"/>
    </xf>
    <xf numFmtId="172" fontId="27" fillId="15" borderId="16" xfId="0" applyNumberFormat="1" applyFont="1" applyFill="1" applyBorder="1" applyAlignment="1" applyProtection="1">
      <alignment horizontal="center" vertical="center"/>
    </xf>
    <xf numFmtId="172" fontId="27" fillId="13" borderId="11" xfId="0" applyNumberFormat="1" applyFont="1" applyFill="1" applyBorder="1" applyAlignment="1" applyProtection="1">
      <alignment horizontal="center" vertical="center"/>
    </xf>
    <xf numFmtId="172" fontId="27" fillId="15" borderId="11" xfId="0" applyNumberFormat="1" applyFont="1" applyFill="1" applyBorder="1" applyAlignment="1" applyProtection="1">
      <alignment horizontal="center" vertical="center"/>
    </xf>
    <xf numFmtId="0" fontId="27" fillId="13" borderId="2" xfId="0" applyFont="1" applyFill="1" applyBorder="1" applyAlignment="1" applyProtection="1">
      <alignment horizontal="left" vertical="center"/>
    </xf>
    <xf numFmtId="0" fontId="28" fillId="13" borderId="2" xfId="0" applyFont="1" applyFill="1" applyBorder="1" applyAlignment="1" applyProtection="1">
      <alignment horizontal="center" vertical="center"/>
    </xf>
    <xf numFmtId="0" fontId="0" fillId="13" borderId="8" xfId="0" applyFill="1" applyBorder="1" applyAlignment="1" applyProtection="1">
      <alignment vertical="center"/>
    </xf>
    <xf numFmtId="0" fontId="35" fillId="0" borderId="0" xfId="0" applyFont="1" applyProtection="1">
      <protection locked="0"/>
    </xf>
    <xf numFmtId="175" fontId="11" fillId="15" borderId="16" xfId="36" applyNumberFormat="1" applyFont="1" applyFill="1" applyBorder="1" applyAlignment="1" applyProtection="1">
      <alignment horizontal="center" vertical="center"/>
      <protection locked="0"/>
    </xf>
    <xf numFmtId="0" fontId="11" fillId="15" borderId="2" xfId="36" applyFont="1" applyFill="1" applyBorder="1" applyAlignment="1" applyProtection="1">
      <alignment vertical="center"/>
      <protection locked="0"/>
    </xf>
    <xf numFmtId="0" fontId="4" fillId="15" borderId="8" xfId="36" applyFont="1" applyFill="1" applyBorder="1" applyAlignment="1" applyProtection="1">
      <alignment vertical="center"/>
      <protection locked="0"/>
    </xf>
    <xf numFmtId="0" fontId="4" fillId="13" borderId="12" xfId="0" applyFont="1" applyFill="1" applyBorder="1" applyAlignment="1" applyProtection="1">
      <alignment vertical="center"/>
      <protection locked="0"/>
    </xf>
    <xf numFmtId="3" fontId="4" fillId="10" borderId="6" xfId="36" applyNumberFormat="1" applyFont="1" applyFill="1" applyBorder="1" applyAlignment="1" applyProtection="1">
      <alignment vertical="center"/>
    </xf>
    <xf numFmtId="3" fontId="4" fillId="11" borderId="6" xfId="0" applyNumberFormat="1" applyFont="1" applyFill="1" applyBorder="1" applyAlignment="1" applyProtection="1">
      <alignment vertical="center"/>
    </xf>
    <xf numFmtId="0" fontId="27" fillId="13" borderId="17" xfId="0" applyFont="1" applyFill="1" applyBorder="1" applyAlignment="1" applyProtection="1">
      <alignment vertical="center"/>
    </xf>
    <xf numFmtId="0" fontId="4" fillId="13" borderId="0" xfId="0" applyFont="1" applyFill="1" applyBorder="1" applyAlignment="1" applyProtection="1">
      <alignment vertical="center"/>
    </xf>
    <xf numFmtId="0" fontId="27" fillId="13" borderId="0" xfId="0" applyFont="1" applyFill="1" applyBorder="1" applyAlignment="1" applyProtection="1">
      <alignment vertical="center"/>
    </xf>
    <xf numFmtId="175" fontId="27" fillId="13" borderId="12" xfId="0" applyNumberFormat="1" applyFont="1" applyFill="1" applyBorder="1" applyAlignment="1" applyProtection="1">
      <alignment horizontal="center" vertical="center"/>
    </xf>
    <xf numFmtId="0" fontId="27" fillId="13" borderId="17" xfId="0" applyFont="1" applyFill="1" applyBorder="1" applyAlignment="1" applyProtection="1">
      <alignment horizontal="left" vertical="center"/>
    </xf>
    <xf numFmtId="175" fontId="27" fillId="14" borderId="1" xfId="0" applyNumberFormat="1" applyFont="1" applyFill="1" applyBorder="1" applyAlignment="1" applyProtection="1">
      <alignment horizontal="center" vertical="center"/>
      <protection locked="0"/>
    </xf>
    <xf numFmtId="172" fontId="29" fillId="13" borderId="9" xfId="0" applyNumberFormat="1" applyFont="1" applyFill="1" applyBorder="1" applyAlignment="1" applyProtection="1">
      <alignment horizontal="center" vertical="center"/>
    </xf>
    <xf numFmtId="0" fontId="29" fillId="15" borderId="17" xfId="0" applyFont="1" applyFill="1" applyBorder="1" applyAlignment="1" applyProtection="1">
      <alignment vertical="center"/>
    </xf>
    <xf numFmtId="0" fontId="4" fillId="15" borderId="0" xfId="0" applyFont="1" applyFill="1" applyBorder="1" applyAlignment="1" applyProtection="1">
      <alignment vertical="center"/>
    </xf>
    <xf numFmtId="0" fontId="27" fillId="15" borderId="0" xfId="0" applyFont="1" applyFill="1" applyBorder="1" applyAlignment="1" applyProtection="1">
      <alignment vertical="center"/>
    </xf>
    <xf numFmtId="175" fontId="29" fillId="15" borderId="9" xfId="0" applyNumberFormat="1" applyFont="1" applyFill="1" applyBorder="1" applyAlignment="1" applyProtection="1">
      <alignment horizontal="center" vertical="center"/>
    </xf>
    <xf numFmtId="37" fontId="27" fillId="3" borderId="16" xfId="0" applyNumberFormat="1" applyFont="1" applyFill="1" applyBorder="1" applyAlignment="1" applyProtection="1">
      <alignment horizontal="left" vertical="center"/>
    </xf>
    <xf numFmtId="0" fontId="31" fillId="13" borderId="2" xfId="0" applyFont="1" applyFill="1" applyBorder="1" applyAlignment="1">
      <alignment horizontal="left" vertical="center"/>
    </xf>
    <xf numFmtId="175" fontId="29" fillId="15" borderId="8" xfId="0" applyNumberFormat="1" applyFont="1" applyFill="1" applyBorder="1" applyAlignment="1" applyProtection="1">
      <alignment horizontal="center" vertical="center"/>
      <protection locked="0"/>
    </xf>
    <xf numFmtId="0" fontId="4" fillId="13" borderId="17" xfId="0" applyFont="1" applyFill="1" applyBorder="1" applyAlignment="1" applyProtection="1">
      <alignment vertical="center"/>
    </xf>
    <xf numFmtId="0" fontId="4" fillId="13" borderId="12" xfId="0" applyFont="1" applyFill="1" applyBorder="1" applyProtection="1">
      <protection locked="0"/>
    </xf>
    <xf numFmtId="175" fontId="27" fillId="13" borderId="17" xfId="0" applyNumberFormat="1" applyFont="1" applyFill="1" applyBorder="1" applyAlignment="1" applyProtection="1">
      <alignment horizontal="center" vertical="center"/>
    </xf>
    <xf numFmtId="0" fontId="27" fillId="13" borderId="12" xfId="0" applyFont="1" applyFill="1" applyBorder="1" applyAlignment="1" applyProtection="1">
      <alignment vertical="center"/>
    </xf>
    <xf numFmtId="175" fontId="27" fillId="13" borderId="16" xfId="0" applyNumberFormat="1" applyFont="1" applyFill="1" applyBorder="1" applyAlignment="1" applyProtection="1">
      <alignment horizontal="center" vertical="center"/>
    </xf>
    <xf numFmtId="0" fontId="30" fillId="0" borderId="0" xfId="0" applyFont="1" applyAlignment="1" applyProtection="1">
      <alignment horizontal="right" vertical="center"/>
    </xf>
    <xf numFmtId="175" fontId="11" fillId="13" borderId="17" xfId="0" applyNumberFormat="1" applyFont="1" applyFill="1" applyBorder="1" applyAlignment="1" applyProtection="1">
      <alignment horizontal="center" vertical="center"/>
    </xf>
    <xf numFmtId="0" fontId="4" fillId="13" borderId="12" xfId="0" applyFont="1" applyFill="1" applyBorder="1" applyAlignment="1" applyProtection="1">
      <alignment vertical="center"/>
    </xf>
    <xf numFmtId="175" fontId="11" fillId="13" borderId="17" xfId="0" applyNumberFormat="1" applyFont="1" applyFill="1" applyBorder="1" applyAlignment="1" applyProtection="1">
      <alignment vertical="center"/>
    </xf>
    <xf numFmtId="0" fontId="11" fillId="13" borderId="0" xfId="0" applyFont="1" applyFill="1" applyBorder="1" applyAlignment="1" applyProtection="1">
      <alignment vertical="center"/>
    </xf>
    <xf numFmtId="175" fontId="11" fillId="13" borderId="16" xfId="0" applyNumberFormat="1" applyFont="1" applyFill="1" applyBorder="1" applyAlignment="1" applyProtection="1">
      <alignment horizontal="center" vertical="center"/>
    </xf>
    <xf numFmtId="175" fontId="11" fillId="15" borderId="16" xfId="0" applyNumberFormat="1" applyFont="1" applyFill="1" applyBorder="1" applyAlignment="1" applyProtection="1">
      <alignment horizontal="center" vertical="center"/>
    </xf>
    <xf numFmtId="0" fontId="11" fillId="15" borderId="2" xfId="0" applyFont="1" applyFill="1" applyBorder="1" applyAlignment="1" applyProtection="1">
      <alignment vertical="center"/>
    </xf>
    <xf numFmtId="0" fontId="4" fillId="15" borderId="8" xfId="0" applyFont="1" applyFill="1" applyBorder="1" applyAlignment="1" applyProtection="1">
      <alignment vertical="center"/>
    </xf>
    <xf numFmtId="0" fontId="4" fillId="15" borderId="8" xfId="0" applyFont="1" applyFill="1" applyBorder="1" applyProtection="1">
      <protection locked="0"/>
    </xf>
    <xf numFmtId="0" fontId="35" fillId="0" borderId="0" xfId="0" applyFont="1"/>
    <xf numFmtId="0" fontId="4" fillId="13" borderId="0" xfId="26" applyFont="1" applyFill="1"/>
    <xf numFmtId="0" fontId="2" fillId="0" borderId="0" xfId="26"/>
    <xf numFmtId="0" fontId="4" fillId="13" borderId="0" xfId="26" applyFont="1" applyFill="1" applyAlignment="1">
      <alignment vertical="center"/>
    </xf>
    <xf numFmtId="37" fontId="4" fillId="13" borderId="0" xfId="26" applyNumberFormat="1" applyFont="1" applyFill="1" applyAlignment="1">
      <alignment vertical="center"/>
    </xf>
    <xf numFmtId="0" fontId="4" fillId="13" borderId="2" xfId="26" applyFont="1" applyFill="1" applyBorder="1" applyAlignment="1">
      <alignment vertical="center"/>
    </xf>
    <xf numFmtId="0" fontId="4" fillId="13" borderId="0" xfId="26" applyFont="1" applyFill="1" applyAlignment="1">
      <alignment horizontal="center" vertical="center"/>
    </xf>
    <xf numFmtId="0" fontId="5" fillId="13" borderId="0" xfId="26" applyFont="1" applyFill="1" applyAlignment="1">
      <alignment horizontal="center" vertical="center"/>
    </xf>
    <xf numFmtId="175" fontId="4" fillId="13" borderId="0" xfId="26" applyNumberFormat="1" applyFont="1" applyFill="1" applyAlignment="1">
      <alignment vertical="center"/>
    </xf>
    <xf numFmtId="175" fontId="4" fillId="13" borderId="10" xfId="26" applyNumberFormat="1" applyFont="1" applyFill="1" applyBorder="1" applyAlignment="1">
      <alignment vertical="center"/>
    </xf>
    <xf numFmtId="175" fontId="4" fillId="13" borderId="0" xfId="26" applyNumberFormat="1" applyFont="1" applyFill="1" applyBorder="1" applyAlignment="1">
      <alignment vertical="center"/>
    </xf>
    <xf numFmtId="0" fontId="36" fillId="15" borderId="0" xfId="26" applyFont="1" applyFill="1" applyAlignment="1">
      <alignment vertical="center"/>
    </xf>
    <xf numFmtId="0" fontId="36" fillId="13" borderId="0" xfId="26" applyFont="1" applyFill="1" applyAlignment="1">
      <alignment horizontal="center" vertical="center"/>
    </xf>
    <xf numFmtId="172" fontId="4" fillId="13" borderId="0" xfId="26" applyNumberFormat="1" applyFont="1" applyFill="1" applyAlignment="1">
      <alignment horizontal="center" vertical="center"/>
    </xf>
    <xf numFmtId="178" fontId="36" fillId="13" borderId="0" xfId="26" applyNumberFormat="1" applyFont="1" applyFill="1" applyAlignment="1">
      <alignment horizontal="center" vertical="center"/>
    </xf>
    <xf numFmtId="0" fontId="36" fillId="15" borderId="0" xfId="26" applyFont="1" applyFill="1" applyAlignment="1">
      <alignment horizontal="center" vertical="center"/>
    </xf>
    <xf numFmtId="0" fontId="42" fillId="15" borderId="0" xfId="26" applyFont="1" applyFill="1" applyAlignment="1">
      <alignment horizontal="center" vertical="center"/>
    </xf>
    <xf numFmtId="0" fontId="4" fillId="13" borderId="0" xfId="26" applyFont="1" applyFill="1" applyAlignment="1">
      <alignment horizontal="right" vertical="center"/>
    </xf>
    <xf numFmtId="0" fontId="4" fillId="13" borderId="0" xfId="26" applyFont="1" applyFill="1" applyAlignment="1">
      <alignment horizontal="left" vertical="center"/>
    </xf>
    <xf numFmtId="0" fontId="4" fillId="13" borderId="0" xfId="21" applyFont="1" applyFill="1"/>
    <xf numFmtId="0" fontId="2" fillId="13" borderId="0" xfId="26" applyFill="1"/>
    <xf numFmtId="0" fontId="3" fillId="13" borderId="0" xfId="21" applyFont="1" applyFill="1"/>
    <xf numFmtId="0" fontId="2" fillId="13" borderId="0" xfId="21" applyFill="1"/>
    <xf numFmtId="0" fontId="10" fillId="0" borderId="0" xfId="10" applyAlignment="1" applyProtection="1"/>
    <xf numFmtId="0" fontId="4" fillId="3" borderId="0" xfId="0" applyFont="1" applyFill="1" applyBorder="1" applyAlignment="1" applyProtection="1">
      <alignment horizontal="center" vertical="center"/>
    </xf>
    <xf numFmtId="37" fontId="4" fillId="3" borderId="0" xfId="0" applyNumberFormat="1" applyFont="1" applyFill="1" applyBorder="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fill" vertical="center"/>
      <protection locked="0"/>
    </xf>
    <xf numFmtId="0" fontId="3" fillId="3" borderId="0" xfId="0" applyFont="1" applyFill="1" applyAlignment="1" applyProtection="1">
      <alignment horizontal="right"/>
    </xf>
    <xf numFmtId="6" fontId="4" fillId="13" borderId="0" xfId="26" applyNumberFormat="1" applyFont="1" applyFill="1" applyBorder="1" applyAlignment="1">
      <alignment horizontal="center" vertical="center"/>
    </xf>
    <xf numFmtId="1" fontId="4" fillId="3" borderId="15" xfId="0" applyNumberFormat="1" applyFont="1" applyFill="1"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0" fontId="4" fillId="3" borderId="0"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37" fontId="7" fillId="3" borderId="13" xfId="0" applyNumberFormat="1" applyFont="1" applyFill="1" applyBorder="1" applyAlignment="1" applyProtection="1">
      <alignment horizontal="center" vertical="center"/>
    </xf>
    <xf numFmtId="0" fontId="4" fillId="0" borderId="0" xfId="0" applyFont="1" applyBorder="1" applyAlignment="1">
      <alignment vertical="center"/>
    </xf>
    <xf numFmtId="3" fontId="4" fillId="3" borderId="1" xfId="0" applyNumberFormat="1" applyFont="1" applyFill="1" applyBorder="1" applyAlignment="1" applyProtection="1">
      <alignment horizontal="right" vertical="center"/>
    </xf>
    <xf numFmtId="176" fontId="4" fillId="3" borderId="1" xfId="0" applyNumberFormat="1" applyFont="1" applyFill="1" applyBorder="1" applyAlignment="1" applyProtection="1">
      <alignment horizontal="right" vertical="center"/>
    </xf>
    <xf numFmtId="171" fontId="4" fillId="3" borderId="1" xfId="0" applyNumberFormat="1" applyFont="1" applyFill="1" applyBorder="1" applyAlignment="1" applyProtection="1">
      <alignment horizontal="right" vertical="center"/>
    </xf>
    <xf numFmtId="0" fontId="4" fillId="3" borderId="1" xfId="0" applyFont="1" applyFill="1" applyBorder="1" applyAlignment="1" applyProtection="1">
      <alignment horizontal="right" vertical="center"/>
    </xf>
    <xf numFmtId="3" fontId="4" fillId="3" borderId="19" xfId="0" applyNumberFormat="1" applyFont="1" applyFill="1" applyBorder="1" applyAlignment="1" applyProtection="1">
      <alignment horizontal="right" vertical="center"/>
    </xf>
    <xf numFmtId="0" fontId="4" fillId="3" borderId="19" xfId="0" applyFont="1" applyFill="1" applyBorder="1" applyAlignment="1" applyProtection="1">
      <alignment horizontal="right" vertical="center"/>
    </xf>
    <xf numFmtId="3" fontId="4" fillId="12" borderId="5" xfId="0" applyNumberFormat="1" applyFont="1" applyFill="1" applyBorder="1" applyAlignment="1" applyProtection="1">
      <alignment horizontal="right" vertical="center"/>
    </xf>
    <xf numFmtId="172" fontId="4" fillId="12" borderId="5" xfId="0" applyNumberFormat="1" applyFont="1" applyFill="1" applyBorder="1" applyAlignment="1" applyProtection="1">
      <alignment horizontal="right" vertical="center"/>
    </xf>
    <xf numFmtId="177" fontId="4" fillId="3" borderId="0" xfId="403" applyNumberFormat="1" applyFont="1" applyFill="1" applyAlignment="1" applyProtection="1">
      <alignment horizontal="center" vertical="center"/>
    </xf>
    <xf numFmtId="0" fontId="10" fillId="16" borderId="0" xfId="10" applyFill="1" applyAlignment="1" applyProtection="1"/>
    <xf numFmtId="0" fontId="33" fillId="16" borderId="0" xfId="328" applyFill="1"/>
    <xf numFmtId="0" fontId="43" fillId="13" borderId="9" xfId="0" applyFont="1" applyFill="1" applyBorder="1" applyAlignment="1">
      <alignment horizontal="center" vertical="center"/>
    </xf>
    <xf numFmtId="0" fontId="3" fillId="13" borderId="7" xfId="0" applyFont="1" applyFill="1" applyBorder="1" applyAlignment="1">
      <alignment horizontal="centerContinuous" vertical="center"/>
    </xf>
    <xf numFmtId="0" fontId="29" fillId="13" borderId="11" xfId="0" applyFont="1" applyFill="1" applyBorder="1" applyAlignment="1">
      <alignment horizontal="centerContinuous" vertical="center"/>
    </xf>
    <xf numFmtId="0" fontId="0" fillId="0" borderId="10" xfId="0" applyBorder="1" applyAlignment="1">
      <alignment vertical="center"/>
    </xf>
    <xf numFmtId="37" fontId="4" fillId="6" borderId="2" xfId="0" applyNumberFormat="1" applyFont="1" applyFill="1" applyBorder="1" applyAlignment="1" applyProtection="1">
      <alignment horizontal="left"/>
      <protection locked="0"/>
    </xf>
    <xf numFmtId="37" fontId="4" fillId="6" borderId="7" xfId="0" applyNumberFormat="1" applyFont="1" applyFill="1" applyBorder="1" applyAlignment="1" applyProtection="1">
      <alignment horizontal="left"/>
      <protection locked="0"/>
    </xf>
    <xf numFmtId="164" fontId="4" fillId="2" borderId="1" xfId="0" applyNumberFormat="1" applyFont="1" applyFill="1" applyBorder="1" applyProtection="1">
      <protection locked="0"/>
    </xf>
    <xf numFmtId="0" fontId="4" fillId="6" borderId="2" xfId="0" applyFont="1" applyFill="1" applyBorder="1" applyProtection="1">
      <protection locked="0"/>
    </xf>
    <xf numFmtId="0" fontId="4" fillId="6" borderId="7" xfId="0" applyFont="1" applyFill="1" applyBorder="1" applyProtection="1">
      <protection locked="0"/>
    </xf>
    <xf numFmtId="0" fontId="4" fillId="6" borderId="0" xfId="0" applyFont="1" applyFill="1" applyProtection="1">
      <protection locked="0"/>
    </xf>
    <xf numFmtId="0" fontId="10" fillId="6" borderId="7" xfId="10" applyFill="1" applyBorder="1" applyAlignment="1" applyProtection="1">
      <alignment vertical="center"/>
      <protection locked="0"/>
    </xf>
    <xf numFmtId="0" fontId="4" fillId="6" borderId="5" xfId="0" applyFont="1" applyFill="1" applyBorder="1" applyProtection="1">
      <protection locked="0"/>
    </xf>
    <xf numFmtId="0" fontId="4" fillId="6" borderId="1" xfId="0" applyFont="1" applyFill="1" applyBorder="1" applyProtection="1">
      <protection locked="0"/>
    </xf>
    <xf numFmtId="179" fontId="4" fillId="2" borderId="1" xfId="0" applyNumberFormat="1" applyFont="1" applyFill="1" applyBorder="1" applyAlignment="1" applyProtection="1">
      <alignment horizontal="center" vertical="center"/>
      <protection locked="0"/>
    </xf>
    <xf numFmtId="168" fontId="4" fillId="2" borderId="1" xfId="0" applyNumberFormat="1" applyFont="1" applyFill="1" applyBorder="1" applyAlignment="1" applyProtection="1">
      <alignment horizontal="center"/>
      <protection locked="0"/>
    </xf>
    <xf numFmtId="169" fontId="4" fillId="2" borderId="1" xfId="0" applyNumberFormat="1" applyFont="1" applyFill="1" applyBorder="1" applyAlignment="1" applyProtection="1">
      <alignment horizontal="center"/>
      <protection locked="0"/>
    </xf>
    <xf numFmtId="0" fontId="4" fillId="6" borderId="11" xfId="0" applyFont="1" applyFill="1" applyBorder="1" applyAlignment="1" applyProtection="1">
      <alignment horizontal="left"/>
      <protection locked="0"/>
    </xf>
    <xf numFmtId="37" fontId="4" fillId="6" borderId="11" xfId="0" applyNumberFormat="1" applyFont="1" applyFill="1" applyBorder="1" applyProtection="1">
      <protection locked="0"/>
    </xf>
    <xf numFmtId="37" fontId="4" fillId="2" borderId="11" xfId="0" applyNumberFormat="1" applyFont="1" applyFill="1" applyBorder="1" applyProtection="1">
      <protection locked="0"/>
    </xf>
    <xf numFmtId="0" fontId="4" fillId="6" borderId="1" xfId="0" applyFont="1"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4" fillId="6" borderId="11" xfId="0" applyFont="1" applyFill="1" applyBorder="1" applyProtection="1">
      <protection locked="0"/>
    </xf>
    <xf numFmtId="0" fontId="4" fillId="2" borderId="11" xfId="0" applyFont="1" applyFill="1" applyBorder="1" applyProtection="1">
      <protection locked="0"/>
    </xf>
    <xf numFmtId="37" fontId="4" fillId="6" borderId="0" xfId="36" applyNumberFormat="1" applyFont="1" applyFill="1" applyAlignment="1" applyProtection="1">
      <alignment horizontal="center" vertical="center"/>
      <protection locked="0"/>
    </xf>
    <xf numFmtId="0" fontId="4" fillId="6" borderId="0" xfId="0" applyFont="1" applyFill="1" applyAlignment="1" applyProtection="1">
      <alignment horizontal="center" vertical="center"/>
      <protection locked="0"/>
    </xf>
    <xf numFmtId="0" fontId="11" fillId="6" borderId="1" xfId="0" applyFont="1" applyFill="1" applyBorder="1" applyProtection="1">
      <protection locked="0"/>
    </xf>
    <xf numFmtId="0" fontId="11" fillId="6" borderId="13" xfId="0" applyFont="1" applyFill="1" applyBorder="1" applyProtection="1">
      <protection locked="0"/>
    </xf>
    <xf numFmtId="0" fontId="11" fillId="6" borderId="9" xfId="0" applyFont="1" applyFill="1" applyBorder="1" applyProtection="1">
      <protection locked="0"/>
    </xf>
    <xf numFmtId="0" fontId="11" fillId="6" borderId="12" xfId="0" applyFont="1" applyFill="1" applyBorder="1" applyProtection="1">
      <protection locked="0"/>
    </xf>
    <xf numFmtId="41" fontId="4" fillId="6" borderId="1" xfId="0" applyNumberFormat="1" applyFont="1" applyFill="1" applyBorder="1" applyAlignment="1" applyProtection="1">
      <protection locked="0"/>
    </xf>
    <xf numFmtId="0" fontId="15" fillId="3" borderId="0" xfId="0" applyFont="1" applyFill="1" applyBorder="1" applyAlignment="1">
      <alignment vertical="center"/>
    </xf>
    <xf numFmtId="0" fontId="17"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4" fillId="5" borderId="10" xfId="0" applyFont="1" applyFill="1" applyBorder="1" applyAlignment="1">
      <alignment vertical="center" wrapText="1"/>
    </xf>
    <xf numFmtId="0" fontId="0" fillId="0" borderId="10" xfId="0" applyBorder="1" applyAlignment="1">
      <alignment vertical="center" wrapText="1"/>
    </xf>
    <xf numFmtId="37" fontId="13" fillId="3" borderId="0" xfId="0" applyNumberFormat="1" applyFont="1" applyFill="1" applyAlignment="1" applyProtection="1">
      <alignment horizontal="center" vertical="center"/>
    </xf>
    <xf numFmtId="0" fontId="14" fillId="0" borderId="0" xfId="0" applyFont="1" applyAlignment="1">
      <alignment horizontal="center" vertical="center"/>
    </xf>
    <xf numFmtId="0" fontId="3" fillId="9" borderId="0" xfId="0" applyFont="1" applyFill="1" applyBorder="1" applyAlignment="1">
      <alignment horizontal="center" vertical="center"/>
    </xf>
    <xf numFmtId="0" fontId="1" fillId="9" borderId="0" xfId="0" applyFont="1" applyFill="1" applyBorder="1" applyAlignment="1">
      <alignment horizontal="center" vertical="center"/>
    </xf>
    <xf numFmtId="37" fontId="12" fillId="3" borderId="0" xfId="0" applyNumberFormat="1" applyFont="1" applyFill="1" applyAlignment="1" applyProtection="1">
      <alignment horizontal="left" vertical="center"/>
    </xf>
    <xf numFmtId="0" fontId="0" fillId="0" borderId="0" xfId="0" applyAlignment="1">
      <alignment horizontal="left"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4" fillId="0" borderId="0" xfId="387" applyFont="1" applyAlignment="1">
      <alignment horizontal="left" vertical="center" wrapText="1"/>
    </xf>
    <xf numFmtId="0" fontId="22" fillId="0" borderId="0" xfId="387" applyAlignment="1">
      <alignment horizontal="left" vertical="center" wrapText="1"/>
    </xf>
    <xf numFmtId="0" fontId="12" fillId="0" borderId="0" xfId="387" applyFont="1" applyAlignment="1">
      <alignment horizontal="left" vertical="center"/>
    </xf>
    <xf numFmtId="37" fontId="12" fillId="3" borderId="0" xfId="0" applyNumberFormat="1" applyFont="1" applyFill="1" applyAlignment="1" applyProtection="1">
      <alignment horizontal="center" vertical="center"/>
    </xf>
    <xf numFmtId="0" fontId="23"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0" fontId="0" fillId="0" borderId="0" xfId="0" applyAlignment="1">
      <alignment vertical="center"/>
    </xf>
    <xf numFmtId="0" fontId="8" fillId="9" borderId="3" xfId="0" applyFont="1" applyFill="1" applyBorder="1" applyAlignment="1" applyProtection="1">
      <alignment horizontal="center" vertical="center" wrapText="1" shrinkToFit="1"/>
    </xf>
    <xf numFmtId="0" fontId="0" fillId="0" borderId="5" xfId="0" applyBorder="1" applyAlignment="1" applyProtection="1">
      <alignment horizontal="center" vertical="center" wrapText="1"/>
    </xf>
    <xf numFmtId="0" fontId="4" fillId="0" borderId="0" xfId="0" applyFont="1" applyAlignment="1">
      <alignment horizontal="center" vertical="center"/>
    </xf>
    <xf numFmtId="0" fontId="6" fillId="3" borderId="0" xfId="0" applyFont="1" applyFill="1" applyAlignment="1">
      <alignment horizontal="center" vertical="center"/>
    </xf>
    <xf numFmtId="37" fontId="3" fillId="3" borderId="0" xfId="0" applyNumberFormat="1" applyFont="1" applyFill="1" applyAlignment="1">
      <alignment horizontal="center" vertical="center"/>
    </xf>
    <xf numFmtId="0" fontId="3" fillId="3" borderId="0" xfId="0" applyFont="1" applyFill="1" applyAlignment="1">
      <alignment horizontal="center" vertical="center"/>
    </xf>
    <xf numFmtId="37" fontId="3" fillId="3" borderId="0" xfId="0" applyNumberFormat="1" applyFont="1" applyFill="1" applyAlignment="1" applyProtection="1">
      <alignment horizontal="center" vertical="center"/>
    </xf>
    <xf numFmtId="37" fontId="4" fillId="3" borderId="11" xfId="0" applyNumberFormat="1" applyFont="1" applyFill="1" applyBorder="1" applyAlignment="1" applyProtection="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3" fillId="3" borderId="0" xfId="0" applyFont="1" applyFill="1" applyAlignment="1" applyProtection="1">
      <alignment horizontal="center" vertical="center"/>
    </xf>
    <xf numFmtId="0" fontId="4" fillId="3" borderId="16" xfId="0" applyFont="1" applyFill="1" applyBorder="1" applyAlignment="1" applyProtection="1">
      <alignment horizontal="center" vertical="center"/>
    </xf>
    <xf numFmtId="0" fontId="0" fillId="0" borderId="8" xfId="0" applyBorder="1" applyAlignment="1" applyProtection="1">
      <alignment vertical="center"/>
    </xf>
    <xf numFmtId="1" fontId="4" fillId="3" borderId="16" xfId="0" applyNumberFormat="1" applyFont="1" applyFill="1" applyBorder="1" applyAlignment="1" applyProtection="1">
      <alignment horizontal="center" vertical="center"/>
    </xf>
    <xf numFmtId="0" fontId="0" fillId="0" borderId="8" xfId="0" applyBorder="1" applyAlignment="1" applyProtection="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4" fillId="0" borderId="0" xfId="0" applyFont="1" applyBorder="1" applyAlignment="1">
      <alignment horizontal="center" vertical="center"/>
    </xf>
    <xf numFmtId="0" fontId="0" fillId="0" borderId="0" xfId="0" applyAlignment="1"/>
    <xf numFmtId="0" fontId="12" fillId="13" borderId="0" xfId="404" applyFont="1" applyFill="1" applyAlignment="1">
      <alignment horizontal="center"/>
    </xf>
    <xf numFmtId="0" fontId="2" fillId="13" borderId="0" xfId="26" applyFill="1" applyAlignment="1">
      <alignment horizontal="center"/>
    </xf>
    <xf numFmtId="0" fontId="3" fillId="13" borderId="0" xfId="26" applyFont="1" applyFill="1" applyAlignment="1">
      <alignment horizontal="center" vertical="center"/>
    </xf>
    <xf numFmtId="0" fontId="12" fillId="13" borderId="0" xfId="26" applyFont="1" applyFill="1" applyAlignment="1">
      <alignment horizontal="center" vertical="center"/>
    </xf>
    <xf numFmtId="0" fontId="4" fillId="13" borderId="0" xfId="26" applyFont="1" applyFill="1" applyAlignment="1">
      <alignment vertical="center" wrapText="1"/>
    </xf>
    <xf numFmtId="172" fontId="28" fillId="13" borderId="15" xfId="0" applyNumberFormat="1" applyFont="1" applyFill="1" applyBorder="1" applyAlignment="1" applyProtection="1">
      <alignment horizontal="center"/>
    </xf>
    <xf numFmtId="0" fontId="14" fillId="0" borderId="10" xfId="0" applyFont="1" applyBorder="1" applyAlignment="1"/>
    <xf numFmtId="0" fontId="14" fillId="0" borderId="13" xfId="0" applyFont="1" applyBorder="1" applyAlignment="1"/>
    <xf numFmtId="0" fontId="28" fillId="13" borderId="15" xfId="36" applyFont="1" applyFill="1" applyBorder="1" applyAlignment="1" applyProtection="1">
      <alignment horizontal="center" vertical="center"/>
    </xf>
    <xf numFmtId="0" fontId="28" fillId="13" borderId="10" xfId="36" applyFont="1" applyFill="1" applyBorder="1" applyAlignment="1" applyProtection="1">
      <alignment horizontal="center" vertical="center"/>
    </xf>
    <xf numFmtId="0" fontId="2" fillId="0" borderId="13" xfId="36" applyBorder="1" applyAlignment="1" applyProtection="1">
      <alignment vertical="center"/>
    </xf>
    <xf numFmtId="3" fontId="4" fillId="3" borderId="10" xfId="40" applyNumberFormat="1" applyFont="1" applyFill="1" applyBorder="1" applyAlignment="1" applyProtection="1">
      <alignment horizontal="right" vertical="center"/>
    </xf>
    <xf numFmtId="0" fontId="2" fillId="0" borderId="13" xfId="40" applyBorder="1" applyAlignment="1">
      <alignment horizontal="right" vertical="center"/>
    </xf>
    <xf numFmtId="0" fontId="4" fillId="3" borderId="0" xfId="40" applyFont="1" applyFill="1" applyAlignment="1" applyProtection="1">
      <alignment horizontal="right" vertical="center"/>
    </xf>
    <xf numFmtId="0" fontId="4" fillId="0" borderId="12" xfId="40" applyFont="1" applyBorder="1" applyAlignment="1">
      <alignment horizontal="right" vertical="center"/>
    </xf>
    <xf numFmtId="0" fontId="4" fillId="3" borderId="0" xfId="0" applyNumberFormat="1" applyFont="1" applyFill="1" applyBorder="1" applyAlignment="1" applyProtection="1">
      <alignment horizontal="right" vertical="center"/>
    </xf>
    <xf numFmtId="0" fontId="0" fillId="0" borderId="0" xfId="0" applyAlignment="1">
      <alignment horizontal="right" vertical="center"/>
    </xf>
    <xf numFmtId="0" fontId="0" fillId="0" borderId="13" xfId="0" applyBorder="1" applyAlignment="1">
      <alignment vertical="center"/>
    </xf>
    <xf numFmtId="0" fontId="25" fillId="13" borderId="15" xfId="36" applyFont="1" applyFill="1" applyBorder="1" applyAlignment="1" applyProtection="1">
      <alignment horizontal="center" vertical="center"/>
      <protection locked="0"/>
    </xf>
    <xf numFmtId="0" fontId="28" fillId="13" borderId="15" xfId="0" applyFont="1" applyFill="1" applyBorder="1" applyAlignment="1" applyProtection="1">
      <alignment horizontal="center" vertical="center"/>
    </xf>
    <xf numFmtId="0" fontId="31" fillId="0" borderId="10" xfId="0" applyFont="1" applyBorder="1" applyAlignment="1">
      <alignment horizontal="center" vertical="center"/>
    </xf>
    <xf numFmtId="0" fontId="0" fillId="0" borderId="13" xfId="0" applyBorder="1" applyAlignment="1"/>
    <xf numFmtId="0" fontId="4" fillId="3" borderId="0" xfId="10" applyNumberFormat="1" applyFont="1" applyFill="1" applyBorder="1" applyAlignment="1" applyProtection="1">
      <alignment horizontal="right" vertical="center"/>
    </xf>
    <xf numFmtId="0" fontId="4" fillId="0" borderId="0" xfId="10" applyFont="1" applyAlignment="1" applyProtection="1">
      <alignment horizontal="right" vertical="center"/>
    </xf>
    <xf numFmtId="0" fontId="3" fillId="3" borderId="11" xfId="0" applyFont="1" applyFill="1" applyBorder="1" applyAlignment="1">
      <alignment horizontal="center" vertical="center"/>
    </xf>
    <xf numFmtId="0" fontId="3" fillId="3" borderId="9" xfId="0" applyFont="1" applyFill="1" applyBorder="1" applyAlignment="1">
      <alignment horizontal="center" vertical="center"/>
    </xf>
    <xf numFmtId="37" fontId="4" fillId="3" borderId="2" xfId="0" applyNumberFormat="1" applyFont="1" applyFill="1" applyBorder="1" applyAlignment="1" applyProtection="1">
      <alignment horizontal="center" vertical="center"/>
      <protection locked="0"/>
    </xf>
    <xf numFmtId="0" fontId="12" fillId="13" borderId="15" xfId="36" applyFont="1" applyFill="1" applyBorder="1" applyAlignment="1" applyProtection="1">
      <alignment horizontal="center"/>
    </xf>
    <xf numFmtId="0" fontId="2" fillId="0" borderId="10" xfId="36" applyBorder="1" applyAlignment="1" applyProtection="1">
      <alignment horizontal="center"/>
    </xf>
    <xf numFmtId="0" fontId="2" fillId="0" borderId="13" xfId="36" applyBorder="1" applyAlignment="1" applyProtection="1">
      <alignment horizontal="center"/>
    </xf>
    <xf numFmtId="0" fontId="12" fillId="13" borderId="10" xfId="36" applyFont="1" applyFill="1" applyBorder="1" applyAlignment="1" applyProtection="1">
      <alignment horizontal="center"/>
    </xf>
    <xf numFmtId="0" fontId="12" fillId="13" borderId="13" xfId="36" applyFont="1" applyFill="1" applyBorder="1" applyAlignment="1" applyProtection="1">
      <alignment horizontal="center"/>
    </xf>
    <xf numFmtId="37" fontId="4" fillId="13" borderId="0" xfId="0" applyNumberFormat="1" applyFont="1" applyFill="1" applyAlignment="1" applyProtection="1">
      <alignment horizontal="center" vertical="center"/>
    </xf>
    <xf numFmtId="37" fontId="4" fillId="13" borderId="0" xfId="61" applyNumberFormat="1" applyFont="1" applyFill="1" applyAlignment="1" applyProtection="1">
      <alignment horizontal="center"/>
    </xf>
    <xf numFmtId="0" fontId="4" fillId="3" borderId="0" xfId="0" applyFont="1" applyFill="1" applyAlignment="1">
      <alignment horizontal="right" vertical="center"/>
    </xf>
    <xf numFmtId="0" fontId="0" fillId="0" borderId="0" xfId="0" applyAlignment="1" applyProtection="1">
      <alignment vertical="center"/>
    </xf>
    <xf numFmtId="0" fontId="4" fillId="3" borderId="0" xfId="0" applyFont="1" applyFill="1" applyAlignment="1" applyProtection="1">
      <alignment horizontal="right" vertical="center"/>
    </xf>
  </cellXfs>
  <cellStyles count="414">
    <cellStyle name="Comma" xfId="1" builtinId="3"/>
    <cellStyle name="Comma 11 2" xfId="2"/>
    <cellStyle name="Comma 16" xfId="3"/>
    <cellStyle name="Comma 16 2" xfId="4"/>
    <cellStyle name="Comma 16 3" xfId="5"/>
    <cellStyle name="Comma 2 2" xfId="6"/>
    <cellStyle name="Comma 4 2" xfId="7"/>
    <cellStyle name="Comma 7 2" xfId="8"/>
    <cellStyle name="Comma 7 3" xfId="9"/>
    <cellStyle name="Hyperlink" xfId="10" builtinId="8"/>
    <cellStyle name="Hyperlink 2 2" xfId="11"/>
    <cellStyle name="Hyperlink 3 2" xfId="12"/>
    <cellStyle name="Hyperlink 3 3" xfId="13"/>
    <cellStyle name="Hyperlink 4 2" xfId="14"/>
    <cellStyle name="Hyperlink 7" xfId="15"/>
    <cellStyle name="Hyperlink 7 2" xfId="16"/>
    <cellStyle name="Hyperlink 8" xfId="17"/>
    <cellStyle name="Hyperlink 8 2" xfId="18"/>
    <cellStyle name="Normal" xfId="0" builtinId="0"/>
    <cellStyle name="Normal 10" xfId="19"/>
    <cellStyle name="Normal 10 2" xfId="20"/>
    <cellStyle name="Normal 10 2 2" xfId="21"/>
    <cellStyle name="Normal 10 2 2 2" xfId="22"/>
    <cellStyle name="Normal 10 2 2 3" xfId="23"/>
    <cellStyle name="Normal 10 3" xfId="24"/>
    <cellStyle name="Normal 10 4" xfId="25"/>
    <cellStyle name="Normal 10 5" xfId="26"/>
    <cellStyle name="Normal 10 6" xfId="27"/>
    <cellStyle name="Normal 10 7" xfId="28"/>
    <cellStyle name="Normal 11" xfId="29"/>
    <cellStyle name="Normal 11 2" xfId="30"/>
    <cellStyle name="Normal 11 2 2" xfId="31"/>
    <cellStyle name="Normal 11 3" xfId="32"/>
    <cellStyle name="Normal 11 4" xfId="33"/>
    <cellStyle name="Normal 11 5" xfId="34"/>
    <cellStyle name="Normal 12" xfId="35"/>
    <cellStyle name="Normal 12 10" xfId="36"/>
    <cellStyle name="Normal 12 11" xfId="37"/>
    <cellStyle name="Normal 12 12" xfId="38"/>
    <cellStyle name="Normal 12 2" xfId="39"/>
    <cellStyle name="Normal 12 2 2" xfId="40"/>
    <cellStyle name="Normal 12 3" xfId="41"/>
    <cellStyle name="Normal 12 4" xfId="42"/>
    <cellStyle name="Normal 12 5" xfId="43"/>
    <cellStyle name="Normal 12 6" xfId="44"/>
    <cellStyle name="Normal 12 7" xfId="45"/>
    <cellStyle name="Normal 12 8" xfId="46"/>
    <cellStyle name="Normal 12 9" xfId="47"/>
    <cellStyle name="Normal 13" xfId="48"/>
    <cellStyle name="Normal 13 10" xfId="49"/>
    <cellStyle name="Normal 13 11" xfId="50"/>
    <cellStyle name="Normal 13 12" xfId="51"/>
    <cellStyle name="Normal 13 2" xfId="52"/>
    <cellStyle name="Normal 13 2 2" xfId="53"/>
    <cellStyle name="Normal 13 3" xfId="54"/>
    <cellStyle name="Normal 13 4" xfId="55"/>
    <cellStyle name="Normal 13 5" xfId="56"/>
    <cellStyle name="Normal 13 6" xfId="57"/>
    <cellStyle name="Normal 13 7" xfId="58"/>
    <cellStyle name="Normal 13 8" xfId="59"/>
    <cellStyle name="Normal 13 9" xfId="60"/>
    <cellStyle name="Normal 14" xfId="61"/>
    <cellStyle name="Normal 14 2" xfId="62"/>
    <cellStyle name="Normal 14 3" xfId="63"/>
    <cellStyle name="Normal 14 4" xfId="64"/>
    <cellStyle name="Normal 14 5" xfId="65"/>
    <cellStyle name="Normal 14 6" xfId="66"/>
    <cellStyle name="Normal 14 7" xfId="67"/>
    <cellStyle name="Normal 15" xfId="68"/>
    <cellStyle name="Normal 15 2" xfId="69"/>
    <cellStyle name="Normal 15 3" xfId="70"/>
    <cellStyle name="Normal 15 4" xfId="71"/>
    <cellStyle name="Normal 16" xfId="72"/>
    <cellStyle name="Normal 16 2" xfId="73"/>
    <cellStyle name="Normal 16 3" xfId="74"/>
    <cellStyle name="Normal 16 4" xfId="75"/>
    <cellStyle name="Normal 17" xfId="76"/>
    <cellStyle name="Normal 17 2" xfId="77"/>
    <cellStyle name="Normal 17 3" xfId="78"/>
    <cellStyle name="Normal 17 4" xfId="79"/>
    <cellStyle name="Normal 18" xfId="80"/>
    <cellStyle name="Normal 18 2" xfId="81"/>
    <cellStyle name="Normal 18 2 2" xfId="82"/>
    <cellStyle name="Normal 18 2 3" xfId="83"/>
    <cellStyle name="Normal 18 3" xfId="84"/>
    <cellStyle name="Normal 18 4" xfId="85"/>
    <cellStyle name="Normal 18 5" xfId="86"/>
    <cellStyle name="Normal 18 6" xfId="87"/>
    <cellStyle name="Normal 18 7" xfId="88"/>
    <cellStyle name="Normal 18 8" xfId="89"/>
    <cellStyle name="Normal 19" xfId="90"/>
    <cellStyle name="Normal 19 2" xfId="91"/>
    <cellStyle name="Normal 19 2 2" xfId="92"/>
    <cellStyle name="Normal 19 2 3" xfId="93"/>
    <cellStyle name="Normal 19 3" xfId="94"/>
    <cellStyle name="Normal 19 4" xfId="95"/>
    <cellStyle name="Normal 19 5" xfId="96"/>
    <cellStyle name="Normal 19 6" xfId="97"/>
    <cellStyle name="Normal 19 7" xfId="98"/>
    <cellStyle name="Normal 2" xfId="99"/>
    <cellStyle name="Normal 2 10" xfId="100"/>
    <cellStyle name="Normal 2 10 10" xfId="101"/>
    <cellStyle name="Normal 2 10 11" xfId="102"/>
    <cellStyle name="Normal 2 10 2" xfId="103"/>
    <cellStyle name="Normal 2 10 2 2" xfId="104"/>
    <cellStyle name="Normal 2 10 3" xfId="105"/>
    <cellStyle name="Normal 2 10 3 2" xfId="106"/>
    <cellStyle name="Normal 2 10 4" xfId="107"/>
    <cellStyle name="Normal 2 10 4 2" xfId="108"/>
    <cellStyle name="Normal 2 10 5" xfId="109"/>
    <cellStyle name="Normal 2 10 5 2" xfId="110"/>
    <cellStyle name="Normal 2 10 6" xfId="111"/>
    <cellStyle name="Normal 2 10 6 2" xfId="112"/>
    <cellStyle name="Normal 2 10 7" xfId="113"/>
    <cellStyle name="Normal 2 10 7 2" xfId="114"/>
    <cellStyle name="Normal 2 10 8" xfId="115"/>
    <cellStyle name="Normal 2 10 8 2" xfId="116"/>
    <cellStyle name="Normal 2 10 9" xfId="117"/>
    <cellStyle name="Normal 2 11" xfId="118"/>
    <cellStyle name="Normal 2 11 10" xfId="119"/>
    <cellStyle name="Normal 2 11 11" xfId="120"/>
    <cellStyle name="Normal 2 11 2" xfId="121"/>
    <cellStyle name="Normal 2 11 2 2" xfId="122"/>
    <cellStyle name="Normal 2 11 3" xfId="123"/>
    <cellStyle name="Normal 2 11 3 2" xfId="124"/>
    <cellStyle name="Normal 2 11 4" xfId="125"/>
    <cellStyle name="Normal 2 11 4 2" xfId="126"/>
    <cellStyle name="Normal 2 11 5" xfId="127"/>
    <cellStyle name="Normal 2 11 5 2" xfId="128"/>
    <cellStyle name="Normal 2 11 6" xfId="129"/>
    <cellStyle name="Normal 2 11 6 2" xfId="130"/>
    <cellStyle name="Normal 2 11 7" xfId="131"/>
    <cellStyle name="Normal 2 11 7 2" xfId="132"/>
    <cellStyle name="Normal 2 11 8" xfId="133"/>
    <cellStyle name="Normal 2 11 8 2" xfId="134"/>
    <cellStyle name="Normal 2 11 9" xfId="135"/>
    <cellStyle name="Normal 2 12" xfId="136"/>
    <cellStyle name="Normal 2 13" xfId="137"/>
    <cellStyle name="Normal 2 14" xfId="138"/>
    <cellStyle name="Normal 2 15" xfId="139"/>
    <cellStyle name="Normal 2 16" xfId="140"/>
    <cellStyle name="Normal 2 2" xfId="141"/>
    <cellStyle name="Normal 2 2 10" xfId="142"/>
    <cellStyle name="Normal 2 2 10 2" xfId="143"/>
    <cellStyle name="Normal 2 2 11" xfId="144"/>
    <cellStyle name="Normal 2 2 11 2" xfId="145"/>
    <cellStyle name="Normal 2 2 12" xfId="146"/>
    <cellStyle name="Normal 2 2 12 2" xfId="147"/>
    <cellStyle name="Normal 2 2 12 2 2" xfId="148"/>
    <cellStyle name="Normal 2 2 12 2 3" xfId="149"/>
    <cellStyle name="Normal 2 2 12 3" xfId="150"/>
    <cellStyle name="Normal 2 2 12 4" xfId="151"/>
    <cellStyle name="Normal 2 2 13" xfId="152"/>
    <cellStyle name="Normal 2 2 13 2" xfId="153"/>
    <cellStyle name="Normal 2 2 13 2 2" xfId="154"/>
    <cellStyle name="Normal 2 2 13 2 3" xfId="155"/>
    <cellStyle name="Normal 2 2 13 3" xfId="156"/>
    <cellStyle name="Normal 2 2 13 4" xfId="157"/>
    <cellStyle name="Normal 2 2 14" xfId="158"/>
    <cellStyle name="Normal 2 2 14 2" xfId="159"/>
    <cellStyle name="Normal 2 2 15" xfId="160"/>
    <cellStyle name="Normal 2 2 15 2" xfId="161"/>
    <cellStyle name="Normal 2 2 16" xfId="162"/>
    <cellStyle name="Normal 2 2 16 2" xfId="163"/>
    <cellStyle name="Normal 2 2 16 3" xfId="164"/>
    <cellStyle name="Normal 2 2 17" xfId="165"/>
    <cellStyle name="Normal 2 2 18" xfId="166"/>
    <cellStyle name="Normal 2 2 19" xfId="167"/>
    <cellStyle name="Normal 2 2 2" xfId="168"/>
    <cellStyle name="Normal 2 2 2 2" xfId="169"/>
    <cellStyle name="Normal 2 2 2 2 2" xfId="170"/>
    <cellStyle name="Normal 2 2 2 2 3" xfId="171"/>
    <cellStyle name="Normal 2 2 2 3" xfId="172"/>
    <cellStyle name="Normal 2 2 2 3 2" xfId="173"/>
    <cellStyle name="Normal 2 2 2 4" xfId="174"/>
    <cellStyle name="Normal 2 2 2 4 2" xfId="175"/>
    <cellStyle name="Normal 2 2 2 5" xfId="176"/>
    <cellStyle name="Normal 2 2 2 5 2" xfId="177"/>
    <cellStyle name="Normal 2 2 2 6" xfId="178"/>
    <cellStyle name="Normal 2 2 2 6 2" xfId="179"/>
    <cellStyle name="Normal 2 2 2 7" xfId="180"/>
    <cellStyle name="Normal 2 2 2 8" xfId="181"/>
    <cellStyle name="Normal 2 2 20" xfId="182"/>
    <cellStyle name="Normal 2 2 21" xfId="183"/>
    <cellStyle name="Normal 2 2 3" xfId="184"/>
    <cellStyle name="Normal 2 2 3 2" xfId="185"/>
    <cellStyle name="Normal 2 2 4" xfId="186"/>
    <cellStyle name="Normal 2 2 4 2" xfId="187"/>
    <cellStyle name="Normal 2 2 5" xfId="188"/>
    <cellStyle name="Normal 2 2 5 2" xfId="189"/>
    <cellStyle name="Normal 2 2 6" xfId="190"/>
    <cellStyle name="Normal 2 2 6 2" xfId="191"/>
    <cellStyle name="Normal 2 2 7" xfId="192"/>
    <cellStyle name="Normal 2 2 7 2" xfId="193"/>
    <cellStyle name="Normal 2 2 8" xfId="194"/>
    <cellStyle name="Normal 2 2 8 2" xfId="195"/>
    <cellStyle name="Normal 2 2 9" xfId="196"/>
    <cellStyle name="Normal 2 2 9 2" xfId="197"/>
    <cellStyle name="Normal 2 3" xfId="198"/>
    <cellStyle name="Normal 2 3 10" xfId="199"/>
    <cellStyle name="Normal 2 3 11" xfId="200"/>
    <cellStyle name="Normal 2 3 12" xfId="201"/>
    <cellStyle name="Normal 2 3 13" xfId="202"/>
    <cellStyle name="Normal 2 3 14" xfId="203"/>
    <cellStyle name="Normal 2 3 15" xfId="204"/>
    <cellStyle name="Normal 2 3 2" xfId="205"/>
    <cellStyle name="Normal 2 3 2 2" xfId="206"/>
    <cellStyle name="Normal 2 3 2 2 2" xfId="207"/>
    <cellStyle name="Normal 2 3 2 2 3" xfId="208"/>
    <cellStyle name="Normal 2 3 2 3" xfId="209"/>
    <cellStyle name="Normal 2 3 2 4" xfId="210"/>
    <cellStyle name="Normal 2 3 2 5" xfId="211"/>
    <cellStyle name="Normal 2 3 3" xfId="212"/>
    <cellStyle name="Normal 2 3 3 2" xfId="213"/>
    <cellStyle name="Normal 2 3 3 3" xfId="214"/>
    <cellStyle name="Normal 2 3 4" xfId="215"/>
    <cellStyle name="Normal 2 3 5" xfId="216"/>
    <cellStyle name="Normal 2 3 6" xfId="217"/>
    <cellStyle name="Normal 2 3 7" xfId="218"/>
    <cellStyle name="Normal 2 3 8" xfId="219"/>
    <cellStyle name="Normal 2 3 9" xfId="220"/>
    <cellStyle name="Normal 2 4" xfId="221"/>
    <cellStyle name="Normal 2 4 10" xfId="222"/>
    <cellStyle name="Normal 2 4 11" xfId="223"/>
    <cellStyle name="Normal 2 4 12" xfId="224"/>
    <cellStyle name="Normal 2 4 13" xfId="225"/>
    <cellStyle name="Normal 2 4 2" xfId="226"/>
    <cellStyle name="Normal 2 4 2 2" xfId="227"/>
    <cellStyle name="Normal 2 4 2 2 2" xfId="228"/>
    <cellStyle name="Normal 2 4 2 2 3" xfId="229"/>
    <cellStyle name="Normal 2 4 2 3" xfId="230"/>
    <cellStyle name="Normal 2 4 2 4" xfId="231"/>
    <cellStyle name="Normal 2 4 2 5" xfId="232"/>
    <cellStyle name="Normal 2 4 3" xfId="233"/>
    <cellStyle name="Normal 2 4 3 2" xfId="234"/>
    <cellStyle name="Normal 2 4 3 3" xfId="235"/>
    <cellStyle name="Normal 2 4 4" xfId="236"/>
    <cellStyle name="Normal 2 4 5" xfId="237"/>
    <cellStyle name="Normal 2 4 6" xfId="238"/>
    <cellStyle name="Normal 2 4 7" xfId="239"/>
    <cellStyle name="Normal 2 4 8" xfId="240"/>
    <cellStyle name="Normal 2 4 9" xfId="241"/>
    <cellStyle name="Normal 2 5" xfId="242"/>
    <cellStyle name="Normal 2 5 10" xfId="243"/>
    <cellStyle name="Normal 2 5 11" xfId="244"/>
    <cellStyle name="Normal 2 5 12" xfId="245"/>
    <cellStyle name="Normal 2 5 12 2" xfId="246"/>
    <cellStyle name="Normal 2 5 2" xfId="247"/>
    <cellStyle name="Normal 2 5 2 2" xfId="248"/>
    <cellStyle name="Normal 2 5 3" xfId="249"/>
    <cellStyle name="Normal 2 5 3 2" xfId="250"/>
    <cellStyle name="Normal 2 5 4" xfId="251"/>
    <cellStyle name="Normal 2 5 5" xfId="252"/>
    <cellStyle name="Normal 2 5 6" xfId="253"/>
    <cellStyle name="Normal 2 5 7" xfId="254"/>
    <cellStyle name="Normal 2 5 8" xfId="255"/>
    <cellStyle name="Normal 2 5 9" xfId="256"/>
    <cellStyle name="Normal 2 6" xfId="257"/>
    <cellStyle name="Normal 2 6 10" xfId="258"/>
    <cellStyle name="Normal 2 6 11" xfId="259"/>
    <cellStyle name="Normal 2 6 12" xfId="260"/>
    <cellStyle name="Normal 2 6 2" xfId="261"/>
    <cellStyle name="Normal 2 6 2 2" xfId="262"/>
    <cellStyle name="Normal 2 6 3" xfId="263"/>
    <cellStyle name="Normal 2 6 3 2" xfId="264"/>
    <cellStyle name="Normal 2 6 4" xfId="265"/>
    <cellStyle name="Normal 2 6 5" xfId="266"/>
    <cellStyle name="Normal 2 6 6" xfId="267"/>
    <cellStyle name="Normal 2 6 7" xfId="268"/>
    <cellStyle name="Normal 2 6 8" xfId="269"/>
    <cellStyle name="Normal 2 6 9" xfId="270"/>
    <cellStyle name="Normal 2 7" xfId="271"/>
    <cellStyle name="Normal 2 7 10" xfId="272"/>
    <cellStyle name="Normal 2 7 2" xfId="273"/>
    <cellStyle name="Normal 2 7 2 2" xfId="274"/>
    <cellStyle name="Normal 2 7 2 3" xfId="275"/>
    <cellStyle name="Normal 2 7 3" xfId="276"/>
    <cellStyle name="Normal 2 7 3 2" xfId="277"/>
    <cellStyle name="Normal 2 7 4" xfId="278"/>
    <cellStyle name="Normal 2 7 4 2" xfId="279"/>
    <cellStyle name="Normal 2 7 5" xfId="280"/>
    <cellStyle name="Normal 2 7 5 2" xfId="281"/>
    <cellStyle name="Normal 2 7 6" xfId="282"/>
    <cellStyle name="Normal 2 7 6 2" xfId="283"/>
    <cellStyle name="Normal 2 7 7" xfId="284"/>
    <cellStyle name="Normal 2 7 7 2" xfId="285"/>
    <cellStyle name="Normal 2 7 8" xfId="286"/>
    <cellStyle name="Normal 2 7 8 2" xfId="287"/>
    <cellStyle name="Normal 2 7 9" xfId="288"/>
    <cellStyle name="Normal 2 8" xfId="289"/>
    <cellStyle name="Normal 2 8 10" xfId="290"/>
    <cellStyle name="Normal 2 8 11" xfId="291"/>
    <cellStyle name="Normal 2 8 2" xfId="292"/>
    <cellStyle name="Normal 2 8 2 2" xfId="293"/>
    <cellStyle name="Normal 2 8 3" xfId="294"/>
    <cellStyle name="Normal 2 8 3 2" xfId="295"/>
    <cellStyle name="Normal 2 8 4" xfId="296"/>
    <cellStyle name="Normal 2 8 4 2" xfId="297"/>
    <cellStyle name="Normal 2 8 5" xfId="298"/>
    <cellStyle name="Normal 2 8 5 2" xfId="299"/>
    <cellStyle name="Normal 2 8 6" xfId="300"/>
    <cellStyle name="Normal 2 8 6 2" xfId="301"/>
    <cellStyle name="Normal 2 8 7" xfId="302"/>
    <cellStyle name="Normal 2 8 7 2" xfId="303"/>
    <cellStyle name="Normal 2 8 8" xfId="304"/>
    <cellStyle name="Normal 2 8 8 2" xfId="305"/>
    <cellStyle name="Normal 2 8 9" xfId="306"/>
    <cellStyle name="Normal 2 9" xfId="307"/>
    <cellStyle name="Normal 2 9 10" xfId="308"/>
    <cellStyle name="Normal 2 9 11" xfId="309"/>
    <cellStyle name="Normal 2 9 2" xfId="310"/>
    <cellStyle name="Normal 2 9 2 2" xfId="311"/>
    <cellStyle name="Normal 2 9 3" xfId="312"/>
    <cellStyle name="Normal 2 9 3 2" xfId="313"/>
    <cellStyle name="Normal 2 9 4" xfId="314"/>
    <cellStyle name="Normal 2 9 4 2" xfId="315"/>
    <cellStyle name="Normal 2 9 5" xfId="316"/>
    <cellStyle name="Normal 2 9 5 2" xfId="317"/>
    <cellStyle name="Normal 2 9 6" xfId="318"/>
    <cellStyle name="Normal 2 9 6 2" xfId="319"/>
    <cellStyle name="Normal 2 9 7" xfId="320"/>
    <cellStyle name="Normal 2 9 7 2" xfId="321"/>
    <cellStyle name="Normal 2 9 8" xfId="322"/>
    <cellStyle name="Normal 2 9 8 2" xfId="323"/>
    <cellStyle name="Normal 2 9 9" xfId="324"/>
    <cellStyle name="Normal 20" xfId="325"/>
    <cellStyle name="Normal 20 2" xfId="326"/>
    <cellStyle name="Normal 20 3" xfId="327"/>
    <cellStyle name="Normal 21" xfId="328"/>
    <cellStyle name="Normal 21 2" xfId="329"/>
    <cellStyle name="Normal 22" xfId="330"/>
    <cellStyle name="Normal 22 2" xfId="331"/>
    <cellStyle name="Normal 22 3" xfId="332"/>
    <cellStyle name="Normal 23" xfId="333"/>
    <cellStyle name="Normal 23 2" xfId="334"/>
    <cellStyle name="Normal 23 3" xfId="335"/>
    <cellStyle name="Normal 24" xfId="336"/>
    <cellStyle name="Normal 24 2" xfId="337"/>
    <cellStyle name="Normal 24 3" xfId="338"/>
    <cellStyle name="Normal 25" xfId="339"/>
    <cellStyle name="Normal 25 2" xfId="340"/>
    <cellStyle name="Normal 25 3" xfId="341"/>
    <cellStyle name="Normal 26" xfId="342"/>
    <cellStyle name="Normal 3" xfId="343"/>
    <cellStyle name="Normal 3 2" xfId="344"/>
    <cellStyle name="Normal 3 2 2" xfId="345"/>
    <cellStyle name="Normal 3 2 2 2" xfId="346"/>
    <cellStyle name="Normal 3 2 2 3" xfId="347"/>
    <cellStyle name="Normal 3 2 3" xfId="348"/>
    <cellStyle name="Normal 3 2 4" xfId="349"/>
    <cellStyle name="Normal 3 2 5" xfId="350"/>
    <cellStyle name="Normal 3 3" xfId="351"/>
    <cellStyle name="Normal 3 3 2" xfId="352"/>
    <cellStyle name="Normal 3 3 2 2" xfId="353"/>
    <cellStyle name="Normal 3 3 2 3" xfId="354"/>
    <cellStyle name="Normal 3 3 3" xfId="355"/>
    <cellStyle name="Normal 3 3 4" xfId="356"/>
    <cellStyle name="Normal 3 4" xfId="357"/>
    <cellStyle name="Normal 3 5" xfId="358"/>
    <cellStyle name="Normal 3 6" xfId="359"/>
    <cellStyle name="Normal 3 7" xfId="360"/>
    <cellStyle name="Normal 3 8" xfId="361"/>
    <cellStyle name="Normal 3 9" xfId="362"/>
    <cellStyle name="Normal 4" xfId="363"/>
    <cellStyle name="Normal 4 2" xfId="364"/>
    <cellStyle name="Normal 4 2 2" xfId="365"/>
    <cellStyle name="Normal 4 2 2 2"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5 5" xfId="381"/>
    <cellStyle name="Normal 6" xfId="382"/>
    <cellStyle name="Normal 6 2" xfId="383"/>
    <cellStyle name="Normal 6 3" xfId="384"/>
    <cellStyle name="Normal 6 4" xfId="385"/>
    <cellStyle name="Normal 6 5" xfId="386"/>
    <cellStyle name="Normal 7 2" xfId="387"/>
    <cellStyle name="Normal 7 2 2" xfId="388"/>
    <cellStyle name="Normal 7 2 2 2" xfId="389"/>
    <cellStyle name="Normal 7 2 3" xfId="390"/>
    <cellStyle name="Normal 7 2 4" xfId="391"/>
    <cellStyle name="Normal 7 2 5" xfId="392"/>
    <cellStyle name="Normal 7 3" xfId="393"/>
    <cellStyle name="Normal 7 4" xfId="394"/>
    <cellStyle name="Normal 7 4 2" xfId="395"/>
    <cellStyle name="Normal 7 4 3" xfId="396"/>
    <cellStyle name="Normal 7 5" xfId="397"/>
    <cellStyle name="Normal 7 5 2" xfId="398"/>
    <cellStyle name="Normal 7 5 3" xfId="399"/>
    <cellStyle name="Normal 7 5 4" xfId="400"/>
    <cellStyle name="Normal 7 6" xfId="401"/>
    <cellStyle name="Normal 7 7" xfId="402"/>
    <cellStyle name="Normal 8" xfId="403"/>
    <cellStyle name="Normal 8 2" xfId="404"/>
    <cellStyle name="Normal 9" xfId="405"/>
    <cellStyle name="Normal 9 2" xfId="406"/>
    <cellStyle name="Normal 9 2 2" xfId="407"/>
    <cellStyle name="Normal 9 3" xfId="408"/>
    <cellStyle name="Normal 9 4" xfId="409"/>
    <cellStyle name="Normal 9 5" xfId="410"/>
    <cellStyle name="Normal 9 6" xfId="411"/>
    <cellStyle name="Normal_debt" xfId="412"/>
    <cellStyle name="Normal_lpform" xfId="413"/>
  </cellStyles>
  <dxfs count="142">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peter.haxton@library.ks.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pjarred@jgppa.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2"/>
  <sheetViews>
    <sheetView topLeftCell="A13" workbookViewId="0">
      <selection activeCell="B34" sqref="B34"/>
    </sheetView>
  </sheetViews>
  <sheetFormatPr defaultColWidth="8.9140625" defaultRowHeight="12.5" x14ac:dyDescent="0.25"/>
  <cols>
    <col min="1" max="1" width="15.6640625" style="89" customWidth="1"/>
    <col min="2" max="2" width="20.6640625" style="89" customWidth="1"/>
    <col min="3" max="3" width="9.6640625" style="89" customWidth="1"/>
    <col min="4" max="4" width="15.08203125" style="89" customWidth="1"/>
    <col min="5" max="5" width="15.6640625" style="89" customWidth="1"/>
    <col min="6" max="16384" width="8.9140625" style="89"/>
  </cols>
  <sheetData>
    <row r="1" spans="1:5" ht="15.5" x14ac:dyDescent="0.25">
      <c r="A1" s="157" t="str">
        <f>inputPrYr!$D$2</f>
        <v>City of Eureka</v>
      </c>
      <c r="B1" s="51"/>
      <c r="C1" s="51"/>
      <c r="D1" s="51"/>
      <c r="E1" s="156">
        <f>inputPrYr!C5</f>
        <v>2014</v>
      </c>
    </row>
    <row r="2" spans="1:5" x14ac:dyDescent="0.25">
      <c r="A2" s="51"/>
      <c r="B2" s="51"/>
      <c r="C2" s="51"/>
      <c r="D2" s="51"/>
      <c r="E2" s="51"/>
    </row>
    <row r="3" spans="1:5" ht="15" x14ac:dyDescent="0.25">
      <c r="A3" s="597" t="s">
        <v>230</v>
      </c>
      <c r="B3" s="598"/>
      <c r="C3" s="598"/>
      <c r="D3" s="598"/>
      <c r="E3" s="598"/>
    </row>
    <row r="4" spans="1:5" x14ac:dyDescent="0.25">
      <c r="A4" s="51"/>
      <c r="B4" s="51"/>
      <c r="C4" s="51"/>
      <c r="D4" s="51"/>
      <c r="E4" s="51"/>
    </row>
    <row r="5" spans="1:5" x14ac:dyDescent="0.25">
      <c r="A5" s="51"/>
      <c r="B5" s="51"/>
      <c r="C5" s="51"/>
      <c r="D5" s="51"/>
      <c r="E5" s="51"/>
    </row>
    <row r="6" spans="1:5" ht="15.5" x14ac:dyDescent="0.25">
      <c r="A6" s="42" t="str">
        <f>CONCATENATE("From the County Clerks ",E1," Budget Information:")</f>
        <v>From the County Clerks 2014 Budget Information:</v>
      </c>
      <c r="B6" s="43"/>
      <c r="C6" s="32"/>
      <c r="D6" s="32"/>
      <c r="E6" s="80"/>
    </row>
    <row r="7" spans="1:5" ht="15.5" x14ac:dyDescent="0.25">
      <c r="A7" s="90" t="str">
        <f>CONCATENATE("Total Assessed Valuation for ",E1-1,"")</f>
        <v>Total Assessed Valuation for 2013</v>
      </c>
      <c r="B7" s="55"/>
      <c r="C7" s="55"/>
      <c r="D7" s="55"/>
      <c r="E7" s="50">
        <v>10385454</v>
      </c>
    </row>
    <row r="8" spans="1:5" ht="15.5" x14ac:dyDescent="0.25">
      <c r="A8" s="90" t="str">
        <f>CONCATENATE("New Improvements for ",E1-1,"")</f>
        <v>New Improvements for 2013</v>
      </c>
      <c r="B8" s="55"/>
      <c r="C8" s="55"/>
      <c r="D8" s="55"/>
      <c r="E8" s="91">
        <v>17874</v>
      </c>
    </row>
    <row r="9" spans="1:5" ht="15.5" x14ac:dyDescent="0.25">
      <c r="A9" s="90" t="str">
        <f>CONCATENATE("Personal Property excluding oil, gas, mobile homes - ",E1-1,"")</f>
        <v>Personal Property excluding oil, gas, mobile homes - 2013</v>
      </c>
      <c r="B9" s="55"/>
      <c r="C9" s="55"/>
      <c r="D9" s="55"/>
      <c r="E9" s="91">
        <v>307745</v>
      </c>
    </row>
    <row r="10" spans="1:5" ht="15.5" x14ac:dyDescent="0.25">
      <c r="A10" s="92" t="s">
        <v>187</v>
      </c>
      <c r="B10" s="55"/>
      <c r="C10" s="55"/>
      <c r="D10" s="55"/>
      <c r="E10" s="70"/>
    </row>
    <row r="11" spans="1:5" ht="15.5" x14ac:dyDescent="0.25">
      <c r="A11" s="90" t="s">
        <v>158</v>
      </c>
      <c r="B11" s="55"/>
      <c r="C11" s="55"/>
      <c r="D11" s="55"/>
      <c r="E11" s="91"/>
    </row>
    <row r="12" spans="1:5" ht="15.5" x14ac:dyDescent="0.25">
      <c r="A12" s="90" t="s">
        <v>159</v>
      </c>
      <c r="B12" s="55"/>
      <c r="C12" s="55"/>
      <c r="D12" s="55"/>
      <c r="E12" s="91"/>
    </row>
    <row r="13" spans="1:5" ht="15.5" x14ac:dyDescent="0.25">
      <c r="A13" s="90" t="s">
        <v>160</v>
      </c>
      <c r="B13" s="55"/>
      <c r="C13" s="55"/>
      <c r="D13" s="55"/>
      <c r="E13" s="91"/>
    </row>
    <row r="14" spans="1:5" ht="15.5" x14ac:dyDescent="0.25">
      <c r="A14" s="90" t="str">
        <f>CONCATENATE("Property that has changed in use for ",E1-1,"")</f>
        <v>Property that has changed in use for 2013</v>
      </c>
      <c r="B14" s="55"/>
      <c r="C14" s="55"/>
      <c r="D14" s="55"/>
      <c r="E14" s="91">
        <v>6891</v>
      </c>
    </row>
    <row r="15" spans="1:5" ht="15.5" x14ac:dyDescent="0.25">
      <c r="A15" s="90" t="str">
        <f>CONCATENATE("Personal Property  excluding oil, gas, mobile homes- ",E1-2,"")</f>
        <v>Personal Property  excluding oil, gas, mobile homes- 2012</v>
      </c>
      <c r="B15" s="55"/>
      <c r="C15" s="55"/>
      <c r="D15" s="55"/>
      <c r="E15" s="91"/>
    </row>
    <row r="16" spans="1:5" ht="15.5" x14ac:dyDescent="0.25">
      <c r="A16" s="90" t="str">
        <f>CONCATENATE("Gross earnings (intangible) tax estimate for ",E1,"")</f>
        <v>Gross earnings (intangible) tax estimate for 2014</v>
      </c>
      <c r="B16" s="55"/>
      <c r="C16" s="55"/>
      <c r="D16" s="76"/>
      <c r="E16" s="50"/>
    </row>
    <row r="17" spans="1:5" ht="15.5" x14ac:dyDescent="0.25">
      <c r="A17" s="90" t="s">
        <v>188</v>
      </c>
      <c r="B17" s="55"/>
      <c r="C17" s="55"/>
      <c r="D17" s="55"/>
      <c r="E17" s="86">
        <v>66624</v>
      </c>
    </row>
    <row r="18" spans="1:5" ht="15.5" x14ac:dyDescent="0.25">
      <c r="A18" s="58"/>
      <c r="B18" s="59"/>
      <c r="C18" s="59"/>
      <c r="D18" s="59"/>
      <c r="E18" s="67"/>
    </row>
    <row r="19" spans="1:5" ht="15.5" x14ac:dyDescent="0.25">
      <c r="A19" s="58" t="str">
        <f>CONCATENATE("Actual Tax Rates for the ",E1-1," Budget:")</f>
        <v>Actual Tax Rates for the 2013 Budget:</v>
      </c>
      <c r="B19" s="59"/>
      <c r="C19" s="59"/>
      <c r="D19" s="59"/>
      <c r="E19" s="67"/>
    </row>
    <row r="20" spans="1:5" ht="15.5" x14ac:dyDescent="0.25">
      <c r="A20" s="593" t="s">
        <v>36</v>
      </c>
      <c r="B20" s="594"/>
      <c r="C20" s="51"/>
      <c r="D20" s="93" t="s">
        <v>86</v>
      </c>
      <c r="E20" s="67"/>
    </row>
    <row r="21" spans="1:5" ht="15.5" x14ac:dyDescent="0.25">
      <c r="A21" s="53" t="s">
        <v>20</v>
      </c>
      <c r="B21" s="54"/>
      <c r="C21" s="59"/>
      <c r="D21" s="94">
        <v>42.548999999999999</v>
      </c>
      <c r="E21" s="67"/>
    </row>
    <row r="22" spans="1:5" ht="15.5" x14ac:dyDescent="0.25">
      <c r="A22" s="90" t="s">
        <v>378</v>
      </c>
      <c r="B22" s="55"/>
      <c r="C22" s="59"/>
      <c r="D22" s="95">
        <v>6.4279999999999999</v>
      </c>
      <c r="E22" s="67"/>
    </row>
    <row r="23" spans="1:5" ht="15.5" x14ac:dyDescent="0.25">
      <c r="A23" s="90" t="str">
        <f>IF(inputPrYr!B19&gt;" ",(inputPrYr!B19)," ")</f>
        <v>Library</v>
      </c>
      <c r="B23" s="55"/>
      <c r="C23" s="59"/>
      <c r="D23" s="95">
        <v>5.9909999999999997</v>
      </c>
      <c r="E23" s="67"/>
    </row>
    <row r="24" spans="1:5" ht="15.5" x14ac:dyDescent="0.25">
      <c r="A24" s="90" t="str">
        <f>IF(inputPrYr!B21&gt;" ",(inputPrYr!B21)," ")</f>
        <v xml:space="preserve"> </v>
      </c>
      <c r="B24" s="55"/>
      <c r="C24" s="59"/>
      <c r="D24" s="95"/>
      <c r="E24" s="67"/>
    </row>
    <row r="25" spans="1:5" ht="15.5" x14ac:dyDescent="0.25">
      <c r="A25" s="90" t="str">
        <f>IF(inputPrYr!B22&gt;" ",(inputPrYr!B22)," ")</f>
        <v xml:space="preserve"> </v>
      </c>
      <c r="B25" s="55"/>
      <c r="C25" s="59"/>
      <c r="D25" s="95"/>
      <c r="E25" s="67"/>
    </row>
    <row r="26" spans="1:5" ht="15.5" x14ac:dyDescent="0.25">
      <c r="A26" s="90" t="str">
        <f>IF(inputPrYr!B23&gt;" ",(inputPrYr!B23)," ")</f>
        <v xml:space="preserve"> </v>
      </c>
      <c r="B26" s="96"/>
      <c r="C26" s="59"/>
      <c r="D26" s="97"/>
      <c r="E26" s="67"/>
    </row>
    <row r="27" spans="1:5" ht="15.5" x14ac:dyDescent="0.25">
      <c r="A27" s="90" t="str">
        <f>IF(inputPrYr!B24&gt;" ",(inputPrYr!B24)," ")</f>
        <v xml:space="preserve"> </v>
      </c>
      <c r="B27" s="96"/>
      <c r="C27" s="59"/>
      <c r="D27" s="97"/>
      <c r="E27" s="67"/>
    </row>
    <row r="28" spans="1:5" ht="15.5" x14ac:dyDescent="0.25">
      <c r="A28" s="90" t="str">
        <f>IF(inputPrYr!B25&gt;" ",(inputPrYr!B25)," ")</f>
        <v xml:space="preserve"> </v>
      </c>
      <c r="B28" s="96"/>
      <c r="C28" s="59"/>
      <c r="D28" s="97"/>
      <c r="E28" s="67"/>
    </row>
    <row r="29" spans="1:5" ht="15.5" x14ac:dyDescent="0.25">
      <c r="A29" s="90" t="str">
        <f>IF(inputPrYr!B26&gt;" ",(inputPrYr!B26)," ")</f>
        <v xml:space="preserve"> </v>
      </c>
      <c r="B29" s="96"/>
      <c r="C29" s="59"/>
      <c r="D29" s="97"/>
      <c r="E29" s="67"/>
    </row>
    <row r="30" spans="1:5" ht="15.5" x14ac:dyDescent="0.25">
      <c r="A30" s="90" t="str">
        <f>IF(inputPrYr!B27&gt;" ",(inputPrYr!B27)," ")</f>
        <v xml:space="preserve"> </v>
      </c>
      <c r="B30" s="96"/>
      <c r="C30" s="59"/>
      <c r="D30" s="97"/>
      <c r="E30" s="67"/>
    </row>
    <row r="31" spans="1:5" ht="15.5" x14ac:dyDescent="0.25">
      <c r="A31" s="90" t="str">
        <f>IF(inputPrYr!B28&gt;" ",(inputPrYr!B28)," ")</f>
        <v xml:space="preserve"> </v>
      </c>
      <c r="B31" s="96"/>
      <c r="C31" s="59"/>
      <c r="D31" s="97"/>
      <c r="E31" s="67"/>
    </row>
    <row r="32" spans="1:5" ht="15.5" x14ac:dyDescent="0.25">
      <c r="A32" s="90" t="str">
        <f>IF(inputPrYr!B29&gt;" ",(inputPrYr!B29)," ")</f>
        <v xml:space="preserve"> </v>
      </c>
      <c r="B32" s="96"/>
      <c r="C32" s="59"/>
      <c r="D32" s="97"/>
      <c r="E32" s="67"/>
    </row>
    <row r="33" spans="1:5" ht="15.5" x14ac:dyDescent="0.25">
      <c r="A33" s="90" t="str">
        <f>IF(inputPrYr!B30&gt;" ",(inputPrYr!B30)," ")</f>
        <v xml:space="preserve"> </v>
      </c>
      <c r="B33" s="55"/>
      <c r="C33" s="59"/>
      <c r="D33" s="97"/>
      <c r="E33" s="67"/>
    </row>
    <row r="34" spans="1:5" ht="15.5" x14ac:dyDescent="0.25">
      <c r="A34" s="98"/>
      <c r="B34" s="59"/>
      <c r="C34" s="254" t="s">
        <v>22</v>
      </c>
      <c r="D34" s="448">
        <f>SUM(D21:D33)</f>
        <v>54.967999999999996</v>
      </c>
      <c r="E34" s="98"/>
    </row>
    <row r="35" spans="1:5" x14ac:dyDescent="0.25">
      <c r="A35" s="98"/>
      <c r="B35" s="98"/>
      <c r="C35" s="98"/>
      <c r="D35" s="98"/>
      <c r="E35" s="98"/>
    </row>
    <row r="36" spans="1:5" ht="15.5" x14ac:dyDescent="0.25">
      <c r="A36" s="54" t="str">
        <f>CONCATENATE("Final Assessed Valuation from the November 1, ",E1-2," Abstract")</f>
        <v>Final Assessed Valuation from the November 1, 2012 Abstract</v>
      </c>
      <c r="B36" s="99"/>
      <c r="C36" s="99"/>
      <c r="D36" s="99"/>
      <c r="E36" s="86">
        <v>10127002</v>
      </c>
    </row>
    <row r="37" spans="1:5" x14ac:dyDescent="0.25">
      <c r="A37" s="98"/>
      <c r="B37" s="98"/>
      <c r="C37" s="98"/>
      <c r="D37" s="98"/>
      <c r="E37" s="98"/>
    </row>
    <row r="38" spans="1:5" ht="15.5" x14ac:dyDescent="0.25">
      <c r="A38" s="100" t="str">
        <f>CONCATENATE("From the County Treasurer's Budget Information - ",E1," Budget Year Estimates:")</f>
        <v>From the County Treasurer's Budget Information - 2014 Budget Year Estimates:</v>
      </c>
      <c r="B38" s="41"/>
      <c r="C38" s="41"/>
      <c r="D38" s="101"/>
      <c r="E38" s="80"/>
    </row>
    <row r="39" spans="1:5" ht="15.5" x14ac:dyDescent="0.25">
      <c r="A39" s="53" t="s">
        <v>23</v>
      </c>
      <c r="B39" s="54"/>
      <c r="C39" s="54"/>
      <c r="D39" s="102"/>
      <c r="E39" s="50">
        <v>96650</v>
      </c>
    </row>
    <row r="40" spans="1:5" ht="15.5" x14ac:dyDescent="0.25">
      <c r="A40" s="90" t="s">
        <v>24</v>
      </c>
      <c r="B40" s="55"/>
      <c r="C40" s="55"/>
      <c r="D40" s="103"/>
      <c r="E40" s="50">
        <v>1215</v>
      </c>
    </row>
    <row r="41" spans="1:5" ht="15.5" x14ac:dyDescent="0.25">
      <c r="A41" s="90" t="s">
        <v>189</v>
      </c>
      <c r="B41" s="55"/>
      <c r="C41" s="55"/>
      <c r="D41" s="103"/>
      <c r="E41" s="50">
        <v>945</v>
      </c>
    </row>
    <row r="42" spans="1:5" ht="15.5" x14ac:dyDescent="0.25">
      <c r="A42" s="90" t="s">
        <v>190</v>
      </c>
      <c r="B42" s="55"/>
      <c r="C42" s="55"/>
      <c r="D42" s="103"/>
      <c r="E42" s="50"/>
    </row>
    <row r="43" spans="1:5" ht="15.5" x14ac:dyDescent="0.25">
      <c r="A43" s="90" t="s">
        <v>191</v>
      </c>
      <c r="B43" s="55"/>
      <c r="C43" s="55"/>
      <c r="D43" s="103"/>
      <c r="E43" s="50"/>
    </row>
    <row r="44" spans="1:5" ht="15.5" x14ac:dyDescent="0.25">
      <c r="A44" s="32" t="s">
        <v>192</v>
      </c>
      <c r="B44" s="32"/>
      <c r="C44" s="32"/>
      <c r="D44" s="32"/>
      <c r="E44" s="32"/>
    </row>
    <row r="45" spans="1:5" ht="15.5" x14ac:dyDescent="0.25">
      <c r="A45" s="31" t="s">
        <v>44</v>
      </c>
      <c r="B45" s="39"/>
      <c r="C45" s="39"/>
      <c r="D45" s="32"/>
      <c r="E45" s="32"/>
    </row>
    <row r="46" spans="1:5" ht="15.5" x14ac:dyDescent="0.25">
      <c r="A46" s="53" t="str">
        <f>CONCATENATE("Actual Delinquency for ",E1-3," Tax - (rate .01213 = 1.213%, key in 1.2)")</f>
        <v>Actual Delinquency for 2011 Tax - (rate .01213 = 1.213%, key in 1.2)</v>
      </c>
      <c r="B46" s="54"/>
      <c r="C46" s="54"/>
      <c r="D46" s="64"/>
      <c r="E46" s="447">
        <v>2.8029999999999999E-2</v>
      </c>
    </row>
    <row r="47" spans="1:5" ht="15.5" x14ac:dyDescent="0.25">
      <c r="A47" s="90" t="s">
        <v>292</v>
      </c>
      <c r="B47" s="90"/>
      <c r="C47" s="55"/>
      <c r="D47" s="55"/>
      <c r="E47" s="447">
        <v>0.05</v>
      </c>
    </row>
    <row r="48" spans="1:5" ht="15.5" x14ac:dyDescent="0.25">
      <c r="A48" s="32"/>
      <c r="B48" s="32"/>
      <c r="C48" s="32"/>
      <c r="D48" s="32"/>
      <c r="E48" s="32"/>
    </row>
    <row r="49" spans="1:5" ht="15" x14ac:dyDescent="0.25">
      <c r="A49" s="104" t="s">
        <v>1</v>
      </c>
      <c r="B49" s="105"/>
      <c r="C49" s="106"/>
      <c r="D49" s="106"/>
      <c r="E49" s="106"/>
    </row>
    <row r="50" spans="1:5" ht="15.5" x14ac:dyDescent="0.25">
      <c r="A50" s="107" t="str">
        <f>CONCATENATE("",E1," State Distribution for Kansas Gas Tax")</f>
        <v>2014 State Distribution for Kansas Gas Tax</v>
      </c>
      <c r="B50" s="108"/>
      <c r="C50" s="108"/>
      <c r="D50" s="109"/>
      <c r="E50" s="86">
        <v>68150</v>
      </c>
    </row>
    <row r="51" spans="1:5" ht="15.5" x14ac:dyDescent="0.25">
      <c r="A51" s="110" t="str">
        <f>CONCATENATE("",E1," County Transfers for Gas**")</f>
        <v>2014 County Transfers for Gas**</v>
      </c>
      <c r="B51" s="111"/>
      <c r="C51" s="111"/>
      <c r="D51" s="112"/>
      <c r="E51" s="86"/>
    </row>
    <row r="52" spans="1:5" ht="15.5" x14ac:dyDescent="0.25">
      <c r="A52" s="110" t="str">
        <f>CONCATENATE("Adjusted ",E1-1," State Distribution for Kansas Gas Tax")</f>
        <v>Adjusted 2013 State Distribution for Kansas Gas Tax</v>
      </c>
      <c r="B52" s="111"/>
      <c r="C52" s="111"/>
      <c r="D52" s="112"/>
      <c r="E52" s="86">
        <v>65790</v>
      </c>
    </row>
    <row r="53" spans="1:5" ht="15.5" x14ac:dyDescent="0.25">
      <c r="A53" s="110" t="str">
        <f>CONCATENATE("Adjusted ",E1-1," County Transfers for Gas**")</f>
        <v>Adjusted 2013 County Transfers for Gas**</v>
      </c>
      <c r="B53" s="111"/>
      <c r="C53" s="111"/>
      <c r="D53" s="112"/>
      <c r="E53" s="86"/>
    </row>
    <row r="54" spans="1:5" x14ac:dyDescent="0.25">
      <c r="A54" s="595" t="s">
        <v>228</v>
      </c>
      <c r="B54" s="596"/>
      <c r="C54" s="596"/>
      <c r="D54" s="596"/>
      <c r="E54" s="596"/>
    </row>
    <row r="55" spans="1:5" x14ac:dyDescent="0.25">
      <c r="A55" s="113" t="s">
        <v>229</v>
      </c>
      <c r="B55" s="113"/>
      <c r="C55" s="113"/>
      <c r="D55" s="113"/>
      <c r="E55" s="113"/>
    </row>
    <row r="56" spans="1:5" x14ac:dyDescent="0.25">
      <c r="A56" s="51"/>
      <c r="B56" s="51"/>
      <c r="C56" s="51"/>
      <c r="D56" s="51"/>
      <c r="E56" s="51"/>
    </row>
    <row r="57" spans="1:5" ht="15" x14ac:dyDescent="0.25">
      <c r="A57" s="599" t="str">
        <f>CONCATENATE("From the ",E1-2," Budget Certificate Page")</f>
        <v>From the 2012 Budget Certificate Page</v>
      </c>
      <c r="B57" s="600"/>
      <c r="C57" s="51"/>
      <c r="D57" s="51"/>
      <c r="E57" s="51"/>
    </row>
    <row r="58" spans="1:5" ht="15.5" x14ac:dyDescent="0.25">
      <c r="A58" s="114"/>
      <c r="B58" s="114" t="str">
        <f>CONCATENATE("",E1-2," Expenditure Amounts")</f>
        <v>2012 Expenditure Amounts</v>
      </c>
      <c r="C58" s="591" t="str">
        <f>CONCATENATE("Note: If the ",E1-2," budget was amended, then the")</f>
        <v>Note: If the 2012 budget was amended, then the</v>
      </c>
      <c r="D58" s="592"/>
      <c r="E58" s="592"/>
    </row>
    <row r="59" spans="1:5" ht="15.5" x14ac:dyDescent="0.25">
      <c r="A59" s="115" t="s">
        <v>4</v>
      </c>
      <c r="B59" s="115" t="s">
        <v>5</v>
      </c>
      <c r="C59" s="116" t="s">
        <v>6</v>
      </c>
      <c r="D59" s="117"/>
      <c r="E59" s="117"/>
    </row>
    <row r="60" spans="1:5" ht="15.5" x14ac:dyDescent="0.25">
      <c r="A60" s="118" t="str">
        <f>inputPrYr!B17</f>
        <v>General</v>
      </c>
      <c r="B60" s="86">
        <v>1717810</v>
      </c>
      <c r="C60" s="116" t="s">
        <v>7</v>
      </c>
      <c r="D60" s="117"/>
      <c r="E60" s="117"/>
    </row>
    <row r="61" spans="1:5" ht="15.5" x14ac:dyDescent="0.25">
      <c r="A61" s="118" t="str">
        <f>inputPrYr!B18</f>
        <v>Bond and Interest</v>
      </c>
      <c r="B61" s="86">
        <v>134153</v>
      </c>
      <c r="C61" s="116"/>
      <c r="D61" s="117"/>
      <c r="E61" s="117"/>
    </row>
    <row r="62" spans="1:5" ht="15.5" x14ac:dyDescent="0.25">
      <c r="A62" s="118" t="str">
        <f>inputPrYr!B19</f>
        <v>Library</v>
      </c>
      <c r="B62" s="86">
        <v>82371</v>
      </c>
      <c r="C62" s="51"/>
      <c r="D62" s="51"/>
      <c r="E62" s="51"/>
    </row>
    <row r="63" spans="1:5" ht="15.5" x14ac:dyDescent="0.25">
      <c r="A63" s="118"/>
      <c r="B63" s="86"/>
      <c r="C63" s="51"/>
      <c r="D63" s="51"/>
      <c r="E63" s="51"/>
    </row>
    <row r="64" spans="1:5" ht="15.5" x14ac:dyDescent="0.25">
      <c r="A64" s="118"/>
      <c r="B64" s="86"/>
      <c r="C64" s="51"/>
      <c r="D64" s="51"/>
      <c r="E64" s="51"/>
    </row>
    <row r="65" spans="1:5" ht="15.5" x14ac:dyDescent="0.25">
      <c r="A65" s="118"/>
      <c r="B65" s="86"/>
      <c r="C65" s="51"/>
      <c r="D65" s="51"/>
      <c r="E65" s="51"/>
    </row>
    <row r="66" spans="1:5" ht="15.5" x14ac:dyDescent="0.25">
      <c r="A66" s="118"/>
      <c r="B66" s="86"/>
      <c r="C66" s="51"/>
      <c r="D66" s="51"/>
      <c r="E66" s="51"/>
    </row>
    <row r="67" spans="1:5" ht="15.5" x14ac:dyDescent="0.25">
      <c r="A67" s="118"/>
      <c r="B67" s="86"/>
      <c r="C67" s="51"/>
      <c r="D67" s="51"/>
      <c r="E67" s="51"/>
    </row>
    <row r="68" spans="1:5" ht="15.5" x14ac:dyDescent="0.25">
      <c r="A68" s="118"/>
      <c r="B68" s="86"/>
      <c r="C68" s="51"/>
      <c r="D68" s="51"/>
      <c r="E68" s="51"/>
    </row>
    <row r="69" spans="1:5" ht="15.5" x14ac:dyDescent="0.25">
      <c r="A69" s="118"/>
      <c r="B69" s="86"/>
      <c r="C69" s="51"/>
      <c r="D69" s="51"/>
      <c r="E69" s="51"/>
    </row>
    <row r="70" spans="1:5" ht="15.5" x14ac:dyDescent="0.25">
      <c r="A70" s="118"/>
      <c r="B70" s="86"/>
      <c r="C70" s="51"/>
      <c r="D70" s="51"/>
      <c r="E70" s="51"/>
    </row>
    <row r="71" spans="1:5" ht="15.5" x14ac:dyDescent="0.25">
      <c r="A71" s="118"/>
      <c r="B71" s="86"/>
      <c r="C71" s="51"/>
      <c r="D71" s="51"/>
      <c r="E71" s="51"/>
    </row>
    <row r="72" spans="1:5" ht="15.5" x14ac:dyDescent="0.25">
      <c r="A72" s="118"/>
      <c r="B72" s="86"/>
      <c r="C72" s="51"/>
      <c r="D72" s="51"/>
      <c r="E72" s="51"/>
    </row>
    <row r="73" spans="1:5" ht="15.5" x14ac:dyDescent="0.25">
      <c r="A73" s="118" t="str">
        <f>inputPrYr!B34</f>
        <v>Special Highway</v>
      </c>
      <c r="B73" s="86">
        <v>84076</v>
      </c>
      <c r="C73" s="51"/>
      <c r="D73" s="51"/>
      <c r="E73" s="51"/>
    </row>
    <row r="74" spans="1:5" ht="15.5" x14ac:dyDescent="0.25">
      <c r="A74" s="118" t="str">
        <f>inputPrYr!B35</f>
        <v>Special Parks &amp; Recreation</v>
      </c>
      <c r="B74" s="86">
        <v>5285</v>
      </c>
      <c r="C74" s="51"/>
      <c r="D74" s="51"/>
      <c r="E74" s="51"/>
    </row>
    <row r="75" spans="1:5" ht="15.5" x14ac:dyDescent="0.25">
      <c r="A75" s="118" t="str">
        <f>inputPrYr!B36</f>
        <v>Promotion</v>
      </c>
      <c r="B75" s="86">
        <v>10139</v>
      </c>
      <c r="C75" s="51"/>
      <c r="D75" s="51"/>
      <c r="E75" s="51"/>
    </row>
    <row r="76" spans="1:5" ht="15.5" x14ac:dyDescent="0.25">
      <c r="A76" s="118"/>
      <c r="B76" s="86"/>
      <c r="C76" s="51"/>
      <c r="D76" s="51"/>
      <c r="E76" s="51"/>
    </row>
    <row r="77" spans="1:5" ht="15.5" x14ac:dyDescent="0.25">
      <c r="A77" s="118" t="str">
        <f>inputPrYr!B38</f>
        <v>Water Revolving Loan</v>
      </c>
      <c r="B77" s="86">
        <v>35556</v>
      </c>
      <c r="C77" s="51"/>
      <c r="D77" s="51"/>
      <c r="E77" s="51"/>
    </row>
    <row r="78" spans="1:5" ht="15.5" x14ac:dyDescent="0.25">
      <c r="A78" s="118" t="str">
        <f>inputPrYr!B39</f>
        <v>Sewer Revolving Loan</v>
      </c>
      <c r="B78" s="86">
        <v>240938</v>
      </c>
      <c r="C78" s="51"/>
      <c r="D78" s="51"/>
      <c r="E78" s="51"/>
    </row>
    <row r="79" spans="1:5" ht="15.5" x14ac:dyDescent="0.25">
      <c r="A79" s="118" t="str">
        <f>inputPrYr!B40</f>
        <v>Employee Health Benefits</v>
      </c>
      <c r="B79" s="86">
        <v>32435</v>
      </c>
      <c r="C79" s="51"/>
      <c r="D79" s="51"/>
      <c r="E79" s="51"/>
    </row>
    <row r="80" spans="1:5" ht="15.5" x14ac:dyDescent="0.25">
      <c r="A80" s="118" t="str">
        <f>inputPrYr!B41</f>
        <v>Sales Tax Revenue</v>
      </c>
      <c r="B80" s="86">
        <v>979900</v>
      </c>
      <c r="C80" s="51"/>
      <c r="D80" s="51"/>
      <c r="E80" s="51"/>
    </row>
    <row r="81" spans="1:5" ht="15.5" x14ac:dyDescent="0.25">
      <c r="A81" s="118" t="str">
        <f>inputPrYr!B42</f>
        <v>Sewer Utility</v>
      </c>
      <c r="B81" s="86">
        <v>380196</v>
      </c>
      <c r="C81" s="51"/>
      <c r="D81" s="51"/>
      <c r="E81" s="51"/>
    </row>
    <row r="82" spans="1:5" ht="15.5" x14ac:dyDescent="0.25">
      <c r="A82" s="118"/>
      <c r="B82" s="86"/>
      <c r="C82" s="51"/>
      <c r="D82" s="51"/>
      <c r="E82" s="51"/>
    </row>
    <row r="83" spans="1:5" ht="15.5" x14ac:dyDescent="0.25">
      <c r="A83" s="118" t="str">
        <f>inputPrYr!B44</f>
        <v>Water Utility</v>
      </c>
      <c r="B83" s="86">
        <v>1013477</v>
      </c>
      <c r="C83" s="51"/>
      <c r="D83" s="51"/>
      <c r="E83" s="51"/>
    </row>
    <row r="84" spans="1:5" ht="15.5" x14ac:dyDescent="0.25">
      <c r="A84" s="118"/>
      <c r="B84" s="86"/>
      <c r="C84" s="51"/>
      <c r="D84" s="51"/>
      <c r="E84" s="51"/>
    </row>
    <row r="85" spans="1:5" ht="15.5" x14ac:dyDescent="0.25">
      <c r="A85" s="118"/>
      <c r="B85" s="86"/>
      <c r="C85" s="51"/>
      <c r="D85" s="51"/>
      <c r="E85" s="51"/>
    </row>
    <row r="86" spans="1:5" ht="15.5" x14ac:dyDescent="0.25">
      <c r="A86" s="118"/>
      <c r="B86" s="86"/>
      <c r="C86" s="51"/>
      <c r="D86" s="51"/>
      <c r="E86" s="51"/>
    </row>
    <row r="87" spans="1:5" ht="15.5" x14ac:dyDescent="0.25">
      <c r="A87" s="118"/>
      <c r="B87" s="86"/>
      <c r="C87" s="51"/>
      <c r="D87" s="51"/>
      <c r="E87" s="51"/>
    </row>
    <row r="88" spans="1:5" ht="15.5" x14ac:dyDescent="0.25">
      <c r="A88" s="118"/>
      <c r="B88" s="86"/>
      <c r="C88" s="51"/>
      <c r="D88" s="51"/>
      <c r="E88" s="51"/>
    </row>
    <row r="89" spans="1:5" ht="15.5" x14ac:dyDescent="0.25">
      <c r="A89" s="118"/>
      <c r="B89" s="86"/>
      <c r="C89" s="51"/>
      <c r="D89" s="51"/>
      <c r="E89" s="51"/>
    </row>
    <row r="90" spans="1:5" ht="15.5" x14ac:dyDescent="0.25">
      <c r="A90" s="118"/>
      <c r="B90" s="86"/>
      <c r="C90" s="51"/>
      <c r="D90" s="51"/>
      <c r="E90" s="51"/>
    </row>
    <row r="91" spans="1:5" ht="15.5" x14ac:dyDescent="0.25">
      <c r="A91" s="118"/>
      <c r="B91" s="86"/>
      <c r="C91" s="51"/>
      <c r="D91" s="51"/>
      <c r="E91" s="51"/>
    </row>
    <row r="92" spans="1:5" ht="15.5" x14ac:dyDescent="0.25">
      <c r="A92" s="118"/>
      <c r="B92" s="86"/>
      <c r="C92" s="51"/>
      <c r="D92" s="51"/>
      <c r="E92" s="51"/>
    </row>
  </sheetData>
  <mergeCells count="5">
    <mergeCell ref="C58:E58"/>
    <mergeCell ref="A20:B20"/>
    <mergeCell ref="A54:E54"/>
    <mergeCell ref="A3:E3"/>
    <mergeCell ref="A57:B57"/>
  </mergeCells>
  <phoneticPr fontId="9" type="noConversion"/>
  <pageMargins left="0.75" right="0.75" top="1" bottom="1" header="0.5" footer="0.5"/>
  <pageSetup scale="48"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P21" sqref="P21"/>
    </sheetView>
  </sheetViews>
  <sheetFormatPr defaultColWidth="8.9140625" defaultRowHeight="12.5" x14ac:dyDescent="0.25"/>
  <cols>
    <col min="1" max="1" width="2.58203125" style="516" customWidth="1"/>
    <col min="2" max="4" width="8.9140625" style="516"/>
    <col min="5" max="5" width="9.6640625" style="516" customWidth="1"/>
    <col min="6" max="6" width="8.9140625" style="516"/>
    <col min="7" max="7" width="9.6640625" style="516" customWidth="1"/>
    <col min="8" max="16384" width="8.9140625" style="516"/>
  </cols>
  <sheetData>
    <row r="1" spans="2:9" ht="15.5" x14ac:dyDescent="0.35">
      <c r="B1" s="515"/>
      <c r="C1" s="515"/>
      <c r="D1" s="515"/>
      <c r="E1" s="515"/>
      <c r="F1" s="515"/>
      <c r="G1" s="515"/>
      <c r="H1" s="515"/>
      <c r="I1" s="515"/>
    </row>
    <row r="2" spans="2:9" ht="15" x14ac:dyDescent="0.25">
      <c r="B2" s="636" t="s">
        <v>310</v>
      </c>
      <c r="C2" s="636"/>
      <c r="D2" s="636"/>
      <c r="E2" s="636"/>
      <c r="F2" s="636"/>
      <c r="G2" s="636"/>
      <c r="H2" s="636"/>
      <c r="I2" s="636"/>
    </row>
    <row r="3" spans="2:9" ht="15" x14ac:dyDescent="0.25">
      <c r="B3" s="636" t="s">
        <v>311</v>
      </c>
      <c r="C3" s="636"/>
      <c r="D3" s="636"/>
      <c r="E3" s="636"/>
      <c r="F3" s="636"/>
      <c r="G3" s="636"/>
      <c r="H3" s="636"/>
      <c r="I3" s="636"/>
    </row>
    <row r="4" spans="2:9" ht="15.5" x14ac:dyDescent="0.25">
      <c r="B4" s="517"/>
      <c r="C4" s="517"/>
      <c r="D4" s="517"/>
      <c r="E4" s="517"/>
      <c r="F4" s="517"/>
      <c r="G4" s="517"/>
      <c r="H4" s="517"/>
      <c r="I4" s="517"/>
    </row>
    <row r="5" spans="2:9" ht="15" x14ac:dyDescent="0.25">
      <c r="B5" s="637" t="str">
        <f>CONCATENATE("Budgeted Year: ",inputPrYr!C5,"")</f>
        <v>Budgeted Year: 2014</v>
      </c>
      <c r="C5" s="637"/>
      <c r="D5" s="637"/>
      <c r="E5" s="637"/>
      <c r="F5" s="637"/>
      <c r="G5" s="637"/>
      <c r="H5" s="637"/>
      <c r="I5" s="637"/>
    </row>
    <row r="6" spans="2:9" ht="15.5" x14ac:dyDescent="0.25">
      <c r="B6" s="518"/>
      <c r="C6" s="517"/>
      <c r="D6" s="517"/>
      <c r="E6" s="517"/>
      <c r="F6" s="517"/>
      <c r="G6" s="517"/>
      <c r="H6" s="517"/>
      <c r="I6" s="517"/>
    </row>
    <row r="7" spans="2:9" ht="15.5" x14ac:dyDescent="0.25">
      <c r="B7" s="518" t="str">
        <f>CONCATENATE("Library found in: ",inputPrYr!D2,"")</f>
        <v>Library found in: City of Eureka</v>
      </c>
      <c r="C7" s="517"/>
      <c r="D7" s="517"/>
      <c r="E7" s="517"/>
      <c r="F7" s="517"/>
      <c r="G7" s="517"/>
      <c r="H7" s="517"/>
      <c r="I7" s="517"/>
    </row>
    <row r="8" spans="2:9" ht="15.5" x14ac:dyDescent="0.25">
      <c r="B8" s="518" t="str">
        <f>inputPrYr!D3</f>
        <v>Greenwood County</v>
      </c>
      <c r="C8" s="517"/>
      <c r="D8" s="517"/>
      <c r="E8" s="517"/>
      <c r="F8" s="517"/>
      <c r="G8" s="517"/>
      <c r="H8" s="517"/>
      <c r="I8" s="517"/>
    </row>
    <row r="9" spans="2:9" ht="15.5" x14ac:dyDescent="0.25">
      <c r="B9" s="517"/>
      <c r="C9" s="517"/>
      <c r="D9" s="517"/>
      <c r="E9" s="517"/>
      <c r="F9" s="517"/>
      <c r="G9" s="517"/>
      <c r="H9" s="517"/>
      <c r="I9" s="517"/>
    </row>
    <row r="10" spans="2:9" ht="39" customHeight="1" x14ac:dyDescent="0.25">
      <c r="B10" s="638" t="s">
        <v>312</v>
      </c>
      <c r="C10" s="638"/>
      <c r="D10" s="638"/>
      <c r="E10" s="638"/>
      <c r="F10" s="638"/>
      <c r="G10" s="638"/>
      <c r="H10" s="638"/>
      <c r="I10" s="638"/>
    </row>
    <row r="11" spans="2:9" ht="15.5" x14ac:dyDescent="0.25">
      <c r="B11" s="517"/>
      <c r="C11" s="517"/>
      <c r="D11" s="517"/>
      <c r="E11" s="517"/>
      <c r="F11" s="517"/>
      <c r="G11" s="517"/>
      <c r="H11" s="517"/>
      <c r="I11" s="517"/>
    </row>
    <row r="12" spans="2:9" ht="15.5" x14ac:dyDescent="0.25">
      <c r="B12" s="519" t="s">
        <v>313</v>
      </c>
      <c r="C12" s="517"/>
      <c r="D12" s="517"/>
      <c r="E12" s="517"/>
      <c r="F12" s="517"/>
      <c r="G12" s="517"/>
      <c r="H12" s="517"/>
      <c r="I12" s="517"/>
    </row>
    <row r="13" spans="2:9" ht="15.5" x14ac:dyDescent="0.25">
      <c r="B13" s="517"/>
      <c r="C13" s="517"/>
      <c r="D13" s="517"/>
      <c r="E13" s="520" t="s">
        <v>314</v>
      </c>
      <c r="F13" s="517"/>
      <c r="G13" s="520" t="s">
        <v>315</v>
      </c>
      <c r="H13" s="517"/>
      <c r="I13" s="517"/>
    </row>
    <row r="14" spans="2:9" ht="15.5" x14ac:dyDescent="0.25">
      <c r="B14" s="517"/>
      <c r="C14" s="517"/>
      <c r="D14" s="517"/>
      <c r="E14" s="521">
        <f>inputPrYr!C5-1</f>
        <v>2013</v>
      </c>
      <c r="F14" s="517"/>
      <c r="G14" s="521">
        <f>inputPrYr!C5</f>
        <v>2014</v>
      </c>
      <c r="H14" s="517"/>
      <c r="I14" s="517"/>
    </row>
    <row r="15" spans="2:9" ht="15.5" x14ac:dyDescent="0.25">
      <c r="B15" s="518" t="s">
        <v>371</v>
      </c>
      <c r="C15" s="517"/>
      <c r="D15" s="517"/>
      <c r="E15" s="522">
        <f>'Bond &amp; Int -library'!D47</f>
        <v>57635</v>
      </c>
      <c r="F15" s="517"/>
      <c r="G15" s="522">
        <f>'Bond &amp; Int -library'!E80</f>
        <v>62313</v>
      </c>
      <c r="H15" s="517"/>
      <c r="I15" s="517"/>
    </row>
    <row r="16" spans="2:9" ht="15.5" x14ac:dyDescent="0.25">
      <c r="B16" s="518" t="s">
        <v>52</v>
      </c>
      <c r="C16" s="517"/>
      <c r="D16" s="517"/>
      <c r="E16" s="522">
        <f>'Bond &amp; Int -library'!D48</f>
        <v>3033</v>
      </c>
      <c r="F16" s="517"/>
      <c r="G16" s="522">
        <f>'Bond &amp; Int -library'!E48</f>
        <v>3033</v>
      </c>
      <c r="H16" s="517"/>
      <c r="I16" s="517"/>
    </row>
    <row r="17" spans="2:9" ht="15.5" x14ac:dyDescent="0.25">
      <c r="B17" s="518" t="s">
        <v>53</v>
      </c>
      <c r="C17" s="517"/>
      <c r="D17" s="517"/>
      <c r="E17" s="522">
        <f>'Bond &amp; Int -library'!D49</f>
        <v>10977</v>
      </c>
      <c r="F17" s="517"/>
      <c r="G17" s="522">
        <f>'Bond &amp; Int -library'!E49</f>
        <v>10534</v>
      </c>
      <c r="H17" s="517"/>
      <c r="I17" s="517"/>
    </row>
    <row r="18" spans="2:9" ht="15.5" x14ac:dyDescent="0.25">
      <c r="B18" s="518" t="s">
        <v>372</v>
      </c>
      <c r="C18" s="517"/>
      <c r="D18" s="517"/>
      <c r="E18" s="522">
        <f>'Bond &amp; Int -library'!D50</f>
        <v>132</v>
      </c>
      <c r="F18" s="517"/>
      <c r="G18" s="522">
        <f>'Bond &amp; Int -library'!E50</f>
        <v>132</v>
      </c>
      <c r="H18" s="517"/>
      <c r="I18" s="517"/>
    </row>
    <row r="19" spans="2:9" ht="15.5" x14ac:dyDescent="0.25">
      <c r="B19" s="518" t="s">
        <v>373</v>
      </c>
      <c r="C19" s="517"/>
      <c r="D19" s="517"/>
      <c r="E19" s="522">
        <f>'Bond &amp; Int -library'!D51</f>
        <v>130</v>
      </c>
      <c r="F19" s="517"/>
      <c r="G19" s="522">
        <f>'Bond &amp; Int -library'!E51</f>
        <v>103</v>
      </c>
      <c r="H19" s="517"/>
      <c r="I19" s="517"/>
    </row>
    <row r="20" spans="2:9" ht="15.5" x14ac:dyDescent="0.25">
      <c r="B20" s="517" t="s">
        <v>190</v>
      </c>
      <c r="C20" s="517"/>
      <c r="D20" s="517"/>
      <c r="E20" s="522">
        <v>0</v>
      </c>
      <c r="F20" s="517"/>
      <c r="G20" s="522">
        <v>0</v>
      </c>
      <c r="H20" s="517"/>
      <c r="I20" s="517"/>
    </row>
    <row r="21" spans="2:9" ht="15.5" x14ac:dyDescent="0.25">
      <c r="B21" s="517"/>
      <c r="C21" s="517"/>
      <c r="D21" s="517"/>
      <c r="E21" s="522">
        <v>0</v>
      </c>
      <c r="F21" s="517"/>
      <c r="G21" s="522">
        <v>0</v>
      </c>
      <c r="H21" s="517"/>
      <c r="I21" s="517"/>
    </row>
    <row r="22" spans="2:9" ht="15.5" x14ac:dyDescent="0.25">
      <c r="B22" s="517" t="s">
        <v>316</v>
      </c>
      <c r="C22" s="517"/>
      <c r="D22" s="517"/>
      <c r="E22" s="523">
        <f>SUM(E15:E21)</f>
        <v>71907</v>
      </c>
      <c r="F22" s="517"/>
      <c r="G22" s="523">
        <f>SUM(G15:G21)</f>
        <v>76115</v>
      </c>
      <c r="H22" s="517"/>
      <c r="I22" s="517"/>
    </row>
    <row r="23" spans="2:9" ht="15.5" x14ac:dyDescent="0.25">
      <c r="B23" s="517" t="s">
        <v>317</v>
      </c>
      <c r="C23" s="517"/>
      <c r="D23" s="517"/>
      <c r="E23" s="543">
        <f>G22-E22</f>
        <v>4208</v>
      </c>
      <c r="F23" s="517"/>
      <c r="G23" s="524"/>
      <c r="H23" s="517"/>
      <c r="I23" s="517"/>
    </row>
    <row r="24" spans="2:9" ht="15.5" x14ac:dyDescent="0.25">
      <c r="B24" s="517" t="s">
        <v>318</v>
      </c>
      <c r="C24" s="517"/>
      <c r="D24" s="525" t="str">
        <f>IF((G22-E22)&gt;0,"Qualify","Not Qualify")</f>
        <v>Qualify</v>
      </c>
      <c r="E24" s="517"/>
      <c r="F24" s="517"/>
      <c r="G24" s="517"/>
      <c r="H24" s="517"/>
      <c r="I24" s="517"/>
    </row>
    <row r="25" spans="2:9" ht="15.5" x14ac:dyDescent="0.25">
      <c r="B25" s="517"/>
      <c r="C25" s="517"/>
      <c r="D25" s="517"/>
      <c r="E25" s="517"/>
      <c r="F25" s="517"/>
      <c r="G25" s="517"/>
      <c r="H25" s="517"/>
      <c r="I25" s="517"/>
    </row>
    <row r="26" spans="2:9" ht="15.5" x14ac:dyDescent="0.25">
      <c r="B26" s="519" t="s">
        <v>319</v>
      </c>
      <c r="C26" s="517"/>
      <c r="D26" s="517"/>
      <c r="E26" s="517"/>
      <c r="F26" s="517"/>
      <c r="G26" s="517"/>
      <c r="H26" s="517"/>
      <c r="I26" s="517"/>
    </row>
    <row r="27" spans="2:9" ht="15.5" x14ac:dyDescent="0.25">
      <c r="B27" s="517" t="s">
        <v>320</v>
      </c>
      <c r="C27" s="517"/>
      <c r="D27" s="517"/>
      <c r="E27" s="522">
        <f>summ!D34</f>
        <v>10127002</v>
      </c>
      <c r="F27" s="517"/>
      <c r="G27" s="522">
        <f>summ!F34</f>
        <v>10385454</v>
      </c>
      <c r="H27" s="517"/>
      <c r="I27" s="517"/>
    </row>
    <row r="28" spans="2:9" ht="15.5" x14ac:dyDescent="0.25">
      <c r="B28" s="517" t="s">
        <v>321</v>
      </c>
      <c r="C28" s="517"/>
      <c r="D28" s="517"/>
      <c r="E28" s="526" t="str">
        <f>IF(G27-E27&gt;=0,"No","Yes")</f>
        <v>No</v>
      </c>
      <c r="F28" s="517"/>
      <c r="G28" s="517"/>
      <c r="H28" s="517"/>
      <c r="I28" s="517"/>
    </row>
    <row r="29" spans="2:9" ht="15.5" x14ac:dyDescent="0.25">
      <c r="B29" s="517" t="s">
        <v>322</v>
      </c>
      <c r="C29" s="517"/>
      <c r="D29" s="517"/>
      <c r="E29" s="520">
        <f>summ!E17</f>
        <v>5.9909999999999997</v>
      </c>
      <c r="F29" s="517"/>
      <c r="G29" s="527">
        <f>summ!H17</f>
        <v>6</v>
      </c>
      <c r="H29" s="517"/>
      <c r="I29" s="517"/>
    </row>
    <row r="30" spans="2:9" ht="15.5" x14ac:dyDescent="0.25">
      <c r="B30" s="517" t="s">
        <v>323</v>
      </c>
      <c r="C30" s="517"/>
      <c r="D30" s="517"/>
      <c r="E30" s="528">
        <f>G29-E29</f>
        <v>9.0000000000003411E-3</v>
      </c>
      <c r="F30" s="517"/>
      <c r="G30" s="517"/>
      <c r="H30" s="517"/>
      <c r="I30" s="517"/>
    </row>
    <row r="31" spans="2:9" ht="15.5" x14ac:dyDescent="0.25">
      <c r="B31" s="517" t="s">
        <v>318</v>
      </c>
      <c r="C31" s="517"/>
      <c r="D31" s="529" t="str">
        <f>IF(E30&gt;=0,"Qualify","Not Qualify")</f>
        <v>Qualify</v>
      </c>
      <c r="E31" s="517"/>
      <c r="F31" s="517"/>
      <c r="G31" s="517"/>
      <c r="H31" s="517"/>
      <c r="I31" s="517"/>
    </row>
    <row r="32" spans="2:9" ht="15.5" x14ac:dyDescent="0.25">
      <c r="B32" s="517"/>
      <c r="C32" s="517"/>
      <c r="D32" s="517"/>
      <c r="E32" s="517"/>
      <c r="F32" s="517"/>
      <c r="G32" s="517"/>
      <c r="H32" s="517"/>
      <c r="I32" s="517"/>
    </row>
    <row r="33" spans="2:9" ht="15.5" x14ac:dyDescent="0.25">
      <c r="B33" s="517" t="s">
        <v>324</v>
      </c>
      <c r="C33" s="517"/>
      <c r="D33" s="517"/>
      <c r="E33" s="517"/>
      <c r="F33" s="530" t="str">
        <f>IF(D24="Not Qualify",IF(D31="Not Qualify",IF(D31="Not Qualify","Not Qualify","Qualify"),"Qualify"),"Qualify")</f>
        <v>Qualify</v>
      </c>
      <c r="G33" s="517"/>
      <c r="H33" s="517"/>
      <c r="I33" s="517"/>
    </row>
    <row r="34" spans="2:9" ht="15.5" x14ac:dyDescent="0.25">
      <c r="B34" s="517"/>
      <c r="C34" s="517"/>
      <c r="D34" s="517"/>
      <c r="E34" s="517"/>
      <c r="F34" s="517"/>
      <c r="G34" s="517"/>
      <c r="H34" s="517"/>
      <c r="I34" s="517"/>
    </row>
    <row r="35" spans="2:9" ht="15.5" x14ac:dyDescent="0.25">
      <c r="B35" s="517"/>
      <c r="C35" s="517"/>
      <c r="D35" s="517"/>
      <c r="E35" s="517"/>
      <c r="F35" s="517"/>
      <c r="G35" s="517"/>
      <c r="H35" s="517"/>
      <c r="I35" s="517"/>
    </row>
    <row r="36" spans="2:9" ht="37.5" customHeight="1" x14ac:dyDescent="0.25">
      <c r="B36" s="638" t="s">
        <v>325</v>
      </c>
      <c r="C36" s="638"/>
      <c r="D36" s="638"/>
      <c r="E36" s="638"/>
      <c r="F36" s="638"/>
      <c r="G36" s="638"/>
      <c r="H36" s="638"/>
      <c r="I36" s="638"/>
    </row>
    <row r="37" spans="2:9" ht="15.5" x14ac:dyDescent="0.25">
      <c r="B37" s="517"/>
      <c r="C37" s="517"/>
      <c r="D37" s="517"/>
      <c r="E37" s="517"/>
      <c r="F37" s="517"/>
      <c r="G37" s="517"/>
      <c r="H37" s="517"/>
      <c r="I37" s="517"/>
    </row>
    <row r="38" spans="2:9" ht="15.5" x14ac:dyDescent="0.25">
      <c r="B38" s="517"/>
      <c r="C38" s="517"/>
      <c r="D38" s="517"/>
      <c r="E38" s="517"/>
      <c r="F38" s="517"/>
      <c r="G38" s="517"/>
      <c r="H38" s="517"/>
      <c r="I38" s="517"/>
    </row>
    <row r="39" spans="2:9" ht="15.5" x14ac:dyDescent="0.25">
      <c r="B39" s="517"/>
      <c r="C39" s="517"/>
      <c r="D39" s="517"/>
      <c r="E39" s="517"/>
      <c r="F39" s="517"/>
      <c r="G39" s="517"/>
      <c r="H39" s="517"/>
      <c r="I39" s="517"/>
    </row>
    <row r="40" spans="2:9" ht="15.5" x14ac:dyDescent="0.25">
      <c r="B40" s="517"/>
      <c r="C40" s="517"/>
      <c r="D40" s="517"/>
      <c r="E40" s="531" t="s">
        <v>59</v>
      </c>
      <c r="F40" s="532">
        <v>7</v>
      </c>
      <c r="G40" s="517"/>
      <c r="H40" s="517"/>
      <c r="I40" s="517"/>
    </row>
    <row r="41" spans="2:9" ht="15.5" x14ac:dyDescent="0.25">
      <c r="B41" s="517"/>
      <c r="C41" s="517"/>
      <c r="D41" s="517"/>
      <c r="E41" s="517"/>
      <c r="F41" s="517"/>
      <c r="G41" s="517"/>
      <c r="H41" s="517"/>
      <c r="I41" s="517"/>
    </row>
    <row r="42" spans="2:9" ht="15.5" x14ac:dyDescent="0.25">
      <c r="B42" s="517"/>
      <c r="C42" s="517"/>
      <c r="D42" s="517"/>
      <c r="E42" s="517"/>
      <c r="F42" s="517"/>
      <c r="G42" s="517"/>
      <c r="H42" s="517"/>
      <c r="I42" s="517"/>
    </row>
    <row r="43" spans="2:9" ht="15" x14ac:dyDescent="0.3">
      <c r="B43" s="634" t="s">
        <v>326</v>
      </c>
      <c r="C43" s="635"/>
      <c r="D43" s="635"/>
      <c r="E43" s="635"/>
      <c r="F43" s="635"/>
      <c r="G43" s="635"/>
      <c r="H43" s="635"/>
      <c r="I43" s="635"/>
    </row>
    <row r="44" spans="2:9" ht="15.5" x14ac:dyDescent="0.25">
      <c r="B44" s="517"/>
      <c r="C44" s="517"/>
      <c r="D44" s="517"/>
      <c r="E44" s="517"/>
      <c r="F44" s="517"/>
      <c r="G44" s="517"/>
      <c r="H44" s="517"/>
      <c r="I44" s="517"/>
    </row>
    <row r="45" spans="2:9" ht="15.5" x14ac:dyDescent="0.35">
      <c r="B45" s="533" t="s">
        <v>327</v>
      </c>
      <c r="C45" s="517"/>
      <c r="D45" s="517"/>
      <c r="E45" s="517"/>
      <c r="F45" s="517"/>
      <c r="G45" s="517"/>
      <c r="H45" s="517"/>
      <c r="I45" s="517"/>
    </row>
    <row r="46" spans="2:9" ht="15.5" x14ac:dyDescent="0.35">
      <c r="B46" s="533" t="str">
        <f>CONCATENATE("sources in your ",G14," library fund is not equal to or greater than the amount from the same")</f>
        <v>sources in your 2014 library fund is not equal to or greater than the amount from the same</v>
      </c>
      <c r="C46" s="517"/>
      <c r="D46" s="517"/>
      <c r="E46" s="517"/>
      <c r="F46" s="517"/>
      <c r="G46" s="517"/>
      <c r="H46" s="517"/>
      <c r="I46" s="517"/>
    </row>
    <row r="47" spans="2:9" ht="15.5" x14ac:dyDescent="0.35">
      <c r="B47" s="533" t="str">
        <f>CONCATENATE("sources in ",E14,".")</f>
        <v>sources in 2013.</v>
      </c>
      <c r="C47" s="515"/>
      <c r="D47" s="515"/>
      <c r="E47" s="515"/>
      <c r="F47" s="515"/>
      <c r="G47" s="515"/>
      <c r="H47" s="515"/>
      <c r="I47" s="515"/>
    </row>
    <row r="48" spans="2:9" ht="15.5" x14ac:dyDescent="0.35">
      <c r="B48" s="515"/>
      <c r="C48" s="515"/>
      <c r="D48" s="515"/>
      <c r="E48" s="515"/>
      <c r="F48" s="515"/>
      <c r="G48" s="515"/>
      <c r="H48" s="515"/>
      <c r="I48" s="515"/>
    </row>
    <row r="49" spans="2:9" ht="15.5" x14ac:dyDescent="0.35">
      <c r="B49" s="533" t="s">
        <v>328</v>
      </c>
      <c r="C49" s="533"/>
      <c r="D49" s="534"/>
      <c r="E49" s="534"/>
      <c r="F49" s="534"/>
      <c r="G49" s="534"/>
      <c r="H49" s="534"/>
      <c r="I49" s="534"/>
    </row>
    <row r="50" spans="2:9" ht="15.5" x14ac:dyDescent="0.35">
      <c r="B50" s="533" t="s">
        <v>329</v>
      </c>
      <c r="C50" s="533"/>
      <c r="D50" s="534"/>
      <c r="E50" s="534"/>
      <c r="F50" s="534"/>
      <c r="G50" s="534"/>
      <c r="H50" s="534"/>
      <c r="I50" s="534"/>
    </row>
    <row r="51" spans="2:9" ht="15.5" x14ac:dyDescent="0.35">
      <c r="B51" s="533" t="s">
        <v>330</v>
      </c>
      <c r="C51" s="533"/>
      <c r="D51" s="534"/>
      <c r="E51" s="534"/>
      <c r="F51" s="534"/>
      <c r="G51" s="534"/>
      <c r="H51" s="534"/>
      <c r="I51" s="534"/>
    </row>
    <row r="52" spans="2:9" x14ac:dyDescent="0.25">
      <c r="B52" s="534"/>
      <c r="C52" s="534"/>
      <c r="D52" s="534"/>
      <c r="E52" s="534"/>
      <c r="F52" s="534"/>
      <c r="G52" s="534"/>
      <c r="H52" s="534"/>
      <c r="I52" s="534"/>
    </row>
    <row r="53" spans="2:9" ht="15" x14ac:dyDescent="0.3">
      <c r="B53" s="535" t="s">
        <v>331</v>
      </c>
      <c r="C53" s="534"/>
      <c r="D53" s="534"/>
      <c r="E53" s="534"/>
      <c r="F53" s="534"/>
      <c r="G53" s="534"/>
      <c r="H53" s="534"/>
      <c r="I53" s="534"/>
    </row>
    <row r="54" spans="2:9" x14ac:dyDescent="0.25">
      <c r="B54" s="534"/>
      <c r="C54" s="534"/>
      <c r="D54" s="534"/>
      <c r="E54" s="534"/>
      <c r="F54" s="534"/>
      <c r="G54" s="534"/>
      <c r="H54" s="534"/>
      <c r="I54" s="534"/>
    </row>
    <row r="55" spans="2:9" ht="15.5" x14ac:dyDescent="0.35">
      <c r="B55" s="533" t="s">
        <v>332</v>
      </c>
      <c r="C55" s="534"/>
      <c r="D55" s="534"/>
      <c r="E55" s="534"/>
      <c r="F55" s="534"/>
      <c r="G55" s="534"/>
      <c r="H55" s="534"/>
      <c r="I55" s="534"/>
    </row>
    <row r="56" spans="2:9" ht="15.5" x14ac:dyDescent="0.35">
      <c r="B56" s="533" t="s">
        <v>333</v>
      </c>
      <c r="C56" s="534"/>
      <c r="D56" s="534"/>
      <c r="E56" s="534"/>
      <c r="F56" s="534"/>
      <c r="G56" s="534"/>
      <c r="H56" s="534"/>
      <c r="I56" s="534"/>
    </row>
    <row r="57" spans="2:9" x14ac:dyDescent="0.25">
      <c r="B57" s="534"/>
      <c r="C57" s="534"/>
      <c r="D57" s="534"/>
      <c r="E57" s="534"/>
      <c r="F57" s="534"/>
      <c r="G57" s="534"/>
      <c r="H57" s="534"/>
      <c r="I57" s="534"/>
    </row>
    <row r="58" spans="2:9" ht="15.5" x14ac:dyDescent="0.35">
      <c r="B58" s="535" t="s">
        <v>334</v>
      </c>
      <c r="C58" s="533"/>
      <c r="D58" s="533"/>
      <c r="E58" s="533"/>
      <c r="F58" s="533"/>
      <c r="G58" s="534"/>
      <c r="H58" s="534"/>
      <c r="I58" s="534"/>
    </row>
    <row r="59" spans="2:9" ht="15.5" x14ac:dyDescent="0.35">
      <c r="B59" s="533"/>
      <c r="C59" s="533"/>
      <c r="D59" s="533"/>
      <c r="E59" s="533"/>
      <c r="F59" s="533"/>
      <c r="G59" s="534"/>
      <c r="H59" s="534"/>
      <c r="I59" s="534"/>
    </row>
    <row r="60" spans="2:9" ht="15.5" x14ac:dyDescent="0.35">
      <c r="B60" s="533" t="s">
        <v>335</v>
      </c>
      <c r="C60" s="533"/>
      <c r="D60" s="533"/>
      <c r="E60" s="533"/>
      <c r="F60" s="533"/>
      <c r="G60" s="534"/>
      <c r="H60" s="534"/>
      <c r="I60" s="534"/>
    </row>
    <row r="61" spans="2:9" ht="15.5" x14ac:dyDescent="0.35">
      <c r="B61" s="533" t="s">
        <v>336</v>
      </c>
      <c r="C61" s="533"/>
      <c r="D61" s="533"/>
      <c r="E61" s="533"/>
      <c r="F61" s="533"/>
      <c r="G61" s="534"/>
      <c r="H61" s="534"/>
      <c r="I61" s="534"/>
    </row>
    <row r="62" spans="2:9" ht="15.5" x14ac:dyDescent="0.35">
      <c r="B62" s="533" t="s">
        <v>337</v>
      </c>
      <c r="C62" s="533"/>
      <c r="D62" s="533"/>
      <c r="E62" s="533"/>
      <c r="F62" s="533"/>
      <c r="G62" s="534"/>
      <c r="H62" s="534"/>
      <c r="I62" s="534"/>
    </row>
    <row r="63" spans="2:9" ht="15.5" x14ac:dyDescent="0.35">
      <c r="B63" s="533" t="s">
        <v>338</v>
      </c>
      <c r="C63" s="533"/>
      <c r="D63" s="533"/>
      <c r="E63" s="533"/>
      <c r="F63" s="533"/>
      <c r="G63" s="534"/>
      <c r="H63" s="534"/>
      <c r="I63" s="534"/>
    </row>
    <row r="64" spans="2:9" x14ac:dyDescent="0.25">
      <c r="B64" s="536"/>
      <c r="C64" s="536"/>
      <c r="D64" s="536"/>
      <c r="E64" s="536"/>
      <c r="F64" s="536"/>
      <c r="G64" s="534"/>
      <c r="H64" s="534"/>
      <c r="I64" s="534"/>
    </row>
    <row r="65" spans="2:9" ht="15.5" x14ac:dyDescent="0.35">
      <c r="B65" s="533" t="s">
        <v>339</v>
      </c>
      <c r="C65" s="536"/>
      <c r="D65" s="536"/>
      <c r="E65" s="536"/>
      <c r="F65" s="536"/>
      <c r="G65" s="534"/>
      <c r="H65" s="534"/>
      <c r="I65" s="534"/>
    </row>
    <row r="66" spans="2:9" ht="15.5" x14ac:dyDescent="0.35">
      <c r="B66" s="533" t="s">
        <v>340</v>
      </c>
      <c r="C66" s="536"/>
      <c r="D66" s="536"/>
      <c r="E66" s="536"/>
      <c r="F66" s="536"/>
      <c r="G66" s="534"/>
      <c r="H66" s="534"/>
      <c r="I66" s="534"/>
    </row>
    <row r="67" spans="2:9" x14ac:dyDescent="0.25">
      <c r="B67" s="536"/>
      <c r="C67" s="536"/>
      <c r="D67" s="536"/>
      <c r="E67" s="536"/>
      <c r="F67" s="536"/>
      <c r="G67" s="534"/>
      <c r="H67" s="534"/>
      <c r="I67" s="534"/>
    </row>
    <row r="68" spans="2:9" ht="15.5" x14ac:dyDescent="0.35">
      <c r="B68" s="533" t="s">
        <v>341</v>
      </c>
      <c r="C68" s="536"/>
      <c r="D68" s="536"/>
      <c r="E68" s="536"/>
      <c r="F68" s="536"/>
      <c r="G68" s="534"/>
      <c r="H68" s="534"/>
      <c r="I68" s="534"/>
    </row>
    <row r="69" spans="2:9" ht="15.5" x14ac:dyDescent="0.35">
      <c r="B69" s="533" t="s">
        <v>342</v>
      </c>
      <c r="C69" s="536"/>
      <c r="D69" s="536"/>
      <c r="E69" s="536"/>
      <c r="F69" s="536"/>
      <c r="G69" s="534"/>
      <c r="H69" s="534"/>
      <c r="I69" s="534"/>
    </row>
    <row r="70" spans="2:9" x14ac:dyDescent="0.25">
      <c r="B70" s="536"/>
      <c r="C70" s="536"/>
      <c r="D70" s="536"/>
      <c r="E70" s="536"/>
      <c r="F70" s="536"/>
      <c r="G70" s="534"/>
      <c r="H70" s="534"/>
      <c r="I70" s="534"/>
    </row>
    <row r="71" spans="2:9" ht="15" x14ac:dyDescent="0.3">
      <c r="B71" s="535" t="s">
        <v>343</v>
      </c>
      <c r="C71" s="536"/>
      <c r="D71" s="536"/>
      <c r="E71" s="536"/>
      <c r="F71" s="536"/>
      <c r="G71" s="534"/>
      <c r="H71" s="534"/>
      <c r="I71" s="534"/>
    </row>
    <row r="72" spans="2:9" x14ac:dyDescent="0.25">
      <c r="B72" s="536"/>
      <c r="C72" s="536"/>
      <c r="D72" s="536"/>
      <c r="E72" s="536"/>
      <c r="F72" s="536"/>
      <c r="G72" s="534"/>
      <c r="H72" s="534"/>
      <c r="I72" s="534"/>
    </row>
    <row r="73" spans="2:9" ht="15.5" x14ac:dyDescent="0.35">
      <c r="B73" s="533" t="s">
        <v>344</v>
      </c>
      <c r="C73" s="536"/>
      <c r="D73" s="536"/>
      <c r="E73" s="536"/>
      <c r="F73" s="536"/>
      <c r="G73" s="534"/>
      <c r="H73" s="534"/>
      <c r="I73" s="534"/>
    </row>
    <row r="74" spans="2:9" ht="15.5" x14ac:dyDescent="0.35">
      <c r="B74" s="533" t="s">
        <v>345</v>
      </c>
      <c r="C74" s="536"/>
      <c r="D74" s="536"/>
      <c r="E74" s="536"/>
      <c r="F74" s="536"/>
      <c r="G74" s="534"/>
      <c r="H74" s="534"/>
      <c r="I74" s="534"/>
    </row>
    <row r="75" spans="2:9" x14ac:dyDescent="0.25">
      <c r="B75" s="536"/>
      <c r="C75" s="536"/>
      <c r="D75" s="536"/>
      <c r="E75" s="536"/>
      <c r="F75" s="536"/>
      <c r="G75" s="534"/>
      <c r="H75" s="534"/>
      <c r="I75" s="534"/>
    </row>
    <row r="76" spans="2:9" ht="15" x14ac:dyDescent="0.3">
      <c r="B76" s="535" t="s">
        <v>346</v>
      </c>
      <c r="C76" s="536"/>
      <c r="D76" s="536"/>
      <c r="E76" s="536"/>
      <c r="F76" s="536"/>
      <c r="G76" s="534"/>
      <c r="H76" s="534"/>
      <c r="I76" s="534"/>
    </row>
    <row r="77" spans="2:9" x14ac:dyDescent="0.25">
      <c r="B77" s="536"/>
      <c r="C77" s="536"/>
      <c r="D77" s="536"/>
      <c r="E77" s="536"/>
      <c r="F77" s="536"/>
      <c r="G77" s="534"/>
      <c r="H77" s="534"/>
      <c r="I77" s="534"/>
    </row>
    <row r="78" spans="2:9" ht="15.5" x14ac:dyDescent="0.35">
      <c r="B78" s="533" t="str">
        <f>CONCATENATE("If the ",G14," municipal budget has not been published and has not been submitted to the County")</f>
        <v>If the 2014 municipal budget has not been published and has not been submitted to the County</v>
      </c>
      <c r="C78" s="536"/>
      <c r="D78" s="536"/>
      <c r="E78" s="536"/>
      <c r="F78" s="536"/>
      <c r="G78" s="534"/>
      <c r="H78" s="534"/>
      <c r="I78" s="534"/>
    </row>
    <row r="79" spans="2:9" ht="15.5" x14ac:dyDescent="0.35">
      <c r="B79" s="533" t="s">
        <v>347</v>
      </c>
      <c r="C79" s="536"/>
      <c r="D79" s="536"/>
      <c r="E79" s="536"/>
      <c r="F79" s="536"/>
      <c r="G79" s="534"/>
      <c r="H79" s="534"/>
      <c r="I79" s="534"/>
    </row>
    <row r="80" spans="2:9" x14ac:dyDescent="0.25">
      <c r="B80" s="536"/>
      <c r="C80" s="536"/>
      <c r="D80" s="536"/>
      <c r="E80" s="536"/>
      <c r="F80" s="536"/>
      <c r="G80" s="534"/>
      <c r="H80" s="534"/>
      <c r="I80" s="534"/>
    </row>
    <row r="81" spans="2:9" ht="15" x14ac:dyDescent="0.3">
      <c r="B81" s="535" t="s">
        <v>258</v>
      </c>
      <c r="C81" s="536"/>
      <c r="D81" s="536"/>
      <c r="E81" s="536"/>
      <c r="F81" s="536"/>
      <c r="G81" s="534"/>
      <c r="H81" s="534"/>
      <c r="I81" s="534"/>
    </row>
    <row r="82" spans="2:9" x14ac:dyDescent="0.25">
      <c r="B82" s="536"/>
      <c r="C82" s="536"/>
      <c r="D82" s="536"/>
      <c r="E82" s="536"/>
      <c r="F82" s="536"/>
      <c r="G82" s="534"/>
      <c r="H82" s="534"/>
      <c r="I82" s="534"/>
    </row>
    <row r="83" spans="2:9" ht="15.5" x14ac:dyDescent="0.35">
      <c r="B83" s="533" t="s">
        <v>348</v>
      </c>
      <c r="C83" s="536"/>
      <c r="D83" s="536"/>
      <c r="E83" s="536"/>
      <c r="F83" s="536"/>
      <c r="G83" s="534"/>
      <c r="H83" s="534"/>
      <c r="I83" s="534"/>
    </row>
    <row r="84" spans="2:9" ht="15.5" x14ac:dyDescent="0.35">
      <c r="B84" s="533" t="str">
        <f>CONCATENATE("Budget Year ",G14," is equal to or greater than that for Current Year Estimate ",E14,".")</f>
        <v>Budget Year 2014 is equal to or greater than that for Current Year Estimate 2013.</v>
      </c>
      <c r="C84" s="536"/>
      <c r="D84" s="536"/>
      <c r="E84" s="536"/>
      <c r="F84" s="536"/>
      <c r="G84" s="534"/>
      <c r="H84" s="534"/>
      <c r="I84" s="534"/>
    </row>
    <row r="85" spans="2:9" x14ac:dyDescent="0.25">
      <c r="B85" s="536"/>
      <c r="C85" s="536"/>
      <c r="D85" s="536"/>
      <c r="E85" s="536"/>
      <c r="F85" s="536"/>
      <c r="G85" s="534"/>
      <c r="H85" s="534"/>
      <c r="I85" s="534"/>
    </row>
    <row r="86" spans="2:9" ht="15.5" x14ac:dyDescent="0.35">
      <c r="B86" s="533" t="s">
        <v>349</v>
      </c>
      <c r="C86" s="536"/>
      <c r="D86" s="536"/>
      <c r="E86" s="536"/>
      <c r="F86" s="536"/>
      <c r="G86" s="534"/>
      <c r="H86" s="534"/>
      <c r="I86" s="534"/>
    </row>
    <row r="87" spans="2:9" ht="15.5" x14ac:dyDescent="0.35">
      <c r="B87" s="533" t="s">
        <v>350</v>
      </c>
      <c r="C87" s="536"/>
      <c r="D87" s="536"/>
      <c r="E87" s="536"/>
      <c r="F87" s="536"/>
      <c r="G87" s="534"/>
      <c r="H87" s="534"/>
      <c r="I87" s="534"/>
    </row>
    <row r="88" spans="2:9" ht="15.5" x14ac:dyDescent="0.35">
      <c r="B88" s="533" t="s">
        <v>351</v>
      </c>
      <c r="C88" s="536"/>
      <c r="D88" s="536"/>
      <c r="E88" s="536"/>
      <c r="F88" s="536"/>
      <c r="G88" s="534"/>
      <c r="H88" s="534"/>
      <c r="I88" s="534"/>
    </row>
    <row r="89" spans="2:9" ht="15.5" x14ac:dyDescent="0.35">
      <c r="B89" s="533" t="str">
        <f>CONCATENATE("purpose for the previous (",E14,") year.")</f>
        <v>purpose for the previous (2013) year.</v>
      </c>
      <c r="C89" s="536"/>
      <c r="D89" s="536"/>
      <c r="E89" s="536"/>
      <c r="F89" s="536"/>
      <c r="G89" s="534"/>
      <c r="H89" s="534"/>
      <c r="I89" s="534"/>
    </row>
    <row r="90" spans="2:9" x14ac:dyDescent="0.25">
      <c r="B90" s="536"/>
      <c r="C90" s="536"/>
      <c r="D90" s="536"/>
      <c r="E90" s="536"/>
      <c r="F90" s="536"/>
      <c r="G90" s="534"/>
      <c r="H90" s="534"/>
      <c r="I90" s="534"/>
    </row>
    <row r="91" spans="2:9" ht="15.5" x14ac:dyDescent="0.35">
      <c r="B91" s="533" t="str">
        <f>CONCATENATE("Next, look to see if delinquent tax for ",G14," is budgeted. Often this line is budgeted at $0 or left")</f>
        <v>Next, look to see if delinquent tax for 2014 is budgeted. Often this line is budgeted at $0 or left</v>
      </c>
      <c r="C91" s="536"/>
      <c r="D91" s="536"/>
      <c r="E91" s="536"/>
      <c r="F91" s="536"/>
      <c r="G91" s="534"/>
      <c r="H91" s="534"/>
      <c r="I91" s="534"/>
    </row>
    <row r="92" spans="2:9" ht="15.5" x14ac:dyDescent="0.35">
      <c r="B92" s="533" t="s">
        <v>352</v>
      </c>
      <c r="C92" s="536"/>
      <c r="D92" s="536"/>
      <c r="E92" s="536"/>
      <c r="F92" s="536"/>
      <c r="G92" s="534"/>
      <c r="H92" s="534"/>
      <c r="I92" s="534"/>
    </row>
    <row r="93" spans="2:9" ht="15.5" x14ac:dyDescent="0.35">
      <c r="B93" s="533" t="s">
        <v>353</v>
      </c>
      <c r="C93" s="536"/>
      <c r="D93" s="536"/>
      <c r="E93" s="536"/>
      <c r="F93" s="536"/>
      <c r="G93" s="534"/>
      <c r="H93" s="534"/>
      <c r="I93" s="534"/>
    </row>
    <row r="94" spans="2:9" ht="15.5" x14ac:dyDescent="0.35">
      <c r="B94" s="533" t="s">
        <v>354</v>
      </c>
      <c r="C94" s="536"/>
      <c r="D94" s="536"/>
      <c r="E94" s="536"/>
      <c r="F94" s="536"/>
      <c r="G94" s="534"/>
      <c r="H94" s="534"/>
      <c r="I94" s="534"/>
    </row>
    <row r="95" spans="2:9" x14ac:dyDescent="0.25">
      <c r="B95" s="536"/>
      <c r="C95" s="536"/>
      <c r="D95" s="536"/>
      <c r="E95" s="536"/>
      <c r="F95" s="536"/>
      <c r="G95" s="534"/>
      <c r="H95" s="534"/>
      <c r="I95" s="534"/>
    </row>
    <row r="96" spans="2:9" ht="15" x14ac:dyDescent="0.3">
      <c r="B96" s="535" t="s">
        <v>355</v>
      </c>
      <c r="C96" s="536"/>
      <c r="D96" s="536"/>
      <c r="E96" s="536"/>
      <c r="F96" s="536"/>
      <c r="G96" s="534"/>
      <c r="H96" s="534"/>
      <c r="I96" s="534"/>
    </row>
    <row r="97" spans="2:9" x14ac:dyDescent="0.25">
      <c r="B97" s="536"/>
      <c r="C97" s="536"/>
      <c r="D97" s="536"/>
      <c r="E97" s="536"/>
      <c r="F97" s="536"/>
      <c r="G97" s="534"/>
      <c r="H97" s="534"/>
      <c r="I97" s="534"/>
    </row>
    <row r="98" spans="2:9" ht="15.5" x14ac:dyDescent="0.35">
      <c r="B98" s="533" t="s">
        <v>356</v>
      </c>
      <c r="C98" s="536"/>
      <c r="D98" s="536"/>
      <c r="E98" s="536"/>
      <c r="F98" s="536"/>
      <c r="G98" s="534"/>
      <c r="H98" s="534"/>
      <c r="I98" s="534"/>
    </row>
    <row r="99" spans="2:9" ht="15.5" x14ac:dyDescent="0.35">
      <c r="B99" s="533" t="s">
        <v>357</v>
      </c>
      <c r="C99" s="536"/>
      <c r="D99" s="536"/>
      <c r="E99" s="536"/>
      <c r="F99" s="536"/>
      <c r="G99" s="534"/>
      <c r="H99" s="534"/>
      <c r="I99" s="534"/>
    </row>
    <row r="100" spans="2:9" x14ac:dyDescent="0.25">
      <c r="B100" s="536"/>
      <c r="C100" s="536"/>
      <c r="D100" s="536"/>
      <c r="E100" s="536"/>
      <c r="F100" s="536"/>
      <c r="G100" s="534"/>
      <c r="H100" s="534"/>
      <c r="I100" s="534"/>
    </row>
    <row r="101" spans="2:9" ht="15.5" x14ac:dyDescent="0.35">
      <c r="B101" s="533" t="s">
        <v>358</v>
      </c>
      <c r="C101" s="536"/>
      <c r="D101" s="536"/>
      <c r="E101" s="536"/>
      <c r="F101" s="536"/>
      <c r="G101" s="534"/>
      <c r="H101" s="534"/>
      <c r="I101" s="534"/>
    </row>
    <row r="102" spans="2:9" ht="15.5" x14ac:dyDescent="0.35">
      <c r="B102" s="533" t="s">
        <v>359</v>
      </c>
      <c r="C102" s="536"/>
      <c r="D102" s="536"/>
      <c r="E102" s="536"/>
      <c r="F102" s="536"/>
      <c r="G102" s="534"/>
      <c r="H102" s="534"/>
      <c r="I102" s="534"/>
    </row>
    <row r="103" spans="2:9" ht="15.5" x14ac:dyDescent="0.35">
      <c r="B103" s="533" t="s">
        <v>360</v>
      </c>
      <c r="C103" s="536"/>
      <c r="D103" s="536"/>
      <c r="E103" s="536"/>
      <c r="F103" s="536"/>
      <c r="G103" s="534"/>
      <c r="H103" s="534"/>
      <c r="I103" s="534"/>
    </row>
    <row r="104" spans="2:9" ht="15.5" x14ac:dyDescent="0.35">
      <c r="B104" s="533" t="s">
        <v>361</v>
      </c>
      <c r="C104" s="536"/>
      <c r="D104" s="536"/>
      <c r="E104" s="536"/>
      <c r="F104" s="536"/>
      <c r="G104" s="534"/>
      <c r="H104" s="534"/>
      <c r="I104" s="534"/>
    </row>
    <row r="105" spans="2:9" ht="14.5" x14ac:dyDescent="0.35">
      <c r="B105" s="559" t="s">
        <v>370</v>
      </c>
      <c r="C105" s="560"/>
      <c r="D105" s="560"/>
      <c r="E105" s="560"/>
      <c r="F105" s="560"/>
      <c r="G105" s="534"/>
      <c r="H105" s="534"/>
      <c r="I105" s="534"/>
    </row>
    <row r="108" spans="2:9" x14ac:dyDescent="0.25">
      <c r="G108" s="537"/>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2"/>
  <sheetViews>
    <sheetView topLeftCell="C7" zoomScaleNormal="100" zoomScaleSheetLayoutView="100" workbookViewId="0">
      <selection activeCell="E51" sqref="E51"/>
    </sheetView>
  </sheetViews>
  <sheetFormatPr defaultColWidth="8.9140625" defaultRowHeight="15.5" x14ac:dyDescent="0.25"/>
  <cols>
    <col min="1" max="1" width="2.4140625" style="30" customWidth="1"/>
    <col min="2" max="2" width="31.08203125" style="30" customWidth="1"/>
    <col min="3" max="4" width="15.6640625" style="30" customWidth="1"/>
    <col min="5" max="5" width="16.33203125" style="30" customWidth="1"/>
    <col min="6" max="6" width="6.9140625" style="30" customWidth="1"/>
    <col min="7" max="7" width="10.25" style="30" customWidth="1"/>
    <col min="8" max="8" width="8.9140625" style="30" customWidth="1"/>
    <col min="9" max="9" width="5" style="30" customWidth="1"/>
    <col min="10" max="10" width="10" style="30" customWidth="1"/>
    <col min="11" max="16384" width="8.9140625" style="30"/>
  </cols>
  <sheetData>
    <row r="1" spans="2:5" x14ac:dyDescent="0.25">
      <c r="B1" s="180" t="str">
        <f>inputPrYr!D2</f>
        <v>City of Eureka</v>
      </c>
      <c r="C1" s="32"/>
      <c r="D1" s="32"/>
      <c r="E1" s="229">
        <f>inputPrYr!C5</f>
        <v>2014</v>
      </c>
    </row>
    <row r="2" spans="2:5" x14ac:dyDescent="0.25">
      <c r="B2" s="32"/>
      <c r="C2" s="32"/>
      <c r="D2" s="32"/>
      <c r="E2" s="152"/>
    </row>
    <row r="3" spans="2:5" x14ac:dyDescent="0.25">
      <c r="B3" s="230"/>
      <c r="C3" s="32"/>
      <c r="D3" s="32"/>
      <c r="E3" s="119"/>
    </row>
    <row r="4" spans="2:5" x14ac:dyDescent="0.25">
      <c r="B4" s="339" t="s">
        <v>111</v>
      </c>
      <c r="C4" s="231"/>
      <c r="D4" s="231"/>
      <c r="E4" s="231"/>
    </row>
    <row r="5" spans="2:5" x14ac:dyDescent="0.25">
      <c r="B5" s="154" t="s">
        <v>50</v>
      </c>
      <c r="C5" s="544" t="s">
        <v>367</v>
      </c>
      <c r="D5" s="545" t="s">
        <v>368</v>
      </c>
      <c r="E5" s="127" t="s">
        <v>369</v>
      </c>
    </row>
    <row r="6" spans="2:5" x14ac:dyDescent="0.25">
      <c r="B6" s="407" t="str">
        <f>inputPrYr!B17</f>
        <v>General</v>
      </c>
      <c r="C6" s="206" t="str">
        <f>CONCATENATE("Actual for ",E1-2,"")</f>
        <v>Actual for 2012</v>
      </c>
      <c r="D6" s="206" t="str">
        <f>CONCATENATE("Estimate for ",E1-1,"")</f>
        <v>Estimate for 2013</v>
      </c>
      <c r="E6" s="191" t="str">
        <f>CONCATENATE("Year for ",E1,"")</f>
        <v>Year for 2014</v>
      </c>
    </row>
    <row r="7" spans="2:5" x14ac:dyDescent="0.25">
      <c r="B7" s="233" t="s">
        <v>165</v>
      </c>
      <c r="C7" s="234">
        <v>185385</v>
      </c>
      <c r="D7" s="235">
        <f>C111</f>
        <v>200986</v>
      </c>
      <c r="E7" s="209">
        <f>D111</f>
        <v>198977</v>
      </c>
    </row>
    <row r="8" spans="2:5" x14ac:dyDescent="0.25">
      <c r="B8" s="236" t="s">
        <v>167</v>
      </c>
      <c r="C8" s="142"/>
      <c r="D8" s="142"/>
      <c r="E8" s="70"/>
    </row>
    <row r="9" spans="2:5" x14ac:dyDescent="0.25">
      <c r="B9" s="233" t="s">
        <v>51</v>
      </c>
      <c r="C9" s="237">
        <v>390217</v>
      </c>
      <c r="D9" s="235">
        <f>IF(inputPrYr!H16&gt;0,inputPrYr!G17,inputPrYr!E17)</f>
        <v>409346</v>
      </c>
      <c r="E9" s="239" t="s">
        <v>39</v>
      </c>
    </row>
    <row r="10" spans="2:5" x14ac:dyDescent="0.25">
      <c r="B10" s="233" t="s">
        <v>52</v>
      </c>
      <c r="C10" s="237">
        <v>10433</v>
      </c>
      <c r="D10" s="237">
        <v>21545</v>
      </c>
      <c r="E10" s="240">
        <v>21545</v>
      </c>
    </row>
    <row r="11" spans="2:5" x14ac:dyDescent="0.25">
      <c r="B11" s="233" t="s">
        <v>53</v>
      </c>
      <c r="C11" s="237">
        <v>64886</v>
      </c>
      <c r="D11" s="237">
        <v>75315</v>
      </c>
      <c r="E11" s="209">
        <f>mvalloc!D7</f>
        <v>74814</v>
      </c>
    </row>
    <row r="12" spans="2:5" x14ac:dyDescent="0.25">
      <c r="B12" s="233" t="s">
        <v>54</v>
      </c>
      <c r="C12" s="237">
        <v>811</v>
      </c>
      <c r="D12" s="237">
        <v>908</v>
      </c>
      <c r="E12" s="209">
        <f>mvalloc!E7</f>
        <v>941</v>
      </c>
    </row>
    <row r="13" spans="2:5" x14ac:dyDescent="0.25">
      <c r="B13" s="233" t="s">
        <v>143</v>
      </c>
      <c r="C13" s="237">
        <v>896</v>
      </c>
      <c r="D13" s="237">
        <v>895</v>
      </c>
      <c r="E13" s="209">
        <f>mvalloc!F7</f>
        <v>731</v>
      </c>
    </row>
    <row r="14" spans="2:5" x14ac:dyDescent="0.25">
      <c r="B14" s="233" t="s">
        <v>422</v>
      </c>
      <c r="C14" s="237">
        <v>3</v>
      </c>
      <c r="D14" s="237">
        <v>2</v>
      </c>
      <c r="E14" s="237">
        <v>3</v>
      </c>
    </row>
    <row r="15" spans="2:5" x14ac:dyDescent="0.25">
      <c r="B15" s="233" t="s">
        <v>190</v>
      </c>
      <c r="C15" s="237"/>
      <c r="D15" s="237"/>
      <c r="E15" s="240"/>
    </row>
    <row r="16" spans="2:5" x14ac:dyDescent="0.25">
      <c r="B16" s="233" t="s">
        <v>191</v>
      </c>
      <c r="C16" s="237"/>
      <c r="D16" s="237"/>
      <c r="E16" s="240"/>
    </row>
    <row r="17" spans="2:5" x14ac:dyDescent="0.35">
      <c r="B17" s="577" t="s">
        <v>277</v>
      </c>
      <c r="C17" s="237">
        <v>162773</v>
      </c>
      <c r="D17" s="237">
        <v>162773</v>
      </c>
      <c r="E17" s="240">
        <v>162773</v>
      </c>
    </row>
    <row r="18" spans="2:5" x14ac:dyDescent="0.35">
      <c r="B18" s="578" t="s">
        <v>527</v>
      </c>
      <c r="C18" s="237">
        <v>0</v>
      </c>
      <c r="D18" s="237">
        <v>0</v>
      </c>
      <c r="E18" s="240">
        <v>80000</v>
      </c>
    </row>
    <row r="19" spans="2:5" x14ac:dyDescent="0.35">
      <c r="B19" s="579" t="s">
        <v>423</v>
      </c>
      <c r="C19" s="237">
        <v>1071</v>
      </c>
      <c r="D19" s="237">
        <v>3665</v>
      </c>
      <c r="E19" s="240">
        <v>3665</v>
      </c>
    </row>
    <row r="20" spans="2:5" x14ac:dyDescent="0.35">
      <c r="B20" s="579" t="s">
        <v>424</v>
      </c>
      <c r="C20" s="237">
        <v>12392</v>
      </c>
      <c r="D20" s="237">
        <v>12334</v>
      </c>
      <c r="E20" s="240">
        <v>12334</v>
      </c>
    </row>
    <row r="21" spans="2:5" x14ac:dyDescent="0.35">
      <c r="B21" s="579" t="s">
        <v>425</v>
      </c>
      <c r="C21" s="237">
        <v>5389</v>
      </c>
      <c r="D21" s="237">
        <v>4104</v>
      </c>
      <c r="E21" s="240">
        <v>5388</v>
      </c>
    </row>
    <row r="22" spans="2:5" x14ac:dyDescent="0.35">
      <c r="B22" s="579" t="s">
        <v>426</v>
      </c>
      <c r="C22" s="237">
        <v>1025</v>
      </c>
      <c r="D22" s="237">
        <v>1025</v>
      </c>
      <c r="E22" s="240">
        <v>1025</v>
      </c>
    </row>
    <row r="23" spans="2:5" x14ac:dyDescent="0.35">
      <c r="B23" s="579" t="s">
        <v>427</v>
      </c>
      <c r="C23" s="237">
        <v>2809</v>
      </c>
      <c r="D23" s="237">
        <v>2809</v>
      </c>
      <c r="E23" s="240">
        <v>2809</v>
      </c>
    </row>
    <row r="24" spans="2:5" x14ac:dyDescent="0.35">
      <c r="B24" s="579" t="s">
        <v>428</v>
      </c>
      <c r="C24" s="237">
        <v>450</v>
      </c>
      <c r="D24" s="237">
        <v>900</v>
      </c>
      <c r="E24" s="240">
        <v>900</v>
      </c>
    </row>
    <row r="25" spans="2:5" x14ac:dyDescent="0.35">
      <c r="B25" s="579" t="s">
        <v>526</v>
      </c>
      <c r="C25" s="237">
        <v>0</v>
      </c>
      <c r="D25" s="237">
        <v>0</v>
      </c>
      <c r="E25" s="240">
        <v>180000</v>
      </c>
    </row>
    <row r="26" spans="2:5" x14ac:dyDescent="0.35">
      <c r="B26" s="579" t="s">
        <v>429</v>
      </c>
      <c r="C26" s="237">
        <v>170230</v>
      </c>
      <c r="D26" s="237">
        <v>0</v>
      </c>
      <c r="E26" s="240">
        <v>0</v>
      </c>
    </row>
    <row r="27" spans="2:5" x14ac:dyDescent="0.25">
      <c r="B27" s="234" t="s">
        <v>524</v>
      </c>
      <c r="C27" s="237">
        <v>0</v>
      </c>
      <c r="D27" s="237">
        <v>155700</v>
      </c>
      <c r="E27" s="240">
        <v>0</v>
      </c>
    </row>
    <row r="28" spans="2:5" x14ac:dyDescent="0.35">
      <c r="B28" s="579" t="s">
        <v>430</v>
      </c>
      <c r="C28" s="237">
        <v>16951</v>
      </c>
      <c r="D28" s="237">
        <v>20000</v>
      </c>
      <c r="E28" s="240">
        <v>20000</v>
      </c>
    </row>
    <row r="29" spans="2:5" x14ac:dyDescent="0.35">
      <c r="B29" s="579" t="s">
        <v>431</v>
      </c>
      <c r="C29" s="237"/>
      <c r="D29" s="237"/>
      <c r="E29" s="240"/>
    </row>
    <row r="30" spans="2:5" x14ac:dyDescent="0.35">
      <c r="B30" s="579" t="s">
        <v>522</v>
      </c>
      <c r="C30" s="237">
        <v>12581</v>
      </c>
      <c r="D30" s="237">
        <v>8000</v>
      </c>
      <c r="E30" s="240">
        <v>8000</v>
      </c>
    </row>
    <row r="31" spans="2:5" x14ac:dyDescent="0.35">
      <c r="B31" s="579" t="s">
        <v>523</v>
      </c>
      <c r="C31" s="237">
        <v>8760</v>
      </c>
      <c r="D31" s="237">
        <v>6000</v>
      </c>
      <c r="E31" s="240">
        <v>6000</v>
      </c>
    </row>
    <row r="32" spans="2:5" x14ac:dyDescent="0.35">
      <c r="B32" s="579" t="s">
        <v>432</v>
      </c>
      <c r="C32" s="237">
        <v>7920</v>
      </c>
      <c r="D32" s="237">
        <v>0</v>
      </c>
      <c r="E32" s="240">
        <v>0</v>
      </c>
    </row>
    <row r="33" spans="2:5" x14ac:dyDescent="0.35">
      <c r="B33" s="579" t="s">
        <v>433</v>
      </c>
      <c r="C33" s="237">
        <v>27896</v>
      </c>
      <c r="D33" s="237">
        <v>30000</v>
      </c>
      <c r="E33" s="240">
        <v>30000</v>
      </c>
    </row>
    <row r="34" spans="2:5" x14ac:dyDescent="0.35">
      <c r="B34" s="579" t="s">
        <v>434</v>
      </c>
      <c r="C34" s="237">
        <v>4572</v>
      </c>
      <c r="D34" s="237">
        <v>5000</v>
      </c>
      <c r="E34" s="240">
        <v>5000</v>
      </c>
    </row>
    <row r="35" spans="2:5" x14ac:dyDescent="0.35">
      <c r="B35" s="579" t="s">
        <v>435</v>
      </c>
      <c r="C35" s="237">
        <v>235</v>
      </c>
      <c r="D35" s="237">
        <v>310</v>
      </c>
      <c r="E35" s="240">
        <v>310</v>
      </c>
    </row>
    <row r="36" spans="2:5" x14ac:dyDescent="0.25">
      <c r="B36" s="234" t="s">
        <v>436</v>
      </c>
      <c r="C36" s="237">
        <v>104867</v>
      </c>
      <c r="D36" s="237">
        <v>105667</v>
      </c>
      <c r="E36" s="240">
        <f>105667+13000</f>
        <v>118667</v>
      </c>
    </row>
    <row r="37" spans="2:5" x14ac:dyDescent="0.25">
      <c r="B37" s="234" t="s">
        <v>437</v>
      </c>
      <c r="C37" s="237">
        <v>3920</v>
      </c>
      <c r="D37" s="237">
        <v>3107</v>
      </c>
      <c r="E37" s="240">
        <v>3107</v>
      </c>
    </row>
    <row r="38" spans="2:5" x14ac:dyDescent="0.25">
      <c r="B38" s="234" t="s">
        <v>438</v>
      </c>
      <c r="C38" s="237">
        <v>17577</v>
      </c>
      <c r="D38" s="237">
        <v>8705</v>
      </c>
      <c r="E38" s="240">
        <v>8705</v>
      </c>
    </row>
    <row r="39" spans="2:5" x14ac:dyDescent="0.25">
      <c r="B39" s="234" t="s">
        <v>439</v>
      </c>
      <c r="C39" s="237">
        <v>4984</v>
      </c>
      <c r="D39" s="237">
        <v>4000</v>
      </c>
      <c r="E39" s="240">
        <v>4000</v>
      </c>
    </row>
    <row r="40" spans="2:5" x14ac:dyDescent="0.25">
      <c r="B40" s="234" t="s">
        <v>525</v>
      </c>
      <c r="C40" s="237">
        <v>0</v>
      </c>
      <c r="D40" s="237">
        <v>40000</v>
      </c>
      <c r="E40" s="240">
        <v>0</v>
      </c>
    </row>
    <row r="41" spans="2:5" x14ac:dyDescent="0.25">
      <c r="B41" s="234" t="s">
        <v>440</v>
      </c>
      <c r="C41" s="237">
        <v>5150</v>
      </c>
      <c r="D41" s="237">
        <v>3371</v>
      </c>
      <c r="E41" s="240">
        <v>3371</v>
      </c>
    </row>
    <row r="42" spans="2:5" x14ac:dyDescent="0.25">
      <c r="B42" s="234" t="s">
        <v>441</v>
      </c>
      <c r="C42" s="237">
        <v>763</v>
      </c>
      <c r="D42" s="237">
        <v>700</v>
      </c>
      <c r="E42" s="240">
        <v>700</v>
      </c>
    </row>
    <row r="43" spans="2:5" x14ac:dyDescent="0.25">
      <c r="B43" s="234" t="s">
        <v>442</v>
      </c>
      <c r="C43" s="237">
        <v>2050</v>
      </c>
      <c r="D43" s="237">
        <v>2050</v>
      </c>
      <c r="E43" s="240">
        <v>2050</v>
      </c>
    </row>
    <row r="44" spans="2:5" x14ac:dyDescent="0.25">
      <c r="B44" s="234" t="s">
        <v>443</v>
      </c>
      <c r="C44" s="237">
        <v>3238</v>
      </c>
      <c r="D44" s="237">
        <v>3541</v>
      </c>
      <c r="E44" s="240">
        <v>3541</v>
      </c>
    </row>
    <row r="45" spans="2:5" x14ac:dyDescent="0.25">
      <c r="B45" s="234" t="s">
        <v>444</v>
      </c>
      <c r="C45" s="237">
        <v>125</v>
      </c>
      <c r="D45" s="237">
        <v>142</v>
      </c>
      <c r="E45" s="240">
        <v>142</v>
      </c>
    </row>
    <row r="46" spans="2:5" x14ac:dyDescent="0.25">
      <c r="B46" s="234" t="s">
        <v>445</v>
      </c>
      <c r="C46" s="237">
        <v>15488</v>
      </c>
      <c r="D46" s="237">
        <v>11071</v>
      </c>
      <c r="E46" s="240">
        <v>11071</v>
      </c>
    </row>
    <row r="47" spans="2:5" x14ac:dyDescent="0.25">
      <c r="B47" s="234"/>
      <c r="C47" s="237"/>
      <c r="D47" s="237"/>
      <c r="E47" s="240"/>
    </row>
    <row r="48" spans="2:5" x14ac:dyDescent="0.25">
      <c r="B48" s="234" t="s">
        <v>446</v>
      </c>
      <c r="C48" s="237"/>
      <c r="D48" s="237"/>
      <c r="E48" s="240"/>
    </row>
    <row r="49" spans="2:5" x14ac:dyDescent="0.25">
      <c r="B49" s="234" t="s">
        <v>447</v>
      </c>
      <c r="C49" s="237">
        <v>360000</v>
      </c>
      <c r="D49" s="237">
        <v>360000</v>
      </c>
      <c r="E49" s="240">
        <v>360000</v>
      </c>
    </row>
    <row r="50" spans="2:5" x14ac:dyDescent="0.25">
      <c r="B50" s="234" t="s">
        <v>448</v>
      </c>
      <c r="C50" s="237">
        <v>20000</v>
      </c>
      <c r="D50" s="237">
        <v>0</v>
      </c>
      <c r="E50" s="240">
        <v>0</v>
      </c>
    </row>
    <row r="51" spans="2:5" x14ac:dyDescent="0.25">
      <c r="B51" s="234" t="s">
        <v>545</v>
      </c>
      <c r="C51" s="237">
        <v>0</v>
      </c>
      <c r="D51" s="237">
        <v>40000</v>
      </c>
      <c r="E51" s="240">
        <v>0</v>
      </c>
    </row>
    <row r="52" spans="2:5" x14ac:dyDescent="0.25">
      <c r="B52" s="234" t="s">
        <v>55</v>
      </c>
      <c r="C52" s="237"/>
      <c r="D52" s="237"/>
      <c r="E52" s="240"/>
    </row>
    <row r="53" spans="2:5" x14ac:dyDescent="0.25">
      <c r="B53" s="241" t="s">
        <v>56</v>
      </c>
      <c r="C53" s="237">
        <v>831</v>
      </c>
      <c r="D53" s="237">
        <v>893</v>
      </c>
      <c r="E53" s="240">
        <v>893</v>
      </c>
    </row>
    <row r="54" spans="2:5" x14ac:dyDescent="0.25">
      <c r="B54" s="142" t="s">
        <v>9</v>
      </c>
      <c r="C54" s="237">
        <v>14914</v>
      </c>
      <c r="D54" s="237">
        <v>5116</v>
      </c>
      <c r="E54" s="240">
        <v>5116</v>
      </c>
    </row>
    <row r="55" spans="2:5" x14ac:dyDescent="0.25">
      <c r="B55" s="233" t="s">
        <v>281</v>
      </c>
      <c r="C55" s="242" t="str">
        <f>IF(C56*0.1&lt;C54,"Exceed 10% Rule","")</f>
        <v/>
      </c>
      <c r="D55" s="242" t="str">
        <f>IF(D56*0.1&lt;D54,"Exceed 10% Rule","")</f>
        <v/>
      </c>
      <c r="E55" s="270" t="str">
        <f>IF(E56*0.1+E117&lt;E54,"Exceed 10% Rule","")</f>
        <v/>
      </c>
    </row>
    <row r="56" spans="2:5" x14ac:dyDescent="0.25">
      <c r="B56" s="244" t="s">
        <v>57</v>
      </c>
      <c r="C56" s="246">
        <f>SUM(C9:C54)</f>
        <v>1456207</v>
      </c>
      <c r="D56" s="246">
        <f>SUM(D9:D54)</f>
        <v>1508994</v>
      </c>
      <c r="E56" s="247">
        <f>SUM(E10:E54)</f>
        <v>1137601</v>
      </c>
    </row>
    <row r="57" spans="2:5" x14ac:dyDescent="0.25">
      <c r="B57" s="244" t="s">
        <v>58</v>
      </c>
      <c r="C57" s="246">
        <f>C7+C56</f>
        <v>1641592</v>
      </c>
      <c r="D57" s="246">
        <f>D7+D56</f>
        <v>1709980</v>
      </c>
      <c r="E57" s="247">
        <f>E7+E56</f>
        <v>1336578</v>
      </c>
    </row>
    <row r="58" spans="2:5" x14ac:dyDescent="0.25">
      <c r="B58" s="612" t="s">
        <v>375</v>
      </c>
      <c r="C58" s="594"/>
      <c r="D58" s="594"/>
      <c r="E58" s="594"/>
    </row>
    <row r="59" spans="2:5" x14ac:dyDescent="0.25">
      <c r="B59" s="119" t="s">
        <v>66</v>
      </c>
      <c r="C59" s="154">
        <f>IF(inputPrYr!D19&gt;0,8,7)</f>
        <v>8</v>
      </c>
      <c r="D59" s="155"/>
      <c r="E59" s="155"/>
    </row>
    <row r="60" spans="2:5" x14ac:dyDescent="0.25">
      <c r="B60" s="155"/>
      <c r="C60" s="155"/>
      <c r="D60" s="155"/>
      <c r="E60" s="155"/>
    </row>
    <row r="61" spans="2:5" x14ac:dyDescent="0.25">
      <c r="B61" s="180" t="str">
        <f>inputPrYr!D2</f>
        <v>City of Eureka</v>
      </c>
      <c r="C61" s="32"/>
      <c r="D61" s="32"/>
      <c r="E61" s="152"/>
    </row>
    <row r="62" spans="2:5" x14ac:dyDescent="0.25">
      <c r="B62" s="32"/>
      <c r="C62" s="32"/>
      <c r="D62" s="32"/>
      <c r="E62" s="119"/>
    </row>
    <row r="63" spans="2:5" x14ac:dyDescent="0.25">
      <c r="B63" s="248" t="s">
        <v>110</v>
      </c>
      <c r="C63" s="202"/>
      <c r="D63" s="202"/>
      <c r="E63" s="202"/>
    </row>
    <row r="64" spans="2:5" x14ac:dyDescent="0.25">
      <c r="B64" s="32" t="s">
        <v>50</v>
      </c>
      <c r="C64" s="544" t="s">
        <v>367</v>
      </c>
      <c r="D64" s="545" t="s">
        <v>368</v>
      </c>
      <c r="E64" s="127" t="s">
        <v>369</v>
      </c>
    </row>
    <row r="65" spans="2:6" x14ac:dyDescent="0.25">
      <c r="B65" s="60" t="str">
        <f>inputPrYr!B17</f>
        <v>General</v>
      </c>
      <c r="C65" s="206" t="str">
        <f>CONCATENATE("Actual for ",E1-2,"")</f>
        <v>Actual for 2012</v>
      </c>
      <c r="D65" s="206" t="str">
        <f>CONCATENATE("Estimate for ",E1-1,"")</f>
        <v>Estimate for 2013</v>
      </c>
      <c r="E65" s="191" t="str">
        <f>CONCATENATE("Year for ",E1,"")</f>
        <v>Year for 2014</v>
      </c>
    </row>
    <row r="66" spans="2:6" x14ac:dyDescent="0.25">
      <c r="B66" s="249" t="s">
        <v>58</v>
      </c>
      <c r="C66" s="235">
        <f>C57</f>
        <v>1641592</v>
      </c>
      <c r="D66" s="235">
        <f>D57</f>
        <v>1709980</v>
      </c>
      <c r="E66" s="209">
        <f>E57</f>
        <v>1336578</v>
      </c>
    </row>
    <row r="67" spans="2:6" x14ac:dyDescent="0.25">
      <c r="B67" s="236" t="s">
        <v>60</v>
      </c>
      <c r="C67" s="142"/>
      <c r="D67" s="142"/>
      <c r="E67" s="70"/>
    </row>
    <row r="68" spans="2:6" x14ac:dyDescent="0.25">
      <c r="B68" s="233" t="str">
        <f>GenDetail!A5</f>
        <v>General Administration</v>
      </c>
      <c r="C68" s="250">
        <f>GenDetail!B11</f>
        <v>312175</v>
      </c>
      <c r="D68" s="250">
        <f>GenDetail!C11</f>
        <v>319149</v>
      </c>
      <c r="E68" s="65">
        <f>GenDetail!D11</f>
        <v>336217</v>
      </c>
      <c r="F68" s="251"/>
    </row>
    <row r="69" spans="2:6" x14ac:dyDescent="0.25">
      <c r="B69" s="233" t="str">
        <f>GenDetail!A12</f>
        <v xml:space="preserve">Street and Alley </v>
      </c>
      <c r="C69" s="250">
        <f>GenDetail!B22</f>
        <v>406621</v>
      </c>
      <c r="D69" s="250">
        <f>GenDetail!C22</f>
        <v>410895</v>
      </c>
      <c r="E69" s="65">
        <f>GenDetail!D22</f>
        <v>526445</v>
      </c>
      <c r="F69" s="251"/>
    </row>
    <row r="70" spans="2:6" x14ac:dyDescent="0.25">
      <c r="B70" s="233" t="str">
        <f>GenDetail!A23</f>
        <v>Community Building Department</v>
      </c>
      <c r="C70" s="250">
        <f>GenDetail!B30</f>
        <v>11249</v>
      </c>
      <c r="D70" s="250">
        <f>GenDetail!C30</f>
        <v>18807</v>
      </c>
      <c r="E70" s="65">
        <f>GenDetail!D30</f>
        <v>22765</v>
      </c>
    </row>
    <row r="71" spans="2:6" x14ac:dyDescent="0.25">
      <c r="B71" s="233" t="str">
        <f>GenDetail!A31</f>
        <v>Industrial Development Department</v>
      </c>
      <c r="C71" s="250">
        <f>GenDetail!B33</f>
        <v>10259</v>
      </c>
      <c r="D71" s="250">
        <f>GenDetail!C33</f>
        <v>13</v>
      </c>
      <c r="E71" s="65">
        <f>GenDetail!D33</f>
        <v>5000</v>
      </c>
    </row>
    <row r="72" spans="2:6" x14ac:dyDescent="0.25">
      <c r="B72" s="233" t="str">
        <f>GenDetail!A34</f>
        <v>Lakes and Park Department</v>
      </c>
      <c r="C72" s="250">
        <f>GenDetail!B44</f>
        <v>80537</v>
      </c>
      <c r="D72" s="250">
        <f>GenDetail!C44</f>
        <v>123041</v>
      </c>
      <c r="E72" s="65">
        <f>GenDetail!D44</f>
        <v>84134</v>
      </c>
    </row>
    <row r="73" spans="2:6" x14ac:dyDescent="0.25">
      <c r="B73" s="233" t="str">
        <f>GenDetail!A45</f>
        <v>Police Department</v>
      </c>
      <c r="C73" s="250">
        <f>GenDetail!B47</f>
        <v>221000</v>
      </c>
      <c r="D73" s="250">
        <f>GenDetail!C47</f>
        <v>232000</v>
      </c>
      <c r="E73" s="65">
        <f>GenDetail!D47</f>
        <v>232000</v>
      </c>
    </row>
    <row r="74" spans="2:6" x14ac:dyDescent="0.25">
      <c r="B74" s="233" t="str">
        <f>GenDetail!A48</f>
        <v>Fire Department</v>
      </c>
      <c r="C74" s="250">
        <f>GenDetail!B55</f>
        <v>64980</v>
      </c>
      <c r="D74" s="250">
        <f>GenDetail!C55</f>
        <v>73324</v>
      </c>
      <c r="E74" s="65">
        <f>GenDetail!D55</f>
        <v>155641</v>
      </c>
    </row>
    <row r="75" spans="2:6" x14ac:dyDescent="0.25">
      <c r="B75" s="233" t="str">
        <f>GenDetail!A67</f>
        <v>Animal Control Department</v>
      </c>
      <c r="C75" s="250">
        <f>GenDetail!B74</f>
        <v>38287</v>
      </c>
      <c r="D75" s="250">
        <f>GenDetail!C74</f>
        <v>50686</v>
      </c>
      <c r="E75" s="65">
        <f>GenDetail!D74</f>
        <v>66329</v>
      </c>
    </row>
    <row r="76" spans="2:6" x14ac:dyDescent="0.25">
      <c r="B76" s="233" t="str">
        <f>GenDetail!A75</f>
        <v>Airport Department</v>
      </c>
      <c r="C76" s="250">
        <f>GenDetail!B80</f>
        <v>225912</v>
      </c>
      <c r="D76" s="250">
        <f>GenDetail!C80</f>
        <v>41669</v>
      </c>
      <c r="E76" s="65">
        <f>GenDetail!D80</f>
        <v>48000</v>
      </c>
    </row>
    <row r="77" spans="2:6" x14ac:dyDescent="0.25">
      <c r="B77" s="233" t="str">
        <f>GenDetail!A81</f>
        <v>Cemetery Department</v>
      </c>
      <c r="C77" s="250">
        <f>GenDetail!B90</f>
        <v>58706</v>
      </c>
      <c r="D77" s="250">
        <f>GenDetail!C90</f>
        <v>57010</v>
      </c>
      <c r="E77" s="65">
        <f>GenDetail!D90</f>
        <v>58479</v>
      </c>
    </row>
    <row r="78" spans="2:6" x14ac:dyDescent="0.25">
      <c r="B78" s="233" t="str">
        <f>GenDetail!A91</f>
        <v>Engineering</v>
      </c>
      <c r="C78" s="250">
        <f>GenDetail!B93</f>
        <v>8400</v>
      </c>
      <c r="D78" s="250">
        <f>GenDetail!C93</f>
        <v>4800</v>
      </c>
      <c r="E78" s="65">
        <f>GenDetail!D93</f>
        <v>5000</v>
      </c>
    </row>
    <row r="79" spans="2:6" x14ac:dyDescent="0.25">
      <c r="B79" s="233" t="str">
        <f>GenDetail!A94</f>
        <v>Airport Grants</v>
      </c>
      <c r="C79" s="250">
        <f>GenDetail!B97</f>
        <v>0</v>
      </c>
      <c r="D79" s="250">
        <f>GenDetail!C97</f>
        <v>173000</v>
      </c>
      <c r="E79" s="65">
        <f>GenDetail!D97</f>
        <v>200000</v>
      </c>
    </row>
    <row r="80" spans="2:6" x14ac:dyDescent="0.25">
      <c r="B80" s="233" t="str">
        <f>GenDetail!A98</f>
        <v>Library Department</v>
      </c>
      <c r="C80" s="250">
        <f>GenDetail!B100</f>
        <v>0</v>
      </c>
      <c r="D80" s="250">
        <f>GenDetail!C100</f>
        <v>0</v>
      </c>
      <c r="E80" s="65">
        <f>GenDetail!D100</f>
        <v>8000</v>
      </c>
    </row>
    <row r="81" spans="2:5" x14ac:dyDescent="0.25">
      <c r="B81" s="233" t="str">
        <f>GenDetail!A101</f>
        <v>Economic Development</v>
      </c>
      <c r="C81" s="250">
        <f>GenDetail!B103</f>
        <v>2480</v>
      </c>
      <c r="D81" s="250">
        <f>GenDetail!C103</f>
        <v>6000</v>
      </c>
      <c r="E81" s="65">
        <f>GenDetail!D103</f>
        <v>10000</v>
      </c>
    </row>
    <row r="82" spans="2:5" x14ac:dyDescent="0.25">
      <c r="B82" s="233"/>
      <c r="C82" s="250"/>
      <c r="D82" s="250"/>
      <c r="E82" s="65"/>
    </row>
    <row r="83" spans="2:5" x14ac:dyDescent="0.25">
      <c r="B83" s="252" t="s">
        <v>270</v>
      </c>
      <c r="C83" s="330">
        <f>SUM(C68:C82)</f>
        <v>1440606</v>
      </c>
      <c r="D83" s="330">
        <f>SUM(D68:D82)</f>
        <v>1510394</v>
      </c>
      <c r="E83" s="264">
        <f>SUM(E68:E82)</f>
        <v>1758010</v>
      </c>
    </row>
    <row r="84" spans="2:5" x14ac:dyDescent="0.25">
      <c r="B84" s="241"/>
      <c r="C84" s="237"/>
      <c r="D84" s="237"/>
      <c r="E84" s="240"/>
    </row>
    <row r="85" spans="2:5" x14ac:dyDescent="0.25">
      <c r="B85" s="241"/>
      <c r="C85" s="237"/>
      <c r="D85" s="237"/>
      <c r="E85" s="240"/>
    </row>
    <row r="86" spans="2:5" x14ac:dyDescent="0.25">
      <c r="B86" s="241"/>
      <c r="C86" s="237"/>
      <c r="D86" s="237"/>
      <c r="E86" s="240"/>
    </row>
    <row r="87" spans="2:5" x14ac:dyDescent="0.25">
      <c r="B87" s="241"/>
      <c r="C87" s="237"/>
      <c r="D87" s="237"/>
      <c r="E87" s="240"/>
    </row>
    <row r="88" spans="2:5" x14ac:dyDescent="0.25">
      <c r="B88" s="241"/>
      <c r="C88" s="237"/>
      <c r="D88" s="237"/>
      <c r="E88" s="240"/>
    </row>
    <row r="89" spans="2:5" x14ac:dyDescent="0.25">
      <c r="B89" s="241"/>
      <c r="C89" s="237"/>
      <c r="D89" s="237"/>
      <c r="E89" s="240"/>
    </row>
    <row r="90" spans="2:5" x14ac:dyDescent="0.25">
      <c r="B90" s="253"/>
      <c r="C90" s="237"/>
      <c r="D90" s="237"/>
      <c r="E90" s="240"/>
    </row>
    <row r="91" spans="2:5" x14ac:dyDescent="0.25">
      <c r="B91" s="253"/>
      <c r="C91" s="237"/>
      <c r="D91" s="237"/>
      <c r="E91" s="240"/>
    </row>
    <row r="92" spans="2:5" x14ac:dyDescent="0.25">
      <c r="B92" s="253"/>
      <c r="C92" s="237"/>
      <c r="D92" s="237"/>
      <c r="E92" s="240"/>
    </row>
    <row r="93" spans="2:5" x14ac:dyDescent="0.25">
      <c r="B93" s="253"/>
      <c r="C93" s="237"/>
      <c r="D93" s="237"/>
      <c r="E93" s="240"/>
    </row>
    <row r="94" spans="2:5" x14ac:dyDescent="0.25">
      <c r="B94" s="253"/>
      <c r="C94" s="237"/>
      <c r="D94" s="237"/>
      <c r="E94" s="240"/>
    </row>
    <row r="95" spans="2:5" x14ac:dyDescent="0.25">
      <c r="B95" s="253"/>
      <c r="C95" s="237"/>
      <c r="D95" s="237"/>
      <c r="E95" s="240"/>
    </row>
    <row r="96" spans="2:5" x14ac:dyDescent="0.25">
      <c r="B96" s="253"/>
      <c r="C96" s="237"/>
      <c r="D96" s="237"/>
      <c r="E96" s="240"/>
    </row>
    <row r="97" spans="2:11" x14ac:dyDescent="0.25">
      <c r="B97" s="253"/>
      <c r="C97" s="237"/>
      <c r="D97" s="237"/>
      <c r="E97" s="240"/>
    </row>
    <row r="98" spans="2:11" x14ac:dyDescent="0.25">
      <c r="B98" s="253"/>
      <c r="C98" s="237"/>
      <c r="D98" s="237"/>
      <c r="E98" s="240"/>
    </row>
    <row r="99" spans="2:11" x14ac:dyDescent="0.25">
      <c r="B99" s="253"/>
      <c r="C99" s="237"/>
      <c r="D99" s="237"/>
      <c r="E99" s="240"/>
    </row>
    <row r="100" spans="2:11" x14ac:dyDescent="0.25">
      <c r="B100" s="253"/>
      <c r="C100" s="237"/>
      <c r="D100" s="237"/>
      <c r="E100" s="240"/>
    </row>
    <row r="101" spans="2:11" x14ac:dyDescent="0.25">
      <c r="B101" s="253"/>
      <c r="C101" s="237"/>
      <c r="D101" s="237"/>
      <c r="E101" s="240"/>
      <c r="G101" s="642" t="str">
        <f>CONCATENATE("Desired Carryover Into ",E1+1,"")</f>
        <v>Desired Carryover Into 2015</v>
      </c>
      <c r="H101" s="643"/>
      <c r="I101" s="643"/>
      <c r="J101" s="644"/>
    </row>
    <row r="102" spans="2:11" x14ac:dyDescent="0.25">
      <c r="B102" s="253"/>
      <c r="C102" s="237"/>
      <c r="D102" s="237"/>
      <c r="E102" s="240"/>
      <c r="G102" s="412"/>
      <c r="H102" s="409"/>
      <c r="I102" s="409"/>
      <c r="J102" s="413"/>
    </row>
    <row r="103" spans="2:11" x14ac:dyDescent="0.25">
      <c r="B103" s="253"/>
      <c r="C103" s="237"/>
      <c r="D103" s="237"/>
      <c r="E103" s="240"/>
      <c r="G103" s="423" t="s">
        <v>278</v>
      </c>
      <c r="H103" s="417"/>
      <c r="I103" s="417"/>
      <c r="J103" s="411">
        <v>0</v>
      </c>
    </row>
    <row r="104" spans="2:11" x14ac:dyDescent="0.25">
      <c r="B104" s="253"/>
      <c r="C104" s="237"/>
      <c r="D104" s="237"/>
      <c r="E104" s="240"/>
      <c r="G104" s="427" t="s">
        <v>279</v>
      </c>
      <c r="H104" s="408"/>
      <c r="I104" s="410"/>
      <c r="J104" s="426" t="str">
        <f>IF(J103=0,"",ROUND((J103+E117-G116)/inputOth!E7*1000,3)-general!G121)</f>
        <v/>
      </c>
    </row>
    <row r="105" spans="2:11" x14ac:dyDescent="0.25">
      <c r="B105" s="253"/>
      <c r="C105" s="237"/>
      <c r="D105" s="237"/>
      <c r="E105" s="240"/>
      <c r="G105" s="460" t="str">
        <f>CONCATENATE("",E1," Total Expenditures Must Be:")</f>
        <v>2014 Total Expenditures Must Be:</v>
      </c>
      <c r="H105" s="461"/>
      <c r="I105" s="462"/>
      <c r="J105" s="425">
        <f>IF(J103&gt;0,IF(E114&lt;E57,IF(J103=G116,E114,((J103-G116)*(1-D116))+E57),E114+(J103-G116)),0)</f>
        <v>0</v>
      </c>
    </row>
    <row r="106" spans="2:11" x14ac:dyDescent="0.25">
      <c r="B106" s="253"/>
      <c r="C106" s="237"/>
      <c r="D106" s="237"/>
      <c r="E106" s="240"/>
      <c r="G106" s="464" t="s">
        <v>307</v>
      </c>
      <c r="H106" s="465"/>
      <c r="I106" s="466"/>
      <c r="J106" s="498">
        <f>IF(J103&gt;0,J105-E114,0)</f>
        <v>0</v>
      </c>
    </row>
    <row r="107" spans="2:11" x14ac:dyDescent="0.25">
      <c r="B107" s="254" t="s">
        <v>8</v>
      </c>
      <c r="C107" s="237"/>
      <c r="D107" s="237">
        <v>609</v>
      </c>
      <c r="E107" s="255">
        <f>nhood!E6</f>
        <v>2858</v>
      </c>
    </row>
    <row r="108" spans="2:11" x14ac:dyDescent="0.25">
      <c r="B108" s="254" t="s">
        <v>9</v>
      </c>
      <c r="C108" s="237">
        <v>0</v>
      </c>
      <c r="D108" s="237">
        <v>0</v>
      </c>
      <c r="E108" s="240">
        <v>0</v>
      </c>
      <c r="G108" s="642" t="str">
        <f>CONCATENATE("Projected Carryover Into ",E1+1,"")</f>
        <v>Projected Carryover Into 2015</v>
      </c>
      <c r="H108" s="631"/>
      <c r="I108" s="631"/>
      <c r="J108" s="651"/>
    </row>
    <row r="109" spans="2:11" x14ac:dyDescent="0.25">
      <c r="B109" s="254" t="s">
        <v>282</v>
      </c>
      <c r="C109" s="242" t="str">
        <f>IF(C110*0.1&lt;C108,"Exceed 10% Rule","")</f>
        <v/>
      </c>
      <c r="D109" s="242" t="str">
        <f>IF(D110*0.1&lt;D108,"Exceed 10% Rule","")</f>
        <v/>
      </c>
      <c r="E109" s="270" t="str">
        <f>IF(E110*0.1&lt;E108,"Exceed 10% Rule","")</f>
        <v/>
      </c>
      <c r="G109" s="412"/>
      <c r="H109" s="409"/>
      <c r="I109" s="409"/>
      <c r="J109" s="413"/>
    </row>
    <row r="110" spans="2:11" x14ac:dyDescent="0.25">
      <c r="B110" s="244" t="s">
        <v>63</v>
      </c>
      <c r="C110" s="246">
        <f>SUM(C83:C108)</f>
        <v>1440606</v>
      </c>
      <c r="D110" s="246">
        <f>SUM(D83:D108)</f>
        <v>1511003</v>
      </c>
      <c r="E110" s="247">
        <f>SUM(E83:E108)</f>
        <v>1760868</v>
      </c>
      <c r="G110" s="414">
        <f>D111</f>
        <v>198977</v>
      </c>
      <c r="H110" s="415" t="str">
        <f>CONCATENATE("",E1-1," Ending Cash Balance (est.)")</f>
        <v>2013 Ending Cash Balance (est.)</v>
      </c>
      <c r="I110" s="416"/>
      <c r="J110" s="413"/>
    </row>
    <row r="111" spans="2:11" x14ac:dyDescent="0.25">
      <c r="B111" s="133" t="s">
        <v>166</v>
      </c>
      <c r="C111" s="250">
        <f>C57-C110</f>
        <v>200986</v>
      </c>
      <c r="D111" s="250">
        <f>D57-D110</f>
        <v>198977</v>
      </c>
      <c r="E111" s="239" t="s">
        <v>39</v>
      </c>
      <c r="G111" s="414">
        <f>E56</f>
        <v>1137601</v>
      </c>
      <c r="H111" s="417" t="str">
        <f>CONCATENATE("",E1," Non-AV Receipts (est.)")</f>
        <v>2014 Non-AV Receipts (est.)</v>
      </c>
      <c r="I111" s="416"/>
      <c r="J111" s="413"/>
    </row>
    <row r="112" spans="2:11" x14ac:dyDescent="0.3">
      <c r="B112" s="119" t="str">
        <f>CONCATENATE("",E1-2,"/",E1-1," Budget Authority Amount:")</f>
        <v>2012/2013 Budget Authority Amount:</v>
      </c>
      <c r="C112" s="222">
        <f>inputOth!B60</f>
        <v>1717810</v>
      </c>
      <c r="D112" s="222">
        <f>inputPrYr!D17</f>
        <v>1767063</v>
      </c>
      <c r="E112" s="239" t="s">
        <v>39</v>
      </c>
      <c r="F112" s="256"/>
      <c r="G112" s="418">
        <f>IF(E116&gt;0,E115,E117)</f>
        <v>424290</v>
      </c>
      <c r="H112" s="417" t="str">
        <f>CONCATENATE("",E1," Ad Valorem Tax (est.)")</f>
        <v>2014 Ad Valorem Tax (est.)</v>
      </c>
      <c r="I112" s="416"/>
      <c r="J112" s="413"/>
      <c r="K112" s="478" t="str">
        <f>IF(G112=E117,"","Note: Does not include Delinquent Taxes")</f>
        <v>Note: Does not include Delinquent Taxes</v>
      </c>
    </row>
    <row r="113" spans="2:10" x14ac:dyDescent="0.25">
      <c r="B113" s="119"/>
      <c r="C113" s="645" t="s">
        <v>268</v>
      </c>
      <c r="D113" s="646"/>
      <c r="E113" s="240"/>
      <c r="F113" s="385" t="str">
        <f>IF(E110/0.95-E110&lt;E113,"Exceeds 5%","")</f>
        <v/>
      </c>
      <c r="G113" s="414">
        <f>SUM(G110:G112)</f>
        <v>1760868</v>
      </c>
      <c r="H113" s="417" t="str">
        <f>CONCATENATE("Total ",E1," Resources Available")</f>
        <v>Total 2014 Resources Available</v>
      </c>
      <c r="I113" s="416"/>
      <c r="J113" s="413"/>
    </row>
    <row r="114" spans="2:10" x14ac:dyDescent="0.25">
      <c r="B114" s="405" t="str">
        <f>CONCATENATE(C131,"     ",D131)</f>
        <v xml:space="preserve">     </v>
      </c>
      <c r="C114" s="647" t="s">
        <v>269</v>
      </c>
      <c r="D114" s="648"/>
      <c r="E114" s="209">
        <f>E110+E113</f>
        <v>1760868</v>
      </c>
      <c r="G114" s="419"/>
      <c r="H114" s="417"/>
      <c r="I114" s="417"/>
      <c r="J114" s="413"/>
    </row>
    <row r="115" spans="2:10" x14ac:dyDescent="0.25">
      <c r="B115" s="405" t="str">
        <f>CONCATENATE(C132,"     ",D132)</f>
        <v xml:space="preserve">     </v>
      </c>
      <c r="C115" s="257"/>
      <c r="D115" s="152" t="s">
        <v>64</v>
      </c>
      <c r="E115" s="65">
        <f>IF(E114-E57&gt;0,E114-E57,0)</f>
        <v>424290</v>
      </c>
      <c r="G115" s="418">
        <f>C110*0.05+C110</f>
        <v>1512636.3</v>
      </c>
      <c r="H115" s="417" t="str">
        <f>CONCATENATE("Less ",E1-2," Expenditures + 5%")</f>
        <v>Less 2012 Expenditures + 5%</v>
      </c>
      <c r="I115" s="416"/>
      <c r="J115" s="413"/>
    </row>
    <row r="116" spans="2:10" x14ac:dyDescent="0.25">
      <c r="B116" s="152"/>
      <c r="C116" s="334" t="s">
        <v>267</v>
      </c>
      <c r="D116" s="558">
        <f>inputOth!$E$47</f>
        <v>0.05</v>
      </c>
      <c r="E116" s="209">
        <f>ROUND(IF(D116&gt;0,(E115*D116),0),0)</f>
        <v>21215</v>
      </c>
      <c r="G116" s="424">
        <f>G113-G115</f>
        <v>248231.69999999995</v>
      </c>
      <c r="H116" s="420" t="str">
        <f>CONCATENATE("Projected ",E1+1," Carryover (est.)")</f>
        <v>Projected 2015 Carryover (est.)</v>
      </c>
      <c r="I116" s="421"/>
      <c r="J116" s="422"/>
    </row>
    <row r="117" spans="2:10" ht="16" thickBot="1" x14ac:dyDescent="0.3">
      <c r="B117" s="32"/>
      <c r="C117" s="649" t="str">
        <f>CONCATENATE("Amount of  ",$E$1-1," Ad Valorem Tax")</f>
        <v>Amount of  2013 Ad Valorem Tax</v>
      </c>
      <c r="D117" s="650"/>
      <c r="E117" s="484">
        <f>E115+E116</f>
        <v>445505</v>
      </c>
    </row>
    <row r="118" spans="2:10" ht="16" thickTop="1" x14ac:dyDescent="0.3">
      <c r="B118" s="612" t="s">
        <v>375</v>
      </c>
      <c r="C118" s="594"/>
      <c r="D118" s="594"/>
      <c r="E118" s="594"/>
      <c r="G118" s="639" t="s">
        <v>308</v>
      </c>
      <c r="H118" s="640"/>
      <c r="I118" s="640"/>
      <c r="J118" s="641"/>
    </row>
    <row r="119" spans="2:10" x14ac:dyDescent="0.25">
      <c r="B119" s="119" t="s">
        <v>66</v>
      </c>
      <c r="C119" s="154" t="str">
        <f>CONCATENATE("",C59,"a")</f>
        <v>8a</v>
      </c>
      <c r="D119" s="155"/>
      <c r="E119" s="155"/>
      <c r="G119" s="468"/>
      <c r="H119" s="469"/>
      <c r="I119" s="470"/>
      <c r="J119" s="471"/>
    </row>
    <row r="120" spans="2:10" x14ac:dyDescent="0.25">
      <c r="G120" s="472">
        <f>summ!H15</f>
        <v>42.896999999999998</v>
      </c>
      <c r="H120" s="469" t="str">
        <f>CONCATENATE("",E1," Fund Mill Rate")</f>
        <v>2014 Fund Mill Rate</v>
      </c>
      <c r="I120" s="470"/>
      <c r="J120" s="471"/>
    </row>
    <row r="121" spans="2:10" x14ac:dyDescent="0.25">
      <c r="B121" s="89"/>
      <c r="G121" s="473">
        <f>summ!E15</f>
        <v>42.548999999999999</v>
      </c>
      <c r="H121" s="469" t="str">
        <f>CONCATENATE("",E1-1," Fund Mill Rate")</f>
        <v>2013 Fund Mill Rate</v>
      </c>
      <c r="I121" s="470"/>
      <c r="J121" s="471"/>
    </row>
    <row r="122" spans="2:10" x14ac:dyDescent="0.25">
      <c r="G122" s="474">
        <f>summ!H29</f>
        <v>54.967999999999996</v>
      </c>
      <c r="H122" s="469" t="str">
        <f>CONCATENATE("Total ",E1," Mill Rate")</f>
        <v>Total 2014 Mill Rate</v>
      </c>
      <c r="I122" s="470"/>
      <c r="J122" s="471"/>
    </row>
    <row r="123" spans="2:10" x14ac:dyDescent="0.25">
      <c r="G123" s="473">
        <f>summ!E29</f>
        <v>54.967999999999996</v>
      </c>
      <c r="H123" s="475" t="str">
        <f>CONCATENATE("Total ",E1-1," Mill Rate")</f>
        <v>Total 2013 Mill Rate</v>
      </c>
      <c r="I123" s="476"/>
      <c r="J123" s="477"/>
    </row>
    <row r="124" spans="2:10" x14ac:dyDescent="0.25">
      <c r="B124" s="28"/>
      <c r="C124" s="28"/>
    </row>
    <row r="125" spans="2:10" x14ac:dyDescent="0.25">
      <c r="G125" s="563" t="s">
        <v>374</v>
      </c>
      <c r="H125" s="562"/>
      <c r="I125" s="561" t="str">
        <f>cert!F58</f>
        <v>No</v>
      </c>
    </row>
    <row r="131" spans="3:4" hidden="1" x14ac:dyDescent="0.25">
      <c r="C131" s="404" t="str">
        <f>IF(C110&gt;C112,"See Tab A","")</f>
        <v/>
      </c>
      <c r="D131" s="404" t="str">
        <f>IF(D110&gt;D112,"See Tab C","")</f>
        <v/>
      </c>
    </row>
    <row r="132" spans="3:4" hidden="1" x14ac:dyDescent="0.25">
      <c r="C132" s="404" t="str">
        <f>IF(C111&lt;0,"See Tab B","")</f>
        <v/>
      </c>
      <c r="D132" s="404" t="str">
        <f>IF(D111&lt;0,"See Tab D","")</f>
        <v/>
      </c>
    </row>
  </sheetData>
  <mergeCells count="8">
    <mergeCell ref="G118:J118"/>
    <mergeCell ref="B118:E118"/>
    <mergeCell ref="B58:E58"/>
    <mergeCell ref="G101:J101"/>
    <mergeCell ref="C113:D113"/>
    <mergeCell ref="C114:D114"/>
    <mergeCell ref="C117:D117"/>
    <mergeCell ref="G108:J108"/>
  </mergeCells>
  <phoneticPr fontId="0" type="noConversion"/>
  <conditionalFormatting sqref="E108">
    <cfRule type="cellIs" dxfId="141" priority="2" stopIfTrue="1" operator="greaterThan">
      <formula>$E$110*0.1</formula>
    </cfRule>
  </conditionalFormatting>
  <conditionalFormatting sqref="E113">
    <cfRule type="cellIs" dxfId="140" priority="3" stopIfTrue="1" operator="greaterThan">
      <formula>$E$110/0.95-$E$110</formula>
    </cfRule>
  </conditionalFormatting>
  <conditionalFormatting sqref="D110">
    <cfRule type="cellIs" dxfId="139" priority="4" stopIfTrue="1" operator="greaterThan">
      <formula>$D$112</formula>
    </cfRule>
  </conditionalFormatting>
  <conditionalFormatting sqref="C110">
    <cfRule type="cellIs" dxfId="138" priority="5" stopIfTrue="1" operator="greaterThan">
      <formula>$C$112</formula>
    </cfRule>
  </conditionalFormatting>
  <conditionalFormatting sqref="C111">
    <cfRule type="cellIs" dxfId="137" priority="6" stopIfTrue="1" operator="lessThan">
      <formula>0</formula>
    </cfRule>
  </conditionalFormatting>
  <conditionalFormatting sqref="C108">
    <cfRule type="cellIs" dxfId="136" priority="7" stopIfTrue="1" operator="greaterThan">
      <formula>$C$110*0.1</formula>
    </cfRule>
  </conditionalFormatting>
  <conditionalFormatting sqref="D108">
    <cfRule type="cellIs" dxfId="135" priority="8" stopIfTrue="1" operator="greaterThan">
      <formula>$D$110*0.1</formula>
    </cfRule>
  </conditionalFormatting>
  <conditionalFormatting sqref="D54">
    <cfRule type="cellIs" dxfId="134" priority="9" stopIfTrue="1" operator="greaterThan">
      <formula>$D$56*0.1</formula>
    </cfRule>
  </conditionalFormatting>
  <conditionalFormatting sqref="C54">
    <cfRule type="cellIs" dxfId="133" priority="10" stopIfTrue="1" operator="greaterThan">
      <formula>$C$56*0.1</formula>
    </cfRule>
  </conditionalFormatting>
  <conditionalFormatting sqref="E54">
    <cfRule type="cellIs" dxfId="132" priority="11" stopIfTrue="1" operator="greaterThan">
      <formula>$E$56*0.1+E117</formula>
    </cfRule>
  </conditionalFormatting>
  <conditionalFormatting sqref="D111">
    <cfRule type="cellIs" dxfId="131" priority="1" stopIfTrue="1" operator="lessThan">
      <formula>0</formula>
    </cfRule>
  </conditionalFormatting>
  <pageMargins left="0.5" right="0.5" top="1" bottom="0.5" header="0.5" footer="0.5"/>
  <pageSetup scale="62" fitToHeight="2" orientation="portrait" blackAndWhite="1" r:id="rId1"/>
  <headerFooter alignWithMargins="0">
    <oddHeader>&amp;RState of Kansas
City</oddHeader>
  </headerFooter>
  <rowBreaks count="2" manualBreakCount="2">
    <brk id="59" min="1" max="4" man="1"/>
    <brk id="6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7"/>
  <sheetViews>
    <sheetView topLeftCell="A91" zoomScaleNormal="100" workbookViewId="0">
      <selection activeCell="D20" sqref="D20"/>
    </sheetView>
  </sheetViews>
  <sheetFormatPr defaultColWidth="8.9140625" defaultRowHeight="15.5" x14ac:dyDescent="0.25"/>
  <cols>
    <col min="1" max="1" width="28.33203125" style="28" customWidth="1"/>
    <col min="2" max="3" width="15.6640625" style="28" customWidth="1"/>
    <col min="4" max="4" width="16.08203125" style="28" customWidth="1"/>
    <col min="5" max="16384" width="8.9140625" style="28"/>
  </cols>
  <sheetData>
    <row r="1" spans="1:4" x14ac:dyDescent="0.25">
      <c r="A1" s="180" t="str">
        <f>inputPrYr!D2</f>
        <v>City of Eureka</v>
      </c>
      <c r="B1" s="32"/>
      <c r="C1" s="154"/>
      <c r="D1" s="32">
        <f>inputPrYr!C5</f>
        <v>2014</v>
      </c>
    </row>
    <row r="2" spans="1:4" x14ac:dyDescent="0.25">
      <c r="A2" s="546" t="s">
        <v>50</v>
      </c>
      <c r="B2" s="258" t="s">
        <v>367</v>
      </c>
      <c r="C2" s="127" t="s">
        <v>368</v>
      </c>
      <c r="D2" s="127" t="s">
        <v>369</v>
      </c>
    </row>
    <row r="3" spans="1:4" x14ac:dyDescent="0.25">
      <c r="A3" s="441" t="s">
        <v>247</v>
      </c>
      <c r="B3" s="232" t="str">
        <f>CONCATENATE("Actual for ",D1-2,"")</f>
        <v>Actual for 2012</v>
      </c>
      <c r="C3" s="232" t="str">
        <f>CONCATENATE("Estimate for ",D1-1,"")</f>
        <v>Estimate for 2013</v>
      </c>
      <c r="D3" s="232" t="str">
        <f>CONCATENATE("Year for ",D1,"")</f>
        <v>Year for 2014</v>
      </c>
    </row>
    <row r="4" spans="1:4" x14ac:dyDescent="0.25">
      <c r="A4" s="207" t="s">
        <v>60</v>
      </c>
      <c r="B4" s="70"/>
      <c r="C4" s="70"/>
      <c r="D4" s="70"/>
    </row>
    <row r="5" spans="1:4" x14ac:dyDescent="0.35">
      <c r="A5" s="580" t="s">
        <v>449</v>
      </c>
      <c r="B5" s="70"/>
      <c r="C5" s="70"/>
      <c r="D5" s="70"/>
    </row>
    <row r="6" spans="1:4" x14ac:dyDescent="0.35">
      <c r="A6" s="581" t="s">
        <v>450</v>
      </c>
      <c r="B6" s="240">
        <f>182970-9529-33054-698-2166-9698</f>
        <v>127825</v>
      </c>
      <c r="C6" s="240">
        <v>128216</v>
      </c>
      <c r="D6" s="240">
        <v>134627</v>
      </c>
    </row>
    <row r="7" spans="1:4" x14ac:dyDescent="0.35">
      <c r="A7" s="581" t="s">
        <v>451</v>
      </c>
      <c r="B7" s="240">
        <f>9529+33054+698+2166+9698</f>
        <v>55145</v>
      </c>
      <c r="C7" s="240">
        <v>65296</v>
      </c>
      <c r="D7" s="240">
        <v>75090</v>
      </c>
    </row>
    <row r="8" spans="1:4" x14ac:dyDescent="0.35">
      <c r="A8" s="581" t="s">
        <v>452</v>
      </c>
      <c r="B8" s="240">
        <v>96040</v>
      </c>
      <c r="C8" s="240">
        <v>98540</v>
      </c>
      <c r="D8" s="240">
        <v>100000</v>
      </c>
    </row>
    <row r="9" spans="1:4" x14ac:dyDescent="0.35">
      <c r="A9" s="581" t="s">
        <v>61</v>
      </c>
      <c r="B9" s="240">
        <v>23434</v>
      </c>
      <c r="C9" s="240">
        <v>23312</v>
      </c>
      <c r="D9" s="240">
        <v>25000</v>
      </c>
    </row>
    <row r="10" spans="1:4" x14ac:dyDescent="0.35">
      <c r="A10" s="3" t="s">
        <v>62</v>
      </c>
      <c r="B10" s="240">
        <v>9731</v>
      </c>
      <c r="C10" s="240">
        <v>3785</v>
      </c>
      <c r="D10" s="240">
        <v>1500</v>
      </c>
    </row>
    <row r="11" spans="1:4" x14ac:dyDescent="0.25">
      <c r="A11" s="207" t="s">
        <v>22</v>
      </c>
      <c r="B11" s="245">
        <f>SUM(B6:B10)</f>
        <v>312175</v>
      </c>
      <c r="C11" s="245">
        <f>SUM(C6:C10)</f>
        <v>319149</v>
      </c>
      <c r="D11" s="245">
        <f>SUM(D6:D10)</f>
        <v>336217</v>
      </c>
    </row>
    <row r="12" spans="1:4" x14ac:dyDescent="0.35">
      <c r="A12" s="577" t="s">
        <v>453</v>
      </c>
      <c r="B12" s="180"/>
      <c r="C12" s="180"/>
      <c r="D12" s="180"/>
    </row>
    <row r="13" spans="1:4" x14ac:dyDescent="0.35">
      <c r="A13" s="580" t="s">
        <v>450</v>
      </c>
      <c r="B13" s="240">
        <f>191367-31642-9665-10465-2154-9721</f>
        <v>127720</v>
      </c>
      <c r="C13" s="240">
        <v>164491</v>
      </c>
      <c r="D13" s="240">
        <v>181326</v>
      </c>
    </row>
    <row r="14" spans="1:4" x14ac:dyDescent="0.35">
      <c r="A14" s="580" t="s">
        <v>451</v>
      </c>
      <c r="B14" s="240">
        <f>31642+9665+10465+2154+9721</f>
        <v>63647</v>
      </c>
      <c r="C14" s="240">
        <v>74488</v>
      </c>
      <c r="D14" s="240">
        <v>87508</v>
      </c>
    </row>
    <row r="15" spans="1:4" x14ac:dyDescent="0.35">
      <c r="A15" s="580" t="s">
        <v>452</v>
      </c>
      <c r="B15" s="240">
        <v>16096</v>
      </c>
      <c r="C15" s="240">
        <v>17252</v>
      </c>
      <c r="D15" s="240">
        <v>17500</v>
      </c>
    </row>
    <row r="16" spans="1:4" x14ac:dyDescent="0.35">
      <c r="A16" s="580" t="s">
        <v>61</v>
      </c>
      <c r="B16" s="240">
        <v>72207</v>
      </c>
      <c r="C16" s="240">
        <v>75000</v>
      </c>
      <c r="D16" s="240">
        <v>95000</v>
      </c>
    </row>
    <row r="17" spans="1:4" x14ac:dyDescent="0.35">
      <c r="A17" s="580" t="s">
        <v>454</v>
      </c>
      <c r="B17" s="240">
        <f>77110-B18-B19-B20+38418+11423</f>
        <v>77110</v>
      </c>
      <c r="C17" s="240">
        <v>9823</v>
      </c>
      <c r="D17" s="240">
        <f>55980+13000+15000+5000+8000</f>
        <v>96980</v>
      </c>
    </row>
    <row r="18" spans="1:4" x14ac:dyDescent="0.35">
      <c r="A18" s="580" t="s">
        <v>528</v>
      </c>
      <c r="B18" s="240">
        <v>26630</v>
      </c>
      <c r="C18" s="240">
        <v>26630</v>
      </c>
      <c r="D18" s="240">
        <v>26630</v>
      </c>
    </row>
    <row r="19" spans="1:4" x14ac:dyDescent="0.35">
      <c r="A19" s="580" t="s">
        <v>529</v>
      </c>
      <c r="B19" s="240">
        <v>9060</v>
      </c>
      <c r="C19" s="240">
        <v>9060</v>
      </c>
      <c r="D19" s="240">
        <v>9060</v>
      </c>
    </row>
    <row r="20" spans="1:4" x14ac:dyDescent="0.35">
      <c r="A20" s="580" t="s">
        <v>530</v>
      </c>
      <c r="B20" s="240">
        <v>14151</v>
      </c>
      <c r="C20" s="240">
        <v>14151</v>
      </c>
      <c r="D20" s="240">
        <v>12441</v>
      </c>
    </row>
    <row r="21" spans="1:4" x14ac:dyDescent="0.35">
      <c r="A21" s="580" t="s">
        <v>531</v>
      </c>
      <c r="B21" s="240">
        <v>0</v>
      </c>
      <c r="C21" s="240">
        <v>20000</v>
      </c>
      <c r="D21" s="240">
        <v>0</v>
      </c>
    </row>
    <row r="22" spans="1:4" x14ac:dyDescent="0.25">
      <c r="A22" s="207" t="s">
        <v>22</v>
      </c>
      <c r="B22" s="245">
        <f>SUM(B13:B21)</f>
        <v>406621</v>
      </c>
      <c r="C22" s="245">
        <f>SUM(C13:C21)</f>
        <v>410895</v>
      </c>
      <c r="D22" s="245">
        <f>SUM(D13:D21)</f>
        <v>526445</v>
      </c>
    </row>
    <row r="23" spans="1:4" x14ac:dyDescent="0.35">
      <c r="A23" s="577" t="s">
        <v>455</v>
      </c>
      <c r="B23" s="180"/>
      <c r="C23" s="180"/>
      <c r="D23" s="180"/>
    </row>
    <row r="24" spans="1:4" x14ac:dyDescent="0.35">
      <c r="A24" s="581" t="s">
        <v>450</v>
      </c>
      <c r="B24" s="240">
        <f>2841-201</f>
        <v>2640</v>
      </c>
      <c r="C24" s="240">
        <v>2571</v>
      </c>
      <c r="D24" s="240">
        <v>2700</v>
      </c>
    </row>
    <row r="25" spans="1:4" x14ac:dyDescent="0.35">
      <c r="A25" s="581" t="s">
        <v>451</v>
      </c>
      <c r="B25" s="240">
        <v>201</v>
      </c>
      <c r="C25" s="240">
        <v>196</v>
      </c>
      <c r="D25" s="240">
        <v>225</v>
      </c>
    </row>
    <row r="26" spans="1:4" x14ac:dyDescent="0.35">
      <c r="A26" s="581" t="s">
        <v>452</v>
      </c>
      <c r="B26" s="240">
        <v>7511</v>
      </c>
      <c r="C26" s="240">
        <v>10840</v>
      </c>
      <c r="D26" s="240">
        <v>10840</v>
      </c>
    </row>
    <row r="27" spans="1:4" x14ac:dyDescent="0.35">
      <c r="A27" s="581" t="s">
        <v>61</v>
      </c>
      <c r="B27" s="240">
        <v>724</v>
      </c>
      <c r="C27" s="240">
        <v>1200</v>
      </c>
      <c r="D27" s="240">
        <v>1500</v>
      </c>
    </row>
    <row r="28" spans="1:4" x14ac:dyDescent="0.25">
      <c r="A28" s="259" t="s">
        <v>543</v>
      </c>
      <c r="B28" s="240">
        <v>173</v>
      </c>
      <c r="C28" s="240">
        <v>2500</v>
      </c>
      <c r="D28" s="240">
        <v>7500</v>
      </c>
    </row>
    <row r="29" spans="1:4" x14ac:dyDescent="0.25">
      <c r="A29" s="259" t="s">
        <v>533</v>
      </c>
      <c r="B29" s="240">
        <v>0</v>
      </c>
      <c r="C29" s="240">
        <v>1500</v>
      </c>
      <c r="D29" s="240">
        <v>0</v>
      </c>
    </row>
    <row r="30" spans="1:4" x14ac:dyDescent="0.25">
      <c r="A30" s="207" t="s">
        <v>22</v>
      </c>
      <c r="B30" s="245">
        <f>SUM(B24:B29)</f>
        <v>11249</v>
      </c>
      <c r="C30" s="245">
        <f>SUM(C24:C29)</f>
        <v>18807</v>
      </c>
      <c r="D30" s="245">
        <f>SUM(D24:D29)</f>
        <v>22765</v>
      </c>
    </row>
    <row r="31" spans="1:4" x14ac:dyDescent="0.35">
      <c r="A31" s="577" t="s">
        <v>456</v>
      </c>
      <c r="B31" s="180"/>
      <c r="C31" s="180"/>
      <c r="D31" s="180"/>
    </row>
    <row r="32" spans="1:4" x14ac:dyDescent="0.25">
      <c r="A32" s="259" t="s">
        <v>62</v>
      </c>
      <c r="B32" s="240">
        <v>10259</v>
      </c>
      <c r="C32" s="240">
        <v>13</v>
      </c>
      <c r="D32" s="240">
        <v>5000</v>
      </c>
    </row>
    <row r="33" spans="1:4" x14ac:dyDescent="0.25">
      <c r="A33" s="207" t="s">
        <v>22</v>
      </c>
      <c r="B33" s="245">
        <f>SUM(B32:B32)</f>
        <v>10259</v>
      </c>
      <c r="C33" s="245">
        <f>SUM(C32:C32)</f>
        <v>13</v>
      </c>
      <c r="D33" s="245">
        <f>SUM(D32:D32)</f>
        <v>5000</v>
      </c>
    </row>
    <row r="34" spans="1:4" x14ac:dyDescent="0.35">
      <c r="A34" s="577" t="s">
        <v>457</v>
      </c>
      <c r="B34" s="180"/>
      <c r="C34" s="180"/>
      <c r="D34" s="180"/>
    </row>
    <row r="35" spans="1:4" x14ac:dyDescent="0.35">
      <c r="A35" s="581" t="s">
        <v>450</v>
      </c>
      <c r="B35" s="240">
        <f>44214-5355-2036-1341-517-2472</f>
        <v>32493</v>
      </c>
      <c r="C35" s="240">
        <v>31177</v>
      </c>
      <c r="D35" s="240">
        <v>32736</v>
      </c>
    </row>
    <row r="36" spans="1:4" x14ac:dyDescent="0.35">
      <c r="A36" s="581" t="s">
        <v>451</v>
      </c>
      <c r="B36" s="240">
        <f>5355+2036+1341+517+2472</f>
        <v>11721</v>
      </c>
      <c r="C36" s="240">
        <v>12955</v>
      </c>
      <c r="D36" s="240">
        <v>14898</v>
      </c>
    </row>
    <row r="37" spans="1:4" x14ac:dyDescent="0.35">
      <c r="A37" s="581" t="s">
        <v>452</v>
      </c>
      <c r="B37" s="240">
        <v>16470</v>
      </c>
      <c r="C37" s="240">
        <v>17982</v>
      </c>
      <c r="D37" s="240">
        <v>19000</v>
      </c>
    </row>
    <row r="38" spans="1:4" x14ac:dyDescent="0.35">
      <c r="A38" s="581" t="s">
        <v>61</v>
      </c>
      <c r="B38" s="240">
        <v>12714</v>
      </c>
      <c r="C38" s="240">
        <v>13323</v>
      </c>
      <c r="D38" s="240">
        <v>14500</v>
      </c>
    </row>
    <row r="39" spans="1:4" x14ac:dyDescent="0.35">
      <c r="A39" s="581" t="s">
        <v>62</v>
      </c>
      <c r="B39" s="240">
        <v>7139</v>
      </c>
      <c r="C39" s="240">
        <v>604</v>
      </c>
      <c r="D39" s="240">
        <v>1000</v>
      </c>
    </row>
    <row r="40" spans="1:4" x14ac:dyDescent="0.35">
      <c r="A40" s="581" t="s">
        <v>534</v>
      </c>
      <c r="B40" s="240">
        <v>0</v>
      </c>
      <c r="C40" s="240">
        <v>2000</v>
      </c>
      <c r="D40" s="240">
        <v>2000</v>
      </c>
    </row>
    <row r="41" spans="1:4" x14ac:dyDescent="0.35">
      <c r="A41" s="581" t="s">
        <v>535</v>
      </c>
      <c r="B41" s="240">
        <v>0</v>
      </c>
      <c r="C41" s="240">
        <v>5000</v>
      </c>
      <c r="D41" s="240">
        <v>0</v>
      </c>
    </row>
    <row r="42" spans="1:4" x14ac:dyDescent="0.35">
      <c r="A42" s="581"/>
      <c r="B42" s="240"/>
      <c r="C42" s="240"/>
      <c r="D42" s="240"/>
    </row>
    <row r="43" spans="1:4" x14ac:dyDescent="0.35">
      <c r="A43" s="581" t="s">
        <v>546</v>
      </c>
      <c r="B43" s="240">
        <v>0</v>
      </c>
      <c r="C43" s="240">
        <v>40000</v>
      </c>
      <c r="D43" s="240">
        <v>0</v>
      </c>
    </row>
    <row r="44" spans="1:4" x14ac:dyDescent="0.25">
      <c r="A44" s="207" t="s">
        <v>22</v>
      </c>
      <c r="B44" s="245">
        <f>SUM(B35:B43)</f>
        <v>80537</v>
      </c>
      <c r="C44" s="245">
        <f>SUM(C35:C43)</f>
        <v>123041</v>
      </c>
      <c r="D44" s="245">
        <f>SUM(D35:D43)</f>
        <v>84134</v>
      </c>
    </row>
    <row r="45" spans="1:4" x14ac:dyDescent="0.35">
      <c r="A45" s="577" t="s">
        <v>458</v>
      </c>
      <c r="B45" s="180"/>
      <c r="C45" s="180"/>
      <c r="D45" s="180"/>
    </row>
    <row r="46" spans="1:4" x14ac:dyDescent="0.35">
      <c r="A46" s="581" t="s">
        <v>452</v>
      </c>
      <c r="B46" s="240">
        <v>221000</v>
      </c>
      <c r="C46" s="240">
        <v>232000</v>
      </c>
      <c r="D46" s="240">
        <v>232000</v>
      </c>
    </row>
    <row r="47" spans="1:4" x14ac:dyDescent="0.25">
      <c r="A47" s="207" t="s">
        <v>22</v>
      </c>
      <c r="B47" s="245">
        <f>SUM(B46:B46)</f>
        <v>221000</v>
      </c>
      <c r="C47" s="245">
        <f>SUM(C46:C46)</f>
        <v>232000</v>
      </c>
      <c r="D47" s="245">
        <f>SUM(D46:D46)</f>
        <v>232000</v>
      </c>
    </row>
    <row r="48" spans="1:4" x14ac:dyDescent="0.35">
      <c r="A48" s="577" t="s">
        <v>459</v>
      </c>
      <c r="B48" s="180"/>
      <c r="C48" s="180"/>
      <c r="D48" s="180"/>
    </row>
    <row r="49" spans="1:6" x14ac:dyDescent="0.35">
      <c r="A49" s="581" t="s">
        <v>450</v>
      </c>
      <c r="B49" s="240">
        <f>33670-2209-517-1789</f>
        <v>29155</v>
      </c>
      <c r="C49" s="240">
        <v>31324</v>
      </c>
      <c r="D49" s="240">
        <v>32891</v>
      </c>
    </row>
    <row r="50" spans="1:6" x14ac:dyDescent="0.35">
      <c r="A50" s="581" t="s">
        <v>451</v>
      </c>
      <c r="B50" s="240">
        <f>2209+1789+517</f>
        <v>4515</v>
      </c>
      <c r="C50" s="240">
        <v>5000</v>
      </c>
      <c r="D50" s="240">
        <v>5750</v>
      </c>
    </row>
    <row r="51" spans="1:6" x14ac:dyDescent="0.35">
      <c r="A51" s="581" t="s">
        <v>452</v>
      </c>
      <c r="B51" s="240">
        <v>9403</v>
      </c>
      <c r="C51" s="240">
        <v>13000</v>
      </c>
      <c r="D51" s="240">
        <v>13000</v>
      </c>
    </row>
    <row r="52" spans="1:6" x14ac:dyDescent="0.35">
      <c r="A52" s="581" t="s">
        <v>61</v>
      </c>
      <c r="B52" s="240">
        <v>12523</v>
      </c>
      <c r="C52" s="240">
        <v>12000</v>
      </c>
      <c r="D52" s="240">
        <v>12000</v>
      </c>
    </row>
    <row r="53" spans="1:6" x14ac:dyDescent="0.35">
      <c r="A53" s="581" t="s">
        <v>62</v>
      </c>
      <c r="B53" s="240">
        <v>9384</v>
      </c>
      <c r="C53" s="240">
        <v>12000</v>
      </c>
      <c r="D53" s="240">
        <v>12000</v>
      </c>
    </row>
    <row r="54" spans="1:6" x14ac:dyDescent="0.35">
      <c r="A54" s="581" t="s">
        <v>536</v>
      </c>
      <c r="B54" s="240">
        <v>0</v>
      </c>
      <c r="C54" s="240">
        <v>0</v>
      </c>
      <c r="D54" s="240">
        <v>80000</v>
      </c>
    </row>
    <row r="55" spans="1:6" x14ac:dyDescent="0.25">
      <c r="A55" s="207" t="s">
        <v>22</v>
      </c>
      <c r="B55" s="245">
        <f>SUM(B49:B54)</f>
        <v>64980</v>
      </c>
      <c r="C55" s="245">
        <f>SUM(C49:C54)</f>
        <v>73324</v>
      </c>
      <c r="D55" s="245">
        <f>SUM(D49:D54)</f>
        <v>155641</v>
      </c>
    </row>
    <row r="56" spans="1:6" x14ac:dyDescent="0.25">
      <c r="A56" s="32"/>
      <c r="B56" s="180"/>
      <c r="C56" s="180"/>
      <c r="D56" s="180"/>
    </row>
    <row r="57" spans="1:6" ht="16" thickBot="1" x14ac:dyDescent="0.3">
      <c r="A57" s="207" t="s">
        <v>243</v>
      </c>
      <c r="B57" s="261">
        <f>B11+B22+B30+B33+B44+B47+B55</f>
        <v>1106821</v>
      </c>
      <c r="C57" s="261">
        <f>C11+C22+C30+C33+C44+C47+C55</f>
        <v>1177229</v>
      </c>
      <c r="D57" s="261">
        <f>D11+D22+D30+D33+D44+D47+D55</f>
        <v>1362202</v>
      </c>
    </row>
    <row r="58" spans="1:6" ht="16" thickTop="1" x14ac:dyDescent="0.25">
      <c r="A58" s="612" t="s">
        <v>375</v>
      </c>
      <c r="B58" s="594"/>
      <c r="C58" s="594"/>
      <c r="D58" s="594"/>
    </row>
    <row r="59" spans="1:6" x14ac:dyDescent="0.25">
      <c r="A59" s="352" t="s">
        <v>66</v>
      </c>
      <c r="B59" s="180" t="str">
        <f>CONCATENATE("",general!C59,"b")</f>
        <v>8b</v>
      </c>
      <c r="C59" s="180"/>
      <c r="D59" s="180"/>
    </row>
    <row r="60" spans="1:6" x14ac:dyDescent="0.25">
      <c r="A60" s="32"/>
      <c r="B60" s="180"/>
      <c r="C60" s="180"/>
      <c r="D60" s="180"/>
    </row>
    <row r="61" spans="1:6" x14ac:dyDescent="0.25">
      <c r="A61" s="180" t="str">
        <f>A1</f>
        <v>City of Eureka</v>
      </c>
      <c r="B61" s="32"/>
      <c r="C61" s="154"/>
      <c r="D61" s="32">
        <f>D1</f>
        <v>2014</v>
      </c>
    </row>
    <row r="62" spans="1:6" x14ac:dyDescent="0.25">
      <c r="A62" s="32"/>
      <c r="B62" s="32"/>
      <c r="C62" s="32"/>
      <c r="D62" s="154"/>
    </row>
    <row r="63" spans="1:6" x14ac:dyDescent="0.25">
      <c r="A63" s="230"/>
      <c r="B63" s="202"/>
      <c r="C63" s="202"/>
      <c r="D63" s="202"/>
      <c r="F63" s="549"/>
    </row>
    <row r="64" spans="1:6" x14ac:dyDescent="0.25">
      <c r="A64" s="547" t="s">
        <v>50</v>
      </c>
      <c r="B64" s="440" t="str">
        <f t="shared" ref="B64:D65" si="0">B2</f>
        <v xml:space="preserve">Prior Year </v>
      </c>
      <c r="C64" s="548" t="str">
        <f t="shared" si="0"/>
        <v xml:space="preserve">Current Year </v>
      </c>
      <c r="D64" s="439" t="str">
        <f t="shared" si="0"/>
        <v xml:space="preserve">Proposed Budget </v>
      </c>
      <c r="F64" s="549"/>
    </row>
    <row r="65" spans="1:4" x14ac:dyDescent="0.25">
      <c r="A65" s="441" t="s">
        <v>248</v>
      </c>
      <c r="B65" s="232" t="str">
        <f t="shared" si="0"/>
        <v>Actual for 2012</v>
      </c>
      <c r="C65" s="232" t="str">
        <f t="shared" si="0"/>
        <v>Estimate for 2013</v>
      </c>
      <c r="D65" s="232" t="str">
        <f t="shared" si="0"/>
        <v>Year for 2014</v>
      </c>
    </row>
    <row r="66" spans="1:4" x14ac:dyDescent="0.25">
      <c r="A66" s="207" t="s">
        <v>60</v>
      </c>
      <c r="B66" s="70"/>
      <c r="C66" s="70"/>
      <c r="D66" s="70"/>
    </row>
    <row r="67" spans="1:4" x14ac:dyDescent="0.35">
      <c r="A67" s="580" t="s">
        <v>461</v>
      </c>
      <c r="B67" s="70"/>
      <c r="C67" s="70"/>
      <c r="D67" s="70"/>
    </row>
    <row r="68" spans="1:4" x14ac:dyDescent="0.35">
      <c r="A68" s="580" t="s">
        <v>450</v>
      </c>
      <c r="B68" s="240">
        <v>22181</v>
      </c>
      <c r="C68" s="240">
        <v>28403</v>
      </c>
      <c r="D68" s="240">
        <v>29823</v>
      </c>
    </row>
    <row r="69" spans="1:4" x14ac:dyDescent="0.35">
      <c r="A69" s="580" t="s">
        <v>451</v>
      </c>
      <c r="B69" s="240">
        <v>6874</v>
      </c>
      <c r="C69" s="240">
        <v>11483</v>
      </c>
      <c r="D69" s="240">
        <v>13206</v>
      </c>
    </row>
    <row r="70" spans="1:4" x14ac:dyDescent="0.35">
      <c r="A70" s="580" t="s">
        <v>452</v>
      </c>
      <c r="B70" s="240">
        <v>4270</v>
      </c>
      <c r="C70" s="240">
        <v>4500</v>
      </c>
      <c r="D70" s="240">
        <v>5500</v>
      </c>
    </row>
    <row r="71" spans="1:4" x14ac:dyDescent="0.35">
      <c r="A71" s="580" t="s">
        <v>61</v>
      </c>
      <c r="B71" s="240">
        <v>3501</v>
      </c>
      <c r="C71" s="240">
        <v>4300</v>
      </c>
      <c r="D71" s="240">
        <v>5500</v>
      </c>
    </row>
    <row r="72" spans="1:4" x14ac:dyDescent="0.35">
      <c r="A72" s="573" t="s">
        <v>62</v>
      </c>
      <c r="B72" s="240">
        <v>1461</v>
      </c>
      <c r="C72" s="240">
        <v>2000</v>
      </c>
      <c r="D72" s="240">
        <v>300</v>
      </c>
    </row>
    <row r="73" spans="1:4" x14ac:dyDescent="0.35">
      <c r="A73" s="573" t="s">
        <v>532</v>
      </c>
      <c r="B73" s="240">
        <v>0</v>
      </c>
      <c r="C73" s="240">
        <v>0</v>
      </c>
      <c r="D73" s="240">
        <v>12000</v>
      </c>
    </row>
    <row r="74" spans="1:4" x14ac:dyDescent="0.25">
      <c r="A74" s="207" t="s">
        <v>22</v>
      </c>
      <c r="B74" s="245">
        <f>SUM(B68:B73)</f>
        <v>38287</v>
      </c>
      <c r="C74" s="245">
        <f>SUM(C68:C73)</f>
        <v>50686</v>
      </c>
      <c r="D74" s="245">
        <f>SUM(D68:D73)</f>
        <v>66329</v>
      </c>
    </row>
    <row r="75" spans="1:4" x14ac:dyDescent="0.35">
      <c r="A75" s="577" t="s">
        <v>462</v>
      </c>
      <c r="B75" s="180"/>
      <c r="C75" s="180"/>
      <c r="D75" s="180"/>
    </row>
    <row r="76" spans="1:4" x14ac:dyDescent="0.35">
      <c r="A76" s="580" t="s">
        <v>452</v>
      </c>
      <c r="B76" s="240">
        <v>41083</v>
      </c>
      <c r="C76" s="240">
        <v>39172</v>
      </c>
      <c r="D76" s="240">
        <v>43000</v>
      </c>
    </row>
    <row r="77" spans="1:4" x14ac:dyDescent="0.35">
      <c r="A77" s="580" t="s">
        <v>61</v>
      </c>
      <c r="B77" s="240">
        <v>2059</v>
      </c>
      <c r="C77" s="240">
        <v>1260</v>
      </c>
      <c r="D77" s="240">
        <v>3000</v>
      </c>
    </row>
    <row r="78" spans="1:4" x14ac:dyDescent="0.35">
      <c r="A78" s="573" t="s">
        <v>542</v>
      </c>
      <c r="B78" s="240">
        <v>182770</v>
      </c>
      <c r="C78" s="240">
        <v>1237</v>
      </c>
      <c r="D78" s="240">
        <v>2000</v>
      </c>
    </row>
    <row r="79" spans="1:4" x14ac:dyDescent="0.35">
      <c r="A79" s="573"/>
      <c r="B79" s="240"/>
      <c r="C79" s="240"/>
      <c r="D79" s="240"/>
    </row>
    <row r="80" spans="1:4" x14ac:dyDescent="0.25">
      <c r="A80" s="207" t="s">
        <v>22</v>
      </c>
      <c r="B80" s="245">
        <f>SUM(B76:B79)</f>
        <v>225912</v>
      </c>
      <c r="C80" s="245">
        <f>SUM(C76:C79)</f>
        <v>41669</v>
      </c>
      <c r="D80" s="245">
        <f>SUM(D76:D79)</f>
        <v>48000</v>
      </c>
    </row>
    <row r="81" spans="1:4" x14ac:dyDescent="0.35">
      <c r="A81" s="577" t="s">
        <v>460</v>
      </c>
      <c r="B81" s="180"/>
      <c r="C81" s="180"/>
      <c r="D81" s="180"/>
    </row>
    <row r="82" spans="1:4" x14ac:dyDescent="0.35">
      <c r="A82" s="581" t="s">
        <v>450</v>
      </c>
      <c r="B82" s="240">
        <f>40718-1878-5355-1869-517-2221</f>
        <v>28878</v>
      </c>
      <c r="C82" s="240">
        <v>30264</v>
      </c>
      <c r="D82" s="240">
        <v>31778</v>
      </c>
    </row>
    <row r="83" spans="1:4" x14ac:dyDescent="0.35">
      <c r="A83" s="581" t="s">
        <v>451</v>
      </c>
      <c r="B83" s="240">
        <f>1878+5355+1869+517+2221</f>
        <v>11840</v>
      </c>
      <c r="C83" s="240">
        <v>13566</v>
      </c>
      <c r="D83" s="240">
        <v>15601</v>
      </c>
    </row>
    <row r="84" spans="1:4" x14ac:dyDescent="0.35">
      <c r="A84" s="581" t="s">
        <v>452</v>
      </c>
      <c r="B84" s="240">
        <v>1016</v>
      </c>
      <c r="C84" s="240">
        <v>915</v>
      </c>
      <c r="D84" s="240">
        <v>1100</v>
      </c>
    </row>
    <row r="85" spans="1:4" x14ac:dyDescent="0.35">
      <c r="A85" s="581" t="s">
        <v>61</v>
      </c>
      <c r="B85" s="240">
        <v>6296</v>
      </c>
      <c r="C85" s="240">
        <v>6000</v>
      </c>
      <c r="D85" s="240">
        <v>6000</v>
      </c>
    </row>
    <row r="86" spans="1:4" x14ac:dyDescent="0.35">
      <c r="A86" s="581" t="s">
        <v>62</v>
      </c>
      <c r="B86" s="240">
        <v>10676</v>
      </c>
      <c r="C86" s="240">
        <v>2265</v>
      </c>
      <c r="D86" s="240">
        <v>0</v>
      </c>
    </row>
    <row r="87" spans="1:4" x14ac:dyDescent="0.35">
      <c r="A87" s="581" t="s">
        <v>537</v>
      </c>
      <c r="B87" s="240">
        <v>0</v>
      </c>
      <c r="C87" s="240">
        <v>3000</v>
      </c>
      <c r="D87" s="240">
        <v>0</v>
      </c>
    </row>
    <row r="88" spans="1:4" x14ac:dyDescent="0.35">
      <c r="A88" s="581" t="s">
        <v>538</v>
      </c>
      <c r="B88" s="240">
        <v>0</v>
      </c>
      <c r="C88" s="240">
        <v>1000</v>
      </c>
      <c r="D88" s="240">
        <v>3000</v>
      </c>
    </row>
    <row r="89" spans="1:4" x14ac:dyDescent="0.35">
      <c r="A89" s="581" t="s">
        <v>544</v>
      </c>
      <c r="B89" s="240">
        <v>0</v>
      </c>
      <c r="C89" s="240">
        <v>0</v>
      </c>
      <c r="D89" s="240">
        <v>1000</v>
      </c>
    </row>
    <row r="90" spans="1:4" x14ac:dyDescent="0.25">
      <c r="A90" s="207" t="s">
        <v>22</v>
      </c>
      <c r="B90" s="245">
        <f>SUM(B82:B89)</f>
        <v>58706</v>
      </c>
      <c r="C90" s="245">
        <f>SUM(C82:C89)</f>
        <v>57010</v>
      </c>
      <c r="D90" s="245">
        <f>SUM(D82:D89)</f>
        <v>58479</v>
      </c>
    </row>
    <row r="91" spans="1:4" x14ac:dyDescent="0.35">
      <c r="A91" s="577" t="s">
        <v>463</v>
      </c>
      <c r="B91" s="180"/>
      <c r="C91" s="180"/>
      <c r="D91" s="180"/>
    </row>
    <row r="92" spans="1:4" x14ac:dyDescent="0.35">
      <c r="A92" s="580" t="s">
        <v>452</v>
      </c>
      <c r="B92" s="240">
        <v>8400</v>
      </c>
      <c r="C92" s="240">
        <v>4800</v>
      </c>
      <c r="D92" s="240">
        <v>5000</v>
      </c>
    </row>
    <row r="93" spans="1:4" x14ac:dyDescent="0.25">
      <c r="A93" s="207" t="s">
        <v>22</v>
      </c>
      <c r="B93" s="245">
        <f>SUM(B92:B92)</f>
        <v>8400</v>
      </c>
      <c r="C93" s="245">
        <f>SUM(C92:C92)</f>
        <v>4800</v>
      </c>
      <c r="D93" s="245">
        <f>SUM(D92:D92)</f>
        <v>5000</v>
      </c>
    </row>
    <row r="94" spans="1:4" x14ac:dyDescent="0.35">
      <c r="A94" s="582" t="s">
        <v>541</v>
      </c>
      <c r="B94" s="180"/>
      <c r="C94" s="180"/>
      <c r="D94" s="180"/>
    </row>
    <row r="95" spans="1:4" x14ac:dyDescent="0.25">
      <c r="A95" s="259" t="s">
        <v>540</v>
      </c>
      <c r="B95" s="240">
        <v>0</v>
      </c>
      <c r="C95" s="240">
        <v>173000</v>
      </c>
      <c r="D95" s="240">
        <v>0</v>
      </c>
    </row>
    <row r="96" spans="1:4" x14ac:dyDescent="0.25">
      <c r="A96" s="259" t="s">
        <v>539</v>
      </c>
      <c r="B96" s="240">
        <v>0</v>
      </c>
      <c r="C96" s="240">
        <v>0</v>
      </c>
      <c r="D96" s="240">
        <v>200000</v>
      </c>
    </row>
    <row r="97" spans="1:4" x14ac:dyDescent="0.25">
      <c r="A97" s="207" t="s">
        <v>22</v>
      </c>
      <c r="B97" s="245">
        <f>SUM(B95:B96)</f>
        <v>0</v>
      </c>
      <c r="C97" s="245">
        <f>SUM(C95:C96)</f>
        <v>173000</v>
      </c>
      <c r="D97" s="245">
        <f>SUM(D95:D96)</f>
        <v>200000</v>
      </c>
    </row>
    <row r="98" spans="1:4" x14ac:dyDescent="0.35">
      <c r="A98" s="577" t="s">
        <v>464</v>
      </c>
      <c r="B98" s="180"/>
      <c r="C98" s="180"/>
      <c r="D98" s="180"/>
    </row>
    <row r="99" spans="1:4" x14ac:dyDescent="0.35">
      <c r="A99" s="580" t="s">
        <v>465</v>
      </c>
      <c r="B99" s="240">
        <v>0</v>
      </c>
      <c r="C99" s="240">
        <v>0</v>
      </c>
      <c r="D99" s="240">
        <v>8000</v>
      </c>
    </row>
    <row r="100" spans="1:4" x14ac:dyDescent="0.25">
      <c r="A100" s="207" t="s">
        <v>22</v>
      </c>
      <c r="B100" s="245">
        <f>SUM(B99:B99)</f>
        <v>0</v>
      </c>
      <c r="C100" s="245">
        <f>SUM(C99:C99)</f>
        <v>0</v>
      </c>
      <c r="D100" s="245">
        <f>SUM(D99:D99)</f>
        <v>8000</v>
      </c>
    </row>
    <row r="101" spans="1:4" x14ac:dyDescent="0.25">
      <c r="A101" s="260" t="s">
        <v>466</v>
      </c>
      <c r="B101" s="180"/>
      <c r="C101" s="180"/>
      <c r="D101" s="180"/>
    </row>
    <row r="102" spans="1:4" x14ac:dyDescent="0.25">
      <c r="A102" s="259" t="s">
        <v>452</v>
      </c>
      <c r="B102" s="240">
        <v>2480</v>
      </c>
      <c r="C102" s="240">
        <v>6000</v>
      </c>
      <c r="D102" s="240">
        <v>10000</v>
      </c>
    </row>
    <row r="103" spans="1:4" x14ac:dyDescent="0.25">
      <c r="A103" s="207" t="s">
        <v>22</v>
      </c>
      <c r="B103" s="245">
        <f>SUM(B102:B102)</f>
        <v>2480</v>
      </c>
      <c r="C103" s="245">
        <f>SUM(C102:C102)</f>
        <v>6000</v>
      </c>
      <c r="D103" s="245">
        <f>SUM(D102:D102)</f>
        <v>10000</v>
      </c>
    </row>
    <row r="104" spans="1:4" x14ac:dyDescent="0.25">
      <c r="A104" s="260"/>
      <c r="B104" s="180"/>
      <c r="C104" s="180"/>
      <c r="D104" s="180"/>
    </row>
    <row r="105" spans="1:4" x14ac:dyDescent="0.25">
      <c r="A105" s="259"/>
      <c r="B105" s="240"/>
      <c r="C105" s="240"/>
      <c r="D105" s="240"/>
    </row>
    <row r="106" spans="1:4" x14ac:dyDescent="0.25">
      <c r="A106" s="259"/>
      <c r="B106" s="240"/>
      <c r="C106" s="240"/>
      <c r="D106" s="240"/>
    </row>
    <row r="107" spans="1:4" x14ac:dyDescent="0.25">
      <c r="A107" s="259"/>
      <c r="B107" s="240"/>
      <c r="C107" s="240"/>
      <c r="D107" s="240"/>
    </row>
    <row r="108" spans="1:4" x14ac:dyDescent="0.25">
      <c r="A108" s="259"/>
      <c r="B108" s="240"/>
      <c r="C108" s="240"/>
      <c r="D108" s="240"/>
    </row>
    <row r="109" spans="1:4" x14ac:dyDescent="0.25">
      <c r="A109" s="259"/>
      <c r="B109" s="240"/>
      <c r="C109" s="240"/>
      <c r="D109" s="240"/>
    </row>
    <row r="110" spans="1:4" x14ac:dyDescent="0.25">
      <c r="A110" s="207" t="s">
        <v>22</v>
      </c>
      <c r="B110" s="245">
        <f>SUM(B105:B109)</f>
        <v>0</v>
      </c>
      <c r="C110" s="245">
        <f>SUM(C105:C109)</f>
        <v>0</v>
      </c>
      <c r="D110" s="317">
        <f>SUM(D105:D109)</f>
        <v>0</v>
      </c>
    </row>
    <row r="111" spans="1:4" x14ac:dyDescent="0.25">
      <c r="A111" s="207"/>
      <c r="B111" s="180"/>
      <c r="C111" s="180"/>
      <c r="D111" s="180"/>
    </row>
    <row r="112" spans="1:4" x14ac:dyDescent="0.25">
      <c r="A112" s="48" t="s">
        <v>245</v>
      </c>
      <c r="B112" s="318">
        <f>B74+B80+B90+B93+B97+B100+B103+B110</f>
        <v>333785</v>
      </c>
      <c r="C112" s="318">
        <f>C74+C80+C90+C93+C97+C100+C103+C110</f>
        <v>333165</v>
      </c>
      <c r="D112" s="318">
        <f>D74+D80+D90+D93+D97+D100+D103+D110</f>
        <v>395808</v>
      </c>
    </row>
    <row r="113" spans="1:4" x14ac:dyDescent="0.25">
      <c r="A113" s="207" t="s">
        <v>244</v>
      </c>
      <c r="B113" s="245">
        <f>B57</f>
        <v>1106821</v>
      </c>
      <c r="C113" s="245">
        <f>C57</f>
        <v>1177229</v>
      </c>
      <c r="D113" s="245">
        <f>D57</f>
        <v>1362202</v>
      </c>
    </row>
    <row r="114" spans="1:4" ht="16" thickBot="1" x14ac:dyDescent="0.3">
      <c r="A114" s="207" t="s">
        <v>246</v>
      </c>
      <c r="B114" s="261">
        <f>SUM(B112:B113)</f>
        <v>1440606</v>
      </c>
      <c r="C114" s="261">
        <f>SUM(C112:C113)</f>
        <v>1510394</v>
      </c>
      <c r="D114" s="261">
        <f>SUM(D112:D113)</f>
        <v>1758010</v>
      </c>
    </row>
    <row r="115" spans="1:4" ht="16" thickTop="1" x14ac:dyDescent="0.25">
      <c r="A115" s="262" t="s">
        <v>15</v>
      </c>
      <c r="B115" s="180"/>
      <c r="C115" s="180"/>
      <c r="D115" s="180"/>
    </row>
    <row r="116" spans="1:4" x14ac:dyDescent="0.25">
      <c r="A116" s="612" t="s">
        <v>375</v>
      </c>
      <c r="B116" s="594"/>
      <c r="C116" s="594"/>
      <c r="D116" s="594"/>
    </row>
    <row r="117" spans="1:4" x14ac:dyDescent="0.25">
      <c r="A117" s="352" t="s">
        <v>66</v>
      </c>
      <c r="B117" s="180" t="str">
        <f>CONCATENATE("",general!C59,"c")</f>
        <v>8c</v>
      </c>
      <c r="C117" s="180"/>
      <c r="D117" s="180"/>
    </row>
  </sheetData>
  <mergeCells count="2">
    <mergeCell ref="A116:D116"/>
    <mergeCell ref="A58:D58"/>
  </mergeCells>
  <phoneticPr fontId="0" type="noConversion"/>
  <pageMargins left="0.5" right="0.5" top="1" bottom="0.5" header="0.5" footer="0.5"/>
  <pageSetup scale="82" fitToHeight="2" orientation="portrait" blackAndWhite="1" horizontalDpi="300" verticalDpi="300" r:id="rId1"/>
  <headerFooter alignWithMargins="0">
    <oddHeader>&amp;RState of Kansas
City</oddHeader>
  </headerFooter>
  <rowBreaks count="3" manualBreakCount="3">
    <brk id="59" max="16383" man="1"/>
    <brk id="61" max="16383" man="1"/>
    <brk id="116" max="16383" man="1"/>
  </rowBreaks>
  <colBreaks count="3" manualBreakCount="3">
    <brk id="1" max="1048575" man="1"/>
    <brk id="2" max="1048575" man="1"/>
    <brk id="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8"/>
  <sheetViews>
    <sheetView topLeftCell="A8" zoomScaleNormal="100" workbookViewId="0">
      <selection activeCell="B14" sqref="B14"/>
    </sheetView>
  </sheetViews>
  <sheetFormatPr defaultColWidth="8.9140625" defaultRowHeight="15.5" x14ac:dyDescent="0.25"/>
  <cols>
    <col min="1" max="1" width="2.4140625" style="30" customWidth="1"/>
    <col min="2" max="2" width="31.08203125" style="30" customWidth="1"/>
    <col min="3" max="4" width="15.6640625" style="30" customWidth="1"/>
    <col min="5" max="5" width="16.25" style="30" customWidth="1"/>
    <col min="6" max="6" width="7.08203125" style="30" customWidth="1"/>
    <col min="7" max="7" width="10.25" style="30" customWidth="1"/>
    <col min="8" max="8" width="8.9140625" style="30"/>
    <col min="9" max="9" width="5" style="30" customWidth="1"/>
    <col min="10" max="10" width="10" style="30" customWidth="1"/>
    <col min="11" max="16384" width="8.9140625" style="30"/>
  </cols>
  <sheetData>
    <row r="1" spans="2:5" x14ac:dyDescent="0.25">
      <c r="B1" s="350" t="str">
        <f>inputPrYr!D2</f>
        <v>City of Eureka</v>
      </c>
      <c r="C1" s="350"/>
      <c r="D1" s="336"/>
      <c r="E1" s="344">
        <f>inputPrYr!C5</f>
        <v>2014</v>
      </c>
    </row>
    <row r="2" spans="2:5" x14ac:dyDescent="0.25">
      <c r="B2" s="336"/>
      <c r="C2" s="336"/>
      <c r="D2" s="336"/>
      <c r="E2" s="352"/>
    </row>
    <row r="3" spans="2:5" x14ac:dyDescent="0.25">
      <c r="B3" s="339" t="s">
        <v>111</v>
      </c>
      <c r="C3" s="339"/>
      <c r="D3" s="354"/>
      <c r="E3" s="345"/>
    </row>
    <row r="4" spans="2:5" x14ac:dyDescent="0.25">
      <c r="B4" s="338" t="s">
        <v>50</v>
      </c>
      <c r="C4" s="544" t="s">
        <v>367</v>
      </c>
      <c r="D4" s="545" t="s">
        <v>368</v>
      </c>
      <c r="E4" s="127" t="s">
        <v>369</v>
      </c>
    </row>
    <row r="5" spans="2:5" x14ac:dyDescent="0.25">
      <c r="B5" s="380" t="s">
        <v>378</v>
      </c>
      <c r="C5" s="206" t="str">
        <f>CONCATENATE("Actual for ",E1-2,"")</f>
        <v>Actual for 2012</v>
      </c>
      <c r="D5" s="206" t="str">
        <f>CONCATENATE("Estimate for ",E1-1,"")</f>
        <v>Estimate for 2013</v>
      </c>
      <c r="E5" s="191" t="str">
        <f>CONCATENATE("Year for ",E1,"")</f>
        <v>Year for 2014</v>
      </c>
    </row>
    <row r="6" spans="2:5" x14ac:dyDescent="0.25">
      <c r="B6" s="346" t="s">
        <v>165</v>
      </c>
      <c r="C6" s="376">
        <v>54970</v>
      </c>
      <c r="D6" s="375">
        <f>C34</f>
        <v>45813</v>
      </c>
      <c r="E6" s="347">
        <f>D34</f>
        <v>39424</v>
      </c>
    </row>
    <row r="7" spans="2:5" x14ac:dyDescent="0.25">
      <c r="B7" s="346" t="s">
        <v>167</v>
      </c>
      <c r="C7" s="348"/>
      <c r="D7" s="375"/>
      <c r="E7" s="347"/>
    </row>
    <row r="8" spans="2:5" x14ac:dyDescent="0.25">
      <c r="B8" s="346" t="s">
        <v>51</v>
      </c>
      <c r="C8" s="373">
        <v>61252</v>
      </c>
      <c r="D8" s="375">
        <f>IF(inputPrYr!H16,inputPrYr!G18,inputPrYr!E18)</f>
        <v>61836</v>
      </c>
      <c r="E8" s="363" t="s">
        <v>39</v>
      </c>
    </row>
    <row r="9" spans="2:5" x14ac:dyDescent="0.25">
      <c r="B9" s="346" t="s">
        <v>52</v>
      </c>
      <c r="C9" s="373">
        <v>1722</v>
      </c>
      <c r="D9" s="377">
        <v>3255</v>
      </c>
      <c r="E9" s="340">
        <v>3255</v>
      </c>
    </row>
    <row r="10" spans="2:5" x14ac:dyDescent="0.25">
      <c r="B10" s="346" t="s">
        <v>53</v>
      </c>
      <c r="C10" s="373">
        <v>10420</v>
      </c>
      <c r="D10" s="377">
        <v>11821</v>
      </c>
      <c r="E10" s="347">
        <f>mvalloc!D8</f>
        <v>11302</v>
      </c>
    </row>
    <row r="11" spans="2:5" x14ac:dyDescent="0.25">
      <c r="B11" s="346" t="s">
        <v>54</v>
      </c>
      <c r="C11" s="373">
        <v>130</v>
      </c>
      <c r="D11" s="377">
        <v>142</v>
      </c>
      <c r="E11" s="347">
        <f>mvalloc!E8</f>
        <v>142</v>
      </c>
    </row>
    <row r="12" spans="2:5" x14ac:dyDescent="0.25">
      <c r="B12" s="349" t="s">
        <v>143</v>
      </c>
      <c r="C12" s="373">
        <v>157</v>
      </c>
      <c r="D12" s="377">
        <v>140</v>
      </c>
      <c r="E12" s="347">
        <f>mvalloc!F8</f>
        <v>111</v>
      </c>
    </row>
    <row r="13" spans="2:5" x14ac:dyDescent="0.25">
      <c r="B13" s="364"/>
      <c r="C13" s="373"/>
      <c r="D13" s="377"/>
      <c r="E13" s="340"/>
    </row>
    <row r="14" spans="2:5" x14ac:dyDescent="0.25">
      <c r="B14" s="364"/>
      <c r="C14" s="373"/>
      <c r="D14" s="377"/>
      <c r="E14" s="340"/>
    </row>
    <row r="15" spans="2:5" x14ac:dyDescent="0.25">
      <c r="B15" s="364"/>
      <c r="C15" s="373"/>
      <c r="D15" s="377"/>
      <c r="E15" s="340"/>
    </row>
    <row r="16" spans="2:5" x14ac:dyDescent="0.25">
      <c r="B16" s="364"/>
      <c r="C16" s="373"/>
      <c r="D16" s="377"/>
      <c r="E16" s="340"/>
    </row>
    <row r="17" spans="2:10" x14ac:dyDescent="0.25">
      <c r="B17" s="360" t="s">
        <v>56</v>
      </c>
      <c r="C17" s="373">
        <v>0</v>
      </c>
      <c r="D17" s="377">
        <v>0</v>
      </c>
      <c r="E17" s="340">
        <v>0</v>
      </c>
      <c r="F17" s="335"/>
      <c r="G17" s="335"/>
      <c r="H17" s="335"/>
      <c r="I17" s="335"/>
    </row>
    <row r="18" spans="2:10" x14ac:dyDescent="0.25">
      <c r="B18" s="346" t="s">
        <v>9</v>
      </c>
      <c r="C18" s="237">
        <v>0</v>
      </c>
      <c r="D18" s="237">
        <v>0</v>
      </c>
      <c r="E18" s="50">
        <v>0</v>
      </c>
      <c r="F18" s="335"/>
      <c r="G18" s="335"/>
      <c r="H18" s="335"/>
      <c r="I18" s="335"/>
    </row>
    <row r="19" spans="2:10" x14ac:dyDescent="0.25">
      <c r="B19" s="346" t="s">
        <v>281</v>
      </c>
      <c r="C19" s="242" t="str">
        <f>IF(C20*0.1&lt;C18,"Exceed 10% Rule","")</f>
        <v/>
      </c>
      <c r="D19" s="242" t="str">
        <f>IF(D20*0.1&lt;D18,"Exceed 10% Rule","")</f>
        <v/>
      </c>
      <c r="E19" s="270" t="str">
        <f>IF(E20*0.1+E40&lt;E18,"Exceed 10% Rule","")</f>
        <v/>
      </c>
      <c r="F19" s="335"/>
      <c r="G19" s="335"/>
      <c r="H19" s="335"/>
      <c r="I19" s="335"/>
    </row>
    <row r="20" spans="2:10" x14ac:dyDescent="0.25">
      <c r="B20" s="356" t="s">
        <v>57</v>
      </c>
      <c r="C20" s="378">
        <f>SUM(C8:C18)</f>
        <v>73681</v>
      </c>
      <c r="D20" s="378">
        <f>SUM(D8:D18)</f>
        <v>77194</v>
      </c>
      <c r="E20" s="365">
        <f>SUM(E9:E18)</f>
        <v>14810</v>
      </c>
      <c r="F20" s="335"/>
      <c r="G20" s="335"/>
      <c r="H20" s="335"/>
      <c r="I20" s="335"/>
    </row>
    <row r="21" spans="2:10" x14ac:dyDescent="0.25">
      <c r="B21" s="356" t="s">
        <v>58</v>
      </c>
      <c r="C21" s="378">
        <f>SUM(C6+C20)</f>
        <v>128651</v>
      </c>
      <c r="D21" s="378">
        <f>SUM(D6+D20)</f>
        <v>123007</v>
      </c>
      <c r="E21" s="365">
        <f>SUM(E6+E20)</f>
        <v>54234</v>
      </c>
      <c r="F21" s="335"/>
      <c r="G21" s="335"/>
      <c r="H21" s="335"/>
      <c r="I21" s="335"/>
    </row>
    <row r="22" spans="2:10" x14ac:dyDescent="0.25">
      <c r="B22" s="346" t="s">
        <v>60</v>
      </c>
      <c r="C22" s="346"/>
      <c r="D22" s="375"/>
      <c r="E22" s="347"/>
      <c r="F22" s="335"/>
      <c r="G22" s="335"/>
      <c r="H22" s="335"/>
      <c r="I22" s="335"/>
    </row>
    <row r="23" spans="2:10" x14ac:dyDescent="0.35">
      <c r="B23" s="583" t="s">
        <v>467</v>
      </c>
      <c r="C23" s="388">
        <v>75000</v>
      </c>
      <c r="D23" s="377">
        <v>75000</v>
      </c>
      <c r="E23" s="340">
        <v>75000</v>
      </c>
      <c r="F23" s="335"/>
      <c r="G23" s="335"/>
      <c r="H23" s="335"/>
      <c r="I23" s="335"/>
    </row>
    <row r="24" spans="2:10" x14ac:dyDescent="0.35">
      <c r="B24" s="583" t="s">
        <v>468</v>
      </c>
      <c r="C24" s="388">
        <v>7838</v>
      </c>
      <c r="D24" s="377">
        <f>6338+1813</f>
        <v>8151</v>
      </c>
      <c r="E24" s="340">
        <f>4650+4800</f>
        <v>9450</v>
      </c>
      <c r="F24" s="335"/>
      <c r="G24" s="653" t="str">
        <f>CONCATENATE("Desired Carryover Into ",E1+1,"")</f>
        <v>Desired Carryover Into 2015</v>
      </c>
      <c r="H24" s="631"/>
      <c r="I24" s="631"/>
      <c r="J24" s="651"/>
    </row>
    <row r="25" spans="2:10" x14ac:dyDescent="0.35">
      <c r="B25" s="583"/>
      <c r="C25" s="388"/>
      <c r="D25" s="377"/>
      <c r="E25" s="340"/>
      <c r="F25" s="335"/>
      <c r="G25" s="485"/>
      <c r="H25" s="486"/>
      <c r="I25" s="487"/>
      <c r="J25" s="488"/>
    </row>
    <row r="26" spans="2:10" x14ac:dyDescent="0.35">
      <c r="B26" s="583" t="s">
        <v>469</v>
      </c>
      <c r="C26" s="388">
        <v>0</v>
      </c>
      <c r="D26" s="377">
        <v>0</v>
      </c>
      <c r="E26" s="340">
        <v>32430</v>
      </c>
      <c r="F26" s="335"/>
      <c r="G26" s="489" t="s">
        <v>278</v>
      </c>
      <c r="H26" s="487"/>
      <c r="I26" s="487"/>
      <c r="J26" s="490">
        <v>0</v>
      </c>
    </row>
    <row r="27" spans="2:10" x14ac:dyDescent="0.25">
      <c r="B27" s="364"/>
      <c r="C27" s="388"/>
      <c r="D27" s="377"/>
      <c r="E27" s="340"/>
      <c r="F27" s="335"/>
      <c r="G27" s="485" t="s">
        <v>279</v>
      </c>
      <c r="H27" s="486"/>
      <c r="I27" s="486"/>
      <c r="J27" s="491" t="str">
        <f>IF(J26=0,"",ROUND((J26+E40-G39)/inputOth!E7*1000,3)-G44)</f>
        <v/>
      </c>
    </row>
    <row r="28" spans="2:10" x14ac:dyDescent="0.25">
      <c r="B28" s="364"/>
      <c r="C28" s="388"/>
      <c r="D28" s="377"/>
      <c r="E28" s="340"/>
      <c r="F28" s="335"/>
      <c r="G28" s="492" t="str">
        <f>CONCATENATE("",E1," Tot Exp/Non-Appr Must Be:")</f>
        <v>2014 Tot Exp/Non-Appr Must Be:</v>
      </c>
      <c r="H28" s="493"/>
      <c r="I28" s="494"/>
      <c r="J28" s="495">
        <f>IF(J26&gt;0,IF(E37&lt;E21,IF(J26=G39,E37,((J26-G39)*(1-D39))+E21),E37+(J26-G39)),0)</f>
        <v>0</v>
      </c>
    </row>
    <row r="29" spans="2:10" x14ac:dyDescent="0.25">
      <c r="B29" s="364"/>
      <c r="C29" s="388"/>
      <c r="D29" s="377"/>
      <c r="E29" s="340"/>
      <c r="F29" s="335"/>
      <c r="G29" s="496" t="s">
        <v>309</v>
      </c>
      <c r="H29" s="497"/>
      <c r="I29" s="497"/>
      <c r="J29" s="498">
        <f>IF(J26&gt;0,J28-E37,0)</f>
        <v>0</v>
      </c>
    </row>
    <row r="30" spans="2:10" x14ac:dyDescent="0.25">
      <c r="B30" s="362" t="s">
        <v>8</v>
      </c>
      <c r="C30" s="388"/>
      <c r="D30" s="377">
        <v>432</v>
      </c>
      <c r="E30" s="347">
        <f>nhood!E7</f>
        <v>404</v>
      </c>
      <c r="F30" s="335"/>
      <c r="G30" s="335"/>
      <c r="H30" s="335"/>
      <c r="I30" s="335"/>
    </row>
    <row r="31" spans="2:10" x14ac:dyDescent="0.25">
      <c r="B31" s="362" t="s">
        <v>9</v>
      </c>
      <c r="C31" s="388"/>
      <c r="D31" s="377"/>
      <c r="E31" s="340"/>
      <c r="F31" s="335"/>
      <c r="G31" s="652" t="str">
        <f>CONCATENATE("Projected Carryover Into ",E1+1,"")</f>
        <v>Projected Carryover Into 2015</v>
      </c>
      <c r="H31" s="631"/>
      <c r="I31" s="631"/>
      <c r="J31" s="651"/>
    </row>
    <row r="32" spans="2:10" x14ac:dyDescent="0.25">
      <c r="B32" s="362" t="s">
        <v>283</v>
      </c>
      <c r="C32" s="242" t="str">
        <f>IF(C33*0.1&lt;C31,"Exceed 10% Rule","")</f>
        <v/>
      </c>
      <c r="D32" s="242" t="str">
        <f>IF(D33*0.1&lt;D31,"Exceed 10% Rule","")</f>
        <v/>
      </c>
      <c r="E32" s="270" t="str">
        <f>IF(E33*0.1&lt;E31,"Exceed 10% Rule","")</f>
        <v/>
      </c>
      <c r="F32" s="335"/>
      <c r="G32" s="366"/>
      <c r="H32" s="408"/>
      <c r="I32" s="408"/>
      <c r="J32" s="482"/>
    </row>
    <row r="33" spans="2:10" x14ac:dyDescent="0.25">
      <c r="B33" s="356" t="s">
        <v>63</v>
      </c>
      <c r="C33" s="374">
        <f>SUM(C23:C31)</f>
        <v>82838</v>
      </c>
      <c r="D33" s="374">
        <f>SUM(D23:D31)</f>
        <v>83583</v>
      </c>
      <c r="E33" s="361">
        <f>SUM(E23:E31)</f>
        <v>117284</v>
      </c>
      <c r="F33" s="335"/>
      <c r="G33" s="370">
        <f>D34</f>
        <v>39424</v>
      </c>
      <c r="H33" s="372" t="str">
        <f>CONCATENATE("",E1-1," Ending Cash Balance (est.)")</f>
        <v>2013 Ending Cash Balance (est.)</v>
      </c>
      <c r="I33" s="367"/>
      <c r="J33" s="482"/>
    </row>
    <row r="34" spans="2:10" x14ac:dyDescent="0.25">
      <c r="B34" s="346" t="s">
        <v>166</v>
      </c>
      <c r="C34" s="379">
        <f>SUM(C21-C33)</f>
        <v>45813</v>
      </c>
      <c r="D34" s="379">
        <f>SUM(D21-D33)</f>
        <v>39424</v>
      </c>
      <c r="E34" s="363" t="s">
        <v>39</v>
      </c>
      <c r="F34" s="335"/>
      <c r="G34" s="370">
        <f>E20</f>
        <v>14810</v>
      </c>
      <c r="H34" s="371" t="str">
        <f>CONCATENATE("",E1," Non-AV Receipts (est.)")</f>
        <v>2014 Non-AV Receipts (est.)</v>
      </c>
      <c r="I34" s="408"/>
      <c r="J34" s="482"/>
    </row>
    <row r="35" spans="2:10" x14ac:dyDescent="0.25">
      <c r="B35" s="351" t="str">
        <f>CONCATENATE("",E1-2,"/",E1-1," Budget Authority Amount:")</f>
        <v>2012/2013 Budget Authority Amount:</v>
      </c>
      <c r="C35" s="353">
        <f>inputOth!B61</f>
        <v>134153</v>
      </c>
      <c r="D35" s="357">
        <f>inputPrYr!D18</f>
        <v>125355</v>
      </c>
      <c r="E35" s="363" t="s">
        <v>39</v>
      </c>
      <c r="F35" s="358"/>
      <c r="G35" s="369">
        <f>IF(E39&gt;0,E38,E40)</f>
        <v>63050</v>
      </c>
      <c r="H35" s="371" t="str">
        <f>CONCATENATE("",E1," Ad Valorem Tax (est.)")</f>
        <v>2014 Ad Valorem Tax (est.)</v>
      </c>
      <c r="I35" s="408"/>
      <c r="J35" s="482"/>
    </row>
    <row r="36" spans="2:10" x14ac:dyDescent="0.25">
      <c r="B36" s="351"/>
      <c r="C36" s="645" t="s">
        <v>268</v>
      </c>
      <c r="D36" s="646"/>
      <c r="E36" s="50"/>
      <c r="F36" s="385" t="str">
        <f>IF(E33/0.95-E33&lt;E36,"Exceeds 5%","")</f>
        <v/>
      </c>
      <c r="G36" s="370">
        <f>SUM(G33:G35)</f>
        <v>117284</v>
      </c>
      <c r="H36" s="371" t="str">
        <f>CONCATENATE("Total ",E1," Resources Available")</f>
        <v>Total 2014 Resources Available</v>
      </c>
      <c r="I36" s="367"/>
      <c r="J36" s="482"/>
    </row>
    <row r="37" spans="2:10" x14ac:dyDescent="0.25">
      <c r="B37" s="405" t="str">
        <f>CONCATENATE(C94,"     ",D94)</f>
        <v xml:space="preserve">     </v>
      </c>
      <c r="C37" s="647" t="s">
        <v>269</v>
      </c>
      <c r="D37" s="648"/>
      <c r="E37" s="347">
        <f>SUM(E33+E36)</f>
        <v>117284</v>
      </c>
      <c r="F37" s="335"/>
      <c r="G37" s="368"/>
      <c r="H37" s="371"/>
      <c r="I37" s="408"/>
      <c r="J37" s="482"/>
    </row>
    <row r="38" spans="2:10" x14ac:dyDescent="0.25">
      <c r="B38" s="405" t="str">
        <f>CONCATENATE(C95,"     ",D95)</f>
        <v xml:space="preserve">     </v>
      </c>
      <c r="C38" s="359"/>
      <c r="D38" s="352" t="s">
        <v>64</v>
      </c>
      <c r="E38" s="341">
        <f>IF(E37-E21&gt;0,E37-E21,0)</f>
        <v>63050</v>
      </c>
      <c r="F38" s="335"/>
      <c r="G38" s="369">
        <f>C33</f>
        <v>82838</v>
      </c>
      <c r="H38" s="371" t="str">
        <f>CONCATENATE("Less ",E1-2," Expenditures")</f>
        <v>Less 2012 Expenditures</v>
      </c>
      <c r="I38" s="408"/>
      <c r="J38" s="482"/>
    </row>
    <row r="39" spans="2:10" x14ac:dyDescent="0.25">
      <c r="B39" s="352"/>
      <c r="C39" s="334" t="s">
        <v>267</v>
      </c>
      <c r="D39" s="558">
        <v>0</v>
      </c>
      <c r="E39" s="347">
        <f>ROUND(IF(D39&gt;0,(E38*D39),0),0)</f>
        <v>0</v>
      </c>
      <c r="F39" s="335"/>
      <c r="G39" s="479">
        <f>SUM(G36-G38)</f>
        <v>34446</v>
      </c>
      <c r="H39" s="480" t="str">
        <f>CONCATENATE("Projected ",E1+1," carryover (est.)")</f>
        <v>Projected 2015 carryover (est.)</v>
      </c>
      <c r="I39" s="481"/>
      <c r="J39" s="467"/>
    </row>
    <row r="40" spans="2:10" ht="16" thickBot="1" x14ac:dyDescent="0.3">
      <c r="B40" s="336"/>
      <c r="C40" s="656" t="str">
        <f>CONCATENATE("Amount of  ",E1-1," Ad Valorem Tax")</f>
        <v>Amount of  2013 Ad Valorem Tax</v>
      </c>
      <c r="D40" s="657"/>
      <c r="E40" s="483">
        <f>SUM(E38:E39)</f>
        <v>63050</v>
      </c>
      <c r="F40" s="335"/>
    </row>
    <row r="41" spans="2:10" ht="16" thickTop="1" x14ac:dyDescent="0.3">
      <c r="B41" s="336"/>
      <c r="C41" s="443"/>
      <c r="D41" s="342"/>
      <c r="E41" s="342"/>
      <c r="F41" s="335"/>
      <c r="G41" s="639" t="s">
        <v>308</v>
      </c>
      <c r="H41" s="640"/>
      <c r="I41" s="640"/>
      <c r="J41" s="641"/>
    </row>
    <row r="42" spans="2:10" x14ac:dyDescent="0.25">
      <c r="B42" s="338"/>
      <c r="C42" s="338"/>
      <c r="D42" s="354"/>
      <c r="E42" s="354"/>
      <c r="F42" s="335"/>
      <c r="G42" s="468"/>
      <c r="H42" s="469"/>
      <c r="I42" s="470"/>
      <c r="J42" s="471"/>
    </row>
    <row r="43" spans="2:10" x14ac:dyDescent="0.25">
      <c r="B43" s="338" t="s">
        <v>50</v>
      </c>
      <c r="C43" s="544" t="s">
        <v>367</v>
      </c>
      <c r="D43" s="545" t="s">
        <v>368</v>
      </c>
      <c r="E43" s="127" t="s">
        <v>369</v>
      </c>
      <c r="F43" s="335"/>
      <c r="G43" s="472">
        <f>summ!H16</f>
        <v>6.0709999999999997</v>
      </c>
      <c r="H43" s="469" t="str">
        <f>CONCATENATE("",E1," Fund Mill Rate")</f>
        <v>2014 Fund Mill Rate</v>
      </c>
      <c r="I43" s="470"/>
      <c r="J43" s="471"/>
    </row>
    <row r="44" spans="2:10" x14ac:dyDescent="0.25">
      <c r="B44" s="381" t="str">
        <f>inputPrYr!B19</f>
        <v>Library</v>
      </c>
      <c r="C44" s="206" t="str">
        <f>CONCATENATE("Actual for ",E1-2,"")</f>
        <v>Actual for 2012</v>
      </c>
      <c r="D44" s="206" t="str">
        <f>CONCATENATE("Estimate for ",E1-1,"")</f>
        <v>Estimate for 2013</v>
      </c>
      <c r="E44" s="191" t="str">
        <f>CONCATENATE("Year for ",E1,"")</f>
        <v>Year for 2014</v>
      </c>
      <c r="F44" s="335"/>
      <c r="G44" s="473">
        <f>summ!E16</f>
        <v>6.4279999999999999</v>
      </c>
      <c r="H44" s="469" t="str">
        <f>CONCATENATE("",E1-1," Fund Mill Rate")</f>
        <v>2013 Fund Mill Rate</v>
      </c>
      <c r="I44" s="470"/>
      <c r="J44" s="471"/>
    </row>
    <row r="45" spans="2:10" x14ac:dyDescent="0.25">
      <c r="B45" s="346" t="s">
        <v>165</v>
      </c>
      <c r="C45" s="373">
        <v>-88</v>
      </c>
      <c r="D45" s="375">
        <f>C74</f>
        <v>30</v>
      </c>
      <c r="E45" s="347">
        <f>D74</f>
        <v>0</v>
      </c>
      <c r="F45" s="335"/>
      <c r="G45" s="474">
        <f>summ!H29</f>
        <v>54.967999999999996</v>
      </c>
      <c r="H45" s="469" t="str">
        <f>CONCATENATE("Total ",E1," Mill Rate")</f>
        <v>Total 2014 Mill Rate</v>
      </c>
      <c r="I45" s="470"/>
      <c r="J45" s="471"/>
    </row>
    <row r="46" spans="2:10" x14ac:dyDescent="0.25">
      <c r="B46" s="355" t="s">
        <v>167</v>
      </c>
      <c r="C46" s="346"/>
      <c r="D46" s="375"/>
      <c r="E46" s="347"/>
      <c r="F46" s="335"/>
      <c r="G46" s="473">
        <f>summ!E29</f>
        <v>54.967999999999996</v>
      </c>
      <c r="H46" s="475" t="str">
        <f>CONCATENATE("Total ",E1-1," Mill Rate")</f>
        <v>Total 2013 Mill Rate</v>
      </c>
      <c r="I46" s="476"/>
      <c r="J46" s="477"/>
    </row>
    <row r="47" spans="2:10" x14ac:dyDescent="0.25">
      <c r="B47" s="346" t="s">
        <v>51</v>
      </c>
      <c r="C47" s="373">
        <v>56874</v>
      </c>
      <c r="D47" s="375">
        <f>IF(inputPrYr!H16,inputPrYr!G19,inputPrYr!E19)</f>
        <v>57635</v>
      </c>
      <c r="E47" s="363" t="s">
        <v>39</v>
      </c>
      <c r="F47" s="335"/>
      <c r="G47" s="335"/>
      <c r="H47" s="335"/>
      <c r="I47" s="335"/>
    </row>
    <row r="48" spans="2:10" x14ac:dyDescent="0.25">
      <c r="B48" s="346" t="s">
        <v>52</v>
      </c>
      <c r="C48" s="373">
        <v>1506</v>
      </c>
      <c r="D48" s="377">
        <v>3033</v>
      </c>
      <c r="E48" s="340">
        <v>3033</v>
      </c>
      <c r="F48" s="335"/>
      <c r="G48" s="563" t="s">
        <v>374</v>
      </c>
      <c r="H48" s="562"/>
      <c r="I48" s="561" t="str">
        <f>cert!F58</f>
        <v>No</v>
      </c>
    </row>
    <row r="49" spans="2:10" x14ac:dyDescent="0.25">
      <c r="B49" s="346" t="s">
        <v>53</v>
      </c>
      <c r="C49" s="373">
        <v>9361</v>
      </c>
      <c r="D49" s="377">
        <v>10977</v>
      </c>
      <c r="E49" s="347">
        <f>mvalloc!D9</f>
        <v>10534</v>
      </c>
      <c r="F49" s="335"/>
      <c r="G49" s="335"/>
      <c r="H49" s="335"/>
      <c r="I49" s="335"/>
    </row>
    <row r="50" spans="2:10" x14ac:dyDescent="0.25">
      <c r="B50" s="346" t="s">
        <v>54</v>
      </c>
      <c r="C50" s="373">
        <v>117</v>
      </c>
      <c r="D50" s="377">
        <v>132</v>
      </c>
      <c r="E50" s="347">
        <f>mvalloc!E9</f>
        <v>132</v>
      </c>
      <c r="F50" s="335"/>
      <c r="G50" s="335"/>
      <c r="H50" s="335"/>
      <c r="I50" s="335"/>
    </row>
    <row r="51" spans="2:10" x14ac:dyDescent="0.25">
      <c r="B51" s="349" t="s">
        <v>143</v>
      </c>
      <c r="C51" s="373">
        <v>130</v>
      </c>
      <c r="D51" s="377">
        <v>130</v>
      </c>
      <c r="E51" s="347">
        <f>mvalloc!F9</f>
        <v>103</v>
      </c>
    </row>
    <row r="52" spans="2:10" x14ac:dyDescent="0.25">
      <c r="B52" s="340" t="s">
        <v>445</v>
      </c>
      <c r="C52" s="373">
        <v>9140</v>
      </c>
      <c r="D52" s="377">
        <v>9269</v>
      </c>
      <c r="E52" s="340">
        <v>9269</v>
      </c>
    </row>
    <row r="53" spans="2:10" x14ac:dyDescent="0.25">
      <c r="B53" s="340"/>
      <c r="C53" s="373"/>
      <c r="D53" s="377"/>
      <c r="E53" s="340"/>
    </row>
    <row r="54" spans="2:10" x14ac:dyDescent="0.25">
      <c r="B54" s="340"/>
      <c r="C54" s="373"/>
      <c r="D54" s="377"/>
      <c r="E54" s="340"/>
    </row>
    <row r="55" spans="2:10" x14ac:dyDescent="0.25">
      <c r="B55" s="364"/>
      <c r="C55" s="373"/>
      <c r="D55" s="377"/>
      <c r="E55" s="340"/>
    </row>
    <row r="56" spans="2:10" x14ac:dyDescent="0.25">
      <c r="B56" s="364"/>
      <c r="C56" s="373"/>
      <c r="D56" s="377"/>
      <c r="E56" s="340"/>
    </row>
    <row r="57" spans="2:10" x14ac:dyDescent="0.25">
      <c r="B57" s="360" t="s">
        <v>56</v>
      </c>
      <c r="C57" s="373"/>
      <c r="D57" s="377"/>
      <c r="E57" s="340"/>
    </row>
    <row r="58" spans="2:10" x14ac:dyDescent="0.25">
      <c r="B58" s="346" t="s">
        <v>9</v>
      </c>
      <c r="C58" s="373"/>
      <c r="D58" s="237"/>
      <c r="E58" s="50"/>
    </row>
    <row r="59" spans="2:10" x14ac:dyDescent="0.25">
      <c r="B59" s="346" t="s">
        <v>281</v>
      </c>
      <c r="C59" s="242" t="str">
        <f>IF(C60*0.1&lt;C58,"Exceed 10% Rule","")</f>
        <v/>
      </c>
      <c r="D59" s="242" t="str">
        <f>IF(D60*0.1&lt;D58,"Exceed 10% Rule","")</f>
        <v/>
      </c>
      <c r="E59" s="270" t="str">
        <f>IF(E60*0.1+E80&lt;E58,"Exceed 10% Rule","")</f>
        <v/>
      </c>
    </row>
    <row r="60" spans="2:10" x14ac:dyDescent="0.25">
      <c r="B60" s="356" t="s">
        <v>57</v>
      </c>
      <c r="C60" s="374">
        <f>SUM(C47:C58)</f>
        <v>77128</v>
      </c>
      <c r="D60" s="374">
        <f>SUM(D47:D58)</f>
        <v>81176</v>
      </c>
      <c r="E60" s="361">
        <f>SUM(E48:E58)</f>
        <v>23071</v>
      </c>
    </row>
    <row r="61" spans="2:10" x14ac:dyDescent="0.25">
      <c r="B61" s="356" t="s">
        <v>58</v>
      </c>
      <c r="C61" s="374">
        <f>SUM(C45+C60)</f>
        <v>77040</v>
      </c>
      <c r="D61" s="374">
        <f>SUM(D45+D60)</f>
        <v>81206</v>
      </c>
      <c r="E61" s="361">
        <f>SUM(E45+E60)</f>
        <v>23071</v>
      </c>
    </row>
    <row r="62" spans="2:10" x14ac:dyDescent="0.25">
      <c r="B62" s="346" t="s">
        <v>60</v>
      </c>
      <c r="C62" s="346"/>
      <c r="D62" s="375"/>
      <c r="E62" s="347"/>
    </row>
    <row r="63" spans="2:10" x14ac:dyDescent="0.35">
      <c r="B63" s="583" t="s">
        <v>470</v>
      </c>
      <c r="C63" s="373"/>
      <c r="D63" s="377"/>
      <c r="E63" s="340"/>
    </row>
    <row r="64" spans="2:10" x14ac:dyDescent="0.35">
      <c r="B64" s="583" t="s">
        <v>471</v>
      </c>
      <c r="C64" s="373">
        <v>5428</v>
      </c>
      <c r="D64" s="377">
        <v>6902</v>
      </c>
      <c r="E64" s="340">
        <v>7247</v>
      </c>
      <c r="F64" s="2"/>
      <c r="G64" s="653" t="str">
        <f>CONCATENATE("Desired Carryover Into ",E1+1,"")</f>
        <v>Desired Carryover Into 2015</v>
      </c>
      <c r="H64" s="631"/>
      <c r="I64" s="631"/>
      <c r="J64" s="651"/>
    </row>
    <row r="65" spans="2:11" x14ac:dyDescent="0.35">
      <c r="B65" s="583" t="s">
        <v>452</v>
      </c>
      <c r="C65" s="373">
        <v>3292</v>
      </c>
      <c r="D65" s="377">
        <v>221</v>
      </c>
      <c r="E65" s="340">
        <v>221</v>
      </c>
      <c r="F65" s="2"/>
      <c r="G65" s="485"/>
      <c r="H65" s="486"/>
      <c r="I65" s="487"/>
      <c r="J65" s="488"/>
    </row>
    <row r="66" spans="2:11" x14ac:dyDescent="0.35">
      <c r="B66" s="583"/>
      <c r="C66" s="373"/>
      <c r="D66" s="377"/>
      <c r="E66" s="340"/>
      <c r="F66" s="2"/>
      <c r="G66" s="489" t="s">
        <v>278</v>
      </c>
      <c r="H66" s="487"/>
      <c r="I66" s="487"/>
      <c r="J66" s="490">
        <v>0</v>
      </c>
    </row>
    <row r="67" spans="2:11" x14ac:dyDescent="0.35">
      <c r="B67" s="583" t="s">
        <v>472</v>
      </c>
      <c r="C67" s="373">
        <v>68290</v>
      </c>
      <c r="D67" s="377">
        <v>73676</v>
      </c>
      <c r="E67" s="340">
        <v>77516</v>
      </c>
      <c r="F67" s="2"/>
      <c r="G67" s="485" t="s">
        <v>279</v>
      </c>
      <c r="H67" s="486"/>
      <c r="I67" s="486"/>
      <c r="J67" s="491" t="str">
        <f>IF(J66=0,"",ROUND((J66+E80-G79)/inputOth!E7*1000,3)-G85)</f>
        <v/>
      </c>
    </row>
    <row r="68" spans="2:11" x14ac:dyDescent="0.35">
      <c r="B68" s="364"/>
      <c r="C68" s="373"/>
      <c r="D68" s="377"/>
      <c r="E68" s="340"/>
      <c r="F68" s="2"/>
      <c r="G68" s="492" t="str">
        <f>CONCATENATE("",E1," Tot Exp/Non-Appr Must Be:")</f>
        <v>2014 Tot Exp/Non-Appr Must Be:</v>
      </c>
      <c r="H68" s="493"/>
      <c r="I68" s="494"/>
      <c r="J68" s="495">
        <f>IF(J66&gt;0,IF(E77&lt;E61,IF(J66=G79,E77,((J66-G79)*(1-D79))+E61),E77+(J66-G79)),0)</f>
        <v>0</v>
      </c>
    </row>
    <row r="69" spans="2:11" x14ac:dyDescent="0.35">
      <c r="B69" s="364"/>
      <c r="C69" s="373"/>
      <c r="D69" s="377"/>
      <c r="E69" s="340"/>
      <c r="F69" s="2"/>
      <c r="G69" s="496" t="s">
        <v>309</v>
      </c>
      <c r="H69" s="497"/>
      <c r="I69" s="497"/>
      <c r="J69" s="498">
        <f>IF(J66&gt;0,J68-E77,0)</f>
        <v>0</v>
      </c>
    </row>
    <row r="70" spans="2:11" x14ac:dyDescent="0.35">
      <c r="B70" s="349" t="s">
        <v>8</v>
      </c>
      <c r="C70" s="373"/>
      <c r="D70" s="377">
        <v>407</v>
      </c>
      <c r="E70" s="347">
        <f>nhood!E8</f>
        <v>400</v>
      </c>
      <c r="F70"/>
      <c r="G70" s="2"/>
      <c r="H70" s="2"/>
      <c r="I70" s="2"/>
      <c r="J70" s="2"/>
    </row>
    <row r="71" spans="2:11" x14ac:dyDescent="0.25">
      <c r="B71" s="349" t="s">
        <v>9</v>
      </c>
      <c r="C71" s="388"/>
      <c r="D71" s="377"/>
      <c r="E71" s="340"/>
      <c r="F71"/>
      <c r="G71" s="653" t="str">
        <f>CONCATENATE("Projected Carryover Into ",E1+1,"")</f>
        <v>Projected Carryover Into 2015</v>
      </c>
      <c r="H71" s="654"/>
      <c r="I71" s="654"/>
      <c r="J71" s="655"/>
    </row>
    <row r="72" spans="2:11" x14ac:dyDescent="0.35">
      <c r="B72" s="349" t="s">
        <v>282</v>
      </c>
      <c r="C72" s="242" t="str">
        <f>IF(C73*0.1&lt;C71,"Exceed 10% Rule","")</f>
        <v/>
      </c>
      <c r="D72" s="242" t="str">
        <f>IF(D73*0.1&lt;D71,"Exceed 10% Rule","")</f>
        <v/>
      </c>
      <c r="E72" s="270" t="str">
        <f>IF(E73*0.1&lt;E71,"Exceed 10% Rule","")</f>
        <v/>
      </c>
      <c r="F72"/>
      <c r="G72" s="499"/>
      <c r="H72" s="486"/>
      <c r="I72" s="486"/>
      <c r="J72" s="500"/>
    </row>
    <row r="73" spans="2:11" x14ac:dyDescent="0.35">
      <c r="B73" s="356" t="s">
        <v>63</v>
      </c>
      <c r="C73" s="374">
        <f>SUM(C63:C71)</f>
        <v>77010</v>
      </c>
      <c r="D73" s="374">
        <f>SUM(D63:D71)</f>
        <v>81206</v>
      </c>
      <c r="E73" s="361">
        <f>SUM(E63:E71)</f>
        <v>85384</v>
      </c>
      <c r="F73"/>
      <c r="G73" s="501">
        <f>D74</f>
        <v>0</v>
      </c>
      <c r="H73" s="469" t="str">
        <f>CONCATENATE("",E1-1," Ending Cash Balance (est.)")</f>
        <v>2013 Ending Cash Balance (est.)</v>
      </c>
      <c r="I73" s="502"/>
      <c r="J73" s="500"/>
    </row>
    <row r="74" spans="2:11" x14ac:dyDescent="0.35">
      <c r="B74" s="346" t="s">
        <v>166</v>
      </c>
      <c r="C74" s="379">
        <f>SUM(C61-C73)</f>
        <v>30</v>
      </c>
      <c r="D74" s="379">
        <f>SUM(D61-D73)</f>
        <v>0</v>
      </c>
      <c r="E74" s="363" t="s">
        <v>39</v>
      </c>
      <c r="F74"/>
      <c r="G74" s="501">
        <f>E60</f>
        <v>23071</v>
      </c>
      <c r="H74" s="487" t="str">
        <f>CONCATENATE("",E1," Non-AV Receipts (est.)")</f>
        <v>2014 Non-AV Receipts (est.)</v>
      </c>
      <c r="I74" s="502"/>
      <c r="J74" s="500"/>
    </row>
    <row r="75" spans="2:11" x14ac:dyDescent="0.35">
      <c r="B75" s="351" t="str">
        <f>CONCATENATE("",E1-2,"/",E1-1," Budget Authority Amount:")</f>
        <v>2012/2013 Budget Authority Amount:</v>
      </c>
      <c r="C75" s="353">
        <f>inputOth!B62</f>
        <v>82371</v>
      </c>
      <c r="D75" s="353">
        <f>inputPrYr!D19</f>
        <v>84058</v>
      </c>
      <c r="E75" s="363" t="s">
        <v>39</v>
      </c>
      <c r="F75" s="256"/>
      <c r="G75" s="503">
        <f>IF(E79&gt;0,E78,E80)</f>
        <v>62313</v>
      </c>
      <c r="H75" s="487" t="str">
        <f>CONCATENATE("",E1," Ad Valorem Tax (est.)")</f>
        <v>2014 Ad Valorem Tax (est.)</v>
      </c>
      <c r="I75" s="502"/>
      <c r="J75" s="500"/>
      <c r="K75" s="478" t="str">
        <f>IF(G75=E80,"","Note: Does not include Delinquent Taxes")</f>
        <v/>
      </c>
    </row>
    <row r="76" spans="2:11" x14ac:dyDescent="0.35">
      <c r="B76" s="351"/>
      <c r="C76" s="645" t="s">
        <v>268</v>
      </c>
      <c r="D76" s="646"/>
      <c r="E76" s="50"/>
      <c r="F76" s="504" t="str">
        <f>IF(E73/0.95-E73&lt;E76,"Exceeds 5%","")</f>
        <v/>
      </c>
      <c r="G76" s="505">
        <f>SUM(G73:G75)</f>
        <v>85384</v>
      </c>
      <c r="H76" s="487" t="str">
        <f>CONCATENATE("Total ",E1," Resources Available")</f>
        <v>Total 2014 Resources Available</v>
      </c>
      <c r="I76" s="506"/>
      <c r="J76" s="500"/>
    </row>
    <row r="77" spans="2:11" x14ac:dyDescent="0.35">
      <c r="B77" s="405" t="str">
        <f>CONCATENATE(C96,"     ",D96)</f>
        <v xml:space="preserve">     </v>
      </c>
      <c r="C77" s="647" t="s">
        <v>269</v>
      </c>
      <c r="D77" s="648"/>
      <c r="E77" s="347">
        <f>SUM(E73+E76)</f>
        <v>85384</v>
      </c>
      <c r="F77"/>
      <c r="G77" s="507"/>
      <c r="H77" s="508"/>
      <c r="I77" s="486"/>
      <c r="J77" s="500"/>
    </row>
    <row r="78" spans="2:11" x14ac:dyDescent="0.35">
      <c r="B78" s="405" t="str">
        <f>CONCATENATE(C97,"     ",D97)</f>
        <v xml:space="preserve">     </v>
      </c>
      <c r="C78" s="359"/>
      <c r="D78" s="352" t="s">
        <v>64</v>
      </c>
      <c r="E78" s="341">
        <f>IF(E77-E61&gt;0,E77-E61,0)</f>
        <v>62313</v>
      </c>
      <c r="F78"/>
      <c r="G78" s="509">
        <f>ROUND(C73*0.05+C73,0)</f>
        <v>80861</v>
      </c>
      <c r="H78" s="508" t="str">
        <f>CONCATENATE("Less ",E1-2," Expenditures + 5%")</f>
        <v>Less 2012 Expenditures + 5%</v>
      </c>
      <c r="I78" s="506"/>
      <c r="J78" s="500"/>
    </row>
    <row r="79" spans="2:11" x14ac:dyDescent="0.35">
      <c r="B79" s="352"/>
      <c r="C79" s="334" t="s">
        <v>267</v>
      </c>
      <c r="D79" s="558">
        <v>0</v>
      </c>
      <c r="E79" s="347">
        <f>ROUND(IF(D79&gt;0,(E78*D79),0),0)</f>
        <v>0</v>
      </c>
      <c r="F79"/>
      <c r="G79" s="510">
        <f>G76-G78</f>
        <v>4523</v>
      </c>
      <c r="H79" s="511" t="str">
        <f>CONCATENATE("Projected ",E1+1," carryover (est.)")</f>
        <v>Projected 2015 carryover (est.)</v>
      </c>
      <c r="I79" s="512"/>
      <c r="J79" s="513"/>
    </row>
    <row r="80" spans="2:11" ht="16" thickBot="1" x14ac:dyDescent="0.4">
      <c r="B80" s="336"/>
      <c r="C80" s="656" t="str">
        <f>CONCATENATE("Amount of  ",E1-1," Ad Valorem Tax")</f>
        <v>Amount of  2013 Ad Valorem Tax</v>
      </c>
      <c r="D80" s="657"/>
      <c r="E80" s="483">
        <f>SUM(E78:E79)</f>
        <v>62313</v>
      </c>
      <c r="F80" s="514" t="str">
        <f>IF('Library Grant'!F33="","",IF('Library Grant'!F33="Qualify","Qualifies for State Library Grant","See 'Library Grant' tab"))</f>
        <v>Qualifies for State Library Grant</v>
      </c>
      <c r="G80" s="2"/>
      <c r="H80" s="2"/>
      <c r="I80" s="2"/>
      <c r="J80" s="2"/>
    </row>
    <row r="81" spans="2:10" ht="16" thickTop="1" x14ac:dyDescent="0.35">
      <c r="B81" s="612" t="s">
        <v>375</v>
      </c>
      <c r="C81" s="594"/>
      <c r="D81" s="594"/>
      <c r="E81" s="594"/>
      <c r="F81" s="514"/>
      <c r="G81" s="2"/>
      <c r="H81" s="2"/>
      <c r="I81" s="2"/>
      <c r="J81" s="2"/>
    </row>
    <row r="82" spans="2:10" x14ac:dyDescent="0.3">
      <c r="B82" s="352" t="s">
        <v>66</v>
      </c>
      <c r="C82" s="584">
        <v>9</v>
      </c>
      <c r="D82" s="342"/>
      <c r="E82" s="336"/>
      <c r="F82"/>
      <c r="G82" s="639" t="s">
        <v>308</v>
      </c>
      <c r="H82" s="640"/>
      <c r="I82" s="640"/>
      <c r="J82" s="641"/>
    </row>
    <row r="83" spans="2:10" x14ac:dyDescent="0.35">
      <c r="F83" s="2"/>
      <c r="G83" s="468"/>
      <c r="H83" s="469"/>
      <c r="I83" s="470"/>
      <c r="J83" s="471"/>
    </row>
    <row r="84" spans="2:10" x14ac:dyDescent="0.25">
      <c r="B84" s="343"/>
      <c r="C84" s="343"/>
      <c r="D84" s="335"/>
      <c r="E84" s="335"/>
      <c r="F84"/>
      <c r="G84" s="472">
        <f>summ!H17</f>
        <v>6</v>
      </c>
      <c r="H84" s="469" t="str">
        <f>CONCATENATE("",E1," Fund Mill Rate")</f>
        <v>2014 Fund Mill Rate</v>
      </c>
      <c r="I84" s="470"/>
      <c r="J84" s="471"/>
    </row>
    <row r="85" spans="2:10" x14ac:dyDescent="0.35">
      <c r="F85" s="2"/>
      <c r="G85" s="473">
        <f>summ!E17</f>
        <v>5.9909999999999997</v>
      </c>
      <c r="H85" s="469" t="str">
        <f>CONCATENATE("",E1-1," Fund Mill Rate")</f>
        <v>2013 Fund Mill Rate</v>
      </c>
      <c r="I85" s="470"/>
      <c r="J85" s="471"/>
    </row>
    <row r="86" spans="2:10" x14ac:dyDescent="0.35">
      <c r="F86" s="2"/>
      <c r="G86" s="474">
        <f>summ!H29</f>
        <v>54.967999999999996</v>
      </c>
      <c r="H86" s="469" t="str">
        <f>CONCATENATE("Total ",E1," Mill Rate")</f>
        <v>Total 2014 Mill Rate</v>
      </c>
      <c r="I86" s="470"/>
      <c r="J86" s="471"/>
    </row>
    <row r="87" spans="2:10" x14ac:dyDescent="0.35">
      <c r="F87" s="2"/>
      <c r="G87" s="473">
        <f>summ!E29</f>
        <v>54.967999999999996</v>
      </c>
      <c r="H87" s="475" t="str">
        <f>CONCATENATE("Total ",E1-1," Mill Rate")</f>
        <v>Total 2013 Mill Rate</v>
      </c>
      <c r="I87" s="476"/>
      <c r="J87" s="477"/>
    </row>
    <row r="89" spans="2:10" x14ac:dyDescent="0.25">
      <c r="C89" s="337" t="s">
        <v>271</v>
      </c>
      <c r="D89" s="337" t="s">
        <v>271</v>
      </c>
      <c r="G89" s="563" t="s">
        <v>374</v>
      </c>
      <c r="H89" s="562"/>
      <c r="I89" s="561" t="str">
        <f>cert!F58</f>
        <v>No</v>
      </c>
    </row>
    <row r="90" spans="2:10" x14ac:dyDescent="0.25">
      <c r="C90" s="337" t="s">
        <v>271</v>
      </c>
      <c r="D90" s="337" t="s">
        <v>271</v>
      </c>
    </row>
    <row r="92" spans="2:10" x14ac:dyDescent="0.25">
      <c r="C92" s="337" t="s">
        <v>271</v>
      </c>
      <c r="D92" s="337" t="s">
        <v>271</v>
      </c>
    </row>
    <row r="93" spans="2:10" ht="1.5" customHeight="1" x14ac:dyDescent="0.25">
      <c r="C93" s="337" t="s">
        <v>271</v>
      </c>
      <c r="D93" s="337" t="s">
        <v>271</v>
      </c>
    </row>
    <row r="94" spans="2:10" ht="15" hidden="1" customHeight="1" x14ac:dyDescent="0.25">
      <c r="C94" s="404" t="str">
        <f>IF(C33&gt;C35,"See Tab A","")</f>
        <v/>
      </c>
      <c r="D94" s="404" t="str">
        <f>IF(D33&gt;D35,"See Tab C","")</f>
        <v/>
      </c>
    </row>
    <row r="95" spans="2:10" ht="15.75" hidden="1" customHeight="1" x14ac:dyDescent="0.25">
      <c r="C95" s="404" t="str">
        <f>IF(C34&lt;0,"See Tab B","")</f>
        <v/>
      </c>
      <c r="D95" s="404" t="str">
        <f>IF(D34&lt;0,"See Tab D","")</f>
        <v/>
      </c>
    </row>
    <row r="96" spans="2:10" ht="1.5" hidden="1" customHeight="1" x14ac:dyDescent="0.25">
      <c r="C96" s="404" t="str">
        <f>IF(C73&gt;C75,"See Tab A","")</f>
        <v/>
      </c>
      <c r="D96" s="404" t="str">
        <f>IF(D73&gt;D75,"See Tab C","")</f>
        <v/>
      </c>
    </row>
    <row r="97" spans="3:4" ht="43.5" hidden="1" customHeight="1" x14ac:dyDescent="0.25">
      <c r="C97" s="404" t="str">
        <f>IF(C74&lt;0,"See Tab B","")</f>
        <v/>
      </c>
      <c r="D97" s="404" t="str">
        <f>IF(D74&lt;0,"See Tab D","")</f>
        <v/>
      </c>
    </row>
    <row r="98" spans="3:4" ht="24.75" customHeight="1" x14ac:dyDescent="0.25"/>
  </sheetData>
  <mergeCells count="13">
    <mergeCell ref="C36:D36"/>
    <mergeCell ref="C37:D37"/>
    <mergeCell ref="C40:D40"/>
    <mergeCell ref="G82:J82"/>
    <mergeCell ref="B81:E81"/>
    <mergeCell ref="C80:D80"/>
    <mergeCell ref="C76:D76"/>
    <mergeCell ref="C77:D77"/>
    <mergeCell ref="G31:J31"/>
    <mergeCell ref="G24:J24"/>
    <mergeCell ref="G41:J41"/>
    <mergeCell ref="G64:J64"/>
    <mergeCell ref="G71:J71"/>
  </mergeCells>
  <phoneticPr fontId="9" type="noConversion"/>
  <conditionalFormatting sqref="C58">
    <cfRule type="cellIs" dxfId="130" priority="22" stopIfTrue="1" operator="greaterThan">
      <formula>$C$60*0.1</formula>
    </cfRule>
  </conditionalFormatting>
  <conditionalFormatting sqref="D58 D18">
    <cfRule type="cellIs" dxfId="129" priority="21" stopIfTrue="1" operator="greaterThan">
      <formula>$D$20*0.1</formula>
    </cfRule>
  </conditionalFormatting>
  <conditionalFormatting sqref="E58">
    <cfRule type="cellIs" dxfId="128" priority="20" stopIfTrue="1" operator="greaterThan">
      <formula>$E$20*0.1+E80</formula>
    </cfRule>
  </conditionalFormatting>
  <conditionalFormatting sqref="C71">
    <cfRule type="cellIs" dxfId="127" priority="19" stopIfTrue="1" operator="greaterThan">
      <formula>$C$73*0.1</formula>
    </cfRule>
  </conditionalFormatting>
  <conditionalFormatting sqref="D71">
    <cfRule type="cellIs" dxfId="126" priority="18" stopIfTrue="1" operator="greaterThan">
      <formula>$D$73*0.1</formula>
    </cfRule>
  </conditionalFormatting>
  <conditionalFormatting sqref="E71">
    <cfRule type="cellIs" dxfId="125" priority="17" stopIfTrue="1" operator="greaterThan">
      <formula>$E$73*0.1</formula>
    </cfRule>
  </conditionalFormatting>
  <conditionalFormatting sqref="C31">
    <cfRule type="cellIs" dxfId="124" priority="16" stopIfTrue="1" operator="greaterThan">
      <formula>$C$33*0.1</formula>
    </cfRule>
  </conditionalFormatting>
  <conditionalFormatting sqref="D31">
    <cfRule type="cellIs" dxfId="123" priority="15" stopIfTrue="1" operator="greaterThan">
      <formula>$D$33*0.1</formula>
    </cfRule>
  </conditionalFormatting>
  <conditionalFormatting sqref="E31">
    <cfRule type="cellIs" dxfId="122" priority="14" stopIfTrue="1" operator="greaterThan">
      <formula>$E$33*0.1</formula>
    </cfRule>
  </conditionalFormatting>
  <conditionalFormatting sqref="C18">
    <cfRule type="cellIs" dxfId="121" priority="12" stopIfTrue="1" operator="greaterThan">
      <formula>$C$20*0.1</formula>
    </cfRule>
  </conditionalFormatting>
  <conditionalFormatting sqref="E18">
    <cfRule type="cellIs" dxfId="120" priority="11" stopIfTrue="1" operator="greaterThan">
      <formula>$E$20*0.1+E40</formula>
    </cfRule>
  </conditionalFormatting>
  <conditionalFormatting sqref="E36">
    <cfRule type="cellIs" dxfId="119" priority="10" stopIfTrue="1" operator="greaterThan">
      <formula>$E$33/0.95-$E$33</formula>
    </cfRule>
  </conditionalFormatting>
  <conditionalFormatting sqref="E76">
    <cfRule type="cellIs" dxfId="118" priority="9" stopIfTrue="1" operator="greaterThan">
      <formula>$E$73/0.95-$E$73</formula>
    </cfRule>
  </conditionalFormatting>
  <conditionalFormatting sqref="C33">
    <cfRule type="cellIs" dxfId="117" priority="8" stopIfTrue="1" operator="greaterThan">
      <formula>$C$35</formula>
    </cfRule>
  </conditionalFormatting>
  <conditionalFormatting sqref="D74">
    <cfRule type="cellIs" dxfId="116" priority="7" stopIfTrue="1" operator="lessThan">
      <formula>0</formula>
    </cfRule>
  </conditionalFormatting>
  <conditionalFormatting sqref="D33">
    <cfRule type="cellIs" dxfId="115" priority="6" stopIfTrue="1" operator="greaterThan">
      <formula>$D$35</formula>
    </cfRule>
  </conditionalFormatting>
  <conditionalFormatting sqref="C73">
    <cfRule type="cellIs" dxfId="114" priority="4" stopIfTrue="1" operator="greaterThan">
      <formula>$C$75</formula>
    </cfRule>
  </conditionalFormatting>
  <conditionalFormatting sqref="D73">
    <cfRule type="cellIs" dxfId="113" priority="2" stopIfTrue="1" operator="greaterThan">
      <formula>$D$75</formula>
    </cfRule>
  </conditionalFormatting>
  <pageMargins left="0.75" right="0.75" top="1" bottom="1" header="0.5" footer="0.5"/>
  <pageSetup scale="54"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7"/>
  <sheetViews>
    <sheetView topLeftCell="A8" zoomScale="85" zoomScaleNormal="85" workbookViewId="0">
      <selection activeCell="E25" sqref="E25"/>
    </sheetView>
  </sheetViews>
  <sheetFormatPr defaultColWidth="8.9140625" defaultRowHeight="15.5" x14ac:dyDescent="0.25"/>
  <cols>
    <col min="1" max="1" width="2.4140625" style="30" customWidth="1"/>
    <col min="2" max="2" width="31.08203125" style="30" customWidth="1"/>
    <col min="3" max="4" width="15.6640625" style="30" customWidth="1"/>
    <col min="5" max="5" width="16.25" style="30" customWidth="1"/>
    <col min="6" max="16384" width="8.9140625" style="30"/>
  </cols>
  <sheetData>
    <row r="1" spans="2:5" x14ac:dyDescent="0.25">
      <c r="B1" s="180" t="str">
        <f>(inputPrYr!D2)</f>
        <v>City of Eureka</v>
      </c>
      <c r="C1" s="32"/>
      <c r="D1" s="32"/>
      <c r="E1" s="229">
        <f>inputPrYr!C5</f>
        <v>2014</v>
      </c>
    </row>
    <row r="2" spans="2:5" x14ac:dyDescent="0.25">
      <c r="B2" s="32"/>
      <c r="C2" s="32"/>
      <c r="D2" s="32"/>
      <c r="E2" s="152"/>
    </row>
    <row r="3" spans="2:5" x14ac:dyDescent="0.25">
      <c r="B3" s="230" t="s">
        <v>112</v>
      </c>
      <c r="C3" s="265"/>
      <c r="D3" s="265"/>
      <c r="E3" s="265"/>
    </row>
    <row r="4" spans="2:5" x14ac:dyDescent="0.25">
      <c r="B4" s="35" t="s">
        <v>50</v>
      </c>
      <c r="C4" s="544" t="s">
        <v>367</v>
      </c>
      <c r="D4" s="545" t="s">
        <v>368</v>
      </c>
      <c r="E4" s="127" t="s">
        <v>369</v>
      </c>
    </row>
    <row r="5" spans="2:5" x14ac:dyDescent="0.25">
      <c r="B5" s="407" t="str">
        <f>(inputPrYr!B34)</f>
        <v>Special Highway</v>
      </c>
      <c r="C5" s="206" t="str">
        <f>CONCATENATE("Actual for ",E1-2,"")</f>
        <v>Actual for 2012</v>
      </c>
      <c r="D5" s="206" t="str">
        <f>CONCATENATE("Estimate for ",E1-1,"")</f>
        <v>Estimate for 2013</v>
      </c>
      <c r="E5" s="191" t="str">
        <f>CONCATENATE("Year for ",E1,"")</f>
        <v>Year for 2014</v>
      </c>
    </row>
    <row r="6" spans="2:5" x14ac:dyDescent="0.25">
      <c r="B6" s="233" t="s">
        <v>165</v>
      </c>
      <c r="C6" s="50">
        <v>20352</v>
      </c>
      <c r="D6" s="209">
        <f>C31</f>
        <v>7203</v>
      </c>
      <c r="E6" s="209">
        <f>D31</f>
        <v>0</v>
      </c>
    </row>
    <row r="7" spans="2:5" x14ac:dyDescent="0.25">
      <c r="B7" s="236" t="s">
        <v>167</v>
      </c>
      <c r="C7" s="70"/>
      <c r="D7" s="70"/>
      <c r="E7" s="70"/>
    </row>
    <row r="8" spans="2:5" x14ac:dyDescent="0.25">
      <c r="B8" s="254" t="s">
        <v>145</v>
      </c>
      <c r="C8" s="50">
        <v>67990</v>
      </c>
      <c r="D8" s="266">
        <f>inputOth!E52</f>
        <v>65790</v>
      </c>
      <c r="E8" s="209">
        <f>inputOth!E50</f>
        <v>68150</v>
      </c>
    </row>
    <row r="9" spans="2:5" x14ac:dyDescent="0.25">
      <c r="B9" s="267" t="s">
        <v>201</v>
      </c>
      <c r="C9" s="50"/>
      <c r="D9" s="266">
        <f>inputOth!E53</f>
        <v>0</v>
      </c>
      <c r="E9" s="266">
        <f>inputOth!E51</f>
        <v>0</v>
      </c>
    </row>
    <row r="10" spans="2:5" x14ac:dyDescent="0.25">
      <c r="B10" s="253"/>
      <c r="C10" s="50"/>
      <c r="D10" s="50"/>
      <c r="E10" s="50"/>
    </row>
    <row r="11" spans="2:5" x14ac:dyDescent="0.25">
      <c r="B11" s="253"/>
      <c r="C11" s="50"/>
      <c r="D11" s="50"/>
      <c r="E11" s="50"/>
    </row>
    <row r="12" spans="2:5" x14ac:dyDescent="0.25">
      <c r="B12" s="253"/>
      <c r="C12" s="50"/>
      <c r="D12" s="50"/>
      <c r="E12" s="50"/>
    </row>
    <row r="13" spans="2:5" x14ac:dyDescent="0.25">
      <c r="B13" s="253"/>
      <c r="C13" s="50"/>
      <c r="D13" s="50"/>
      <c r="E13" s="50"/>
    </row>
    <row r="14" spans="2:5" x14ac:dyDescent="0.25">
      <c r="B14" s="241" t="s">
        <v>56</v>
      </c>
      <c r="C14" s="50"/>
      <c r="D14" s="50"/>
      <c r="E14" s="50"/>
    </row>
    <row r="15" spans="2:5" x14ac:dyDescent="0.25">
      <c r="B15" s="142" t="s">
        <v>9</v>
      </c>
      <c r="C15" s="50"/>
      <c r="D15" s="238"/>
      <c r="E15" s="238"/>
    </row>
    <row r="16" spans="2:5" x14ac:dyDescent="0.25">
      <c r="B16" s="233" t="s">
        <v>281</v>
      </c>
      <c r="C16" s="270" t="str">
        <f>IF(C17*0.1&lt;C15,"Exceed 10% Rule","")</f>
        <v/>
      </c>
      <c r="D16" s="243" t="str">
        <f>IF(D17*0.1&lt;D15,"Exceed 10% Rule","")</f>
        <v/>
      </c>
      <c r="E16" s="243" t="str">
        <f>IF(E17*0.1&lt;E15,"Exceed 10% Rule","")</f>
        <v/>
      </c>
    </row>
    <row r="17" spans="2:5" x14ac:dyDescent="0.25">
      <c r="B17" s="244" t="s">
        <v>57</v>
      </c>
      <c r="C17" s="247">
        <f>SUM(C8:C15)</f>
        <v>67990</v>
      </c>
      <c r="D17" s="247">
        <f>SUM(D8:D15)</f>
        <v>65790</v>
      </c>
      <c r="E17" s="247">
        <f>SUM(E8:E15)</f>
        <v>68150</v>
      </c>
    </row>
    <row r="18" spans="2:5" x14ac:dyDescent="0.25">
      <c r="B18" s="244" t="s">
        <v>58</v>
      </c>
      <c r="C18" s="247">
        <f>C6+C17</f>
        <v>88342</v>
      </c>
      <c r="D18" s="247">
        <f>D6+D17</f>
        <v>72993</v>
      </c>
      <c r="E18" s="247">
        <f>E6+E17</f>
        <v>68150</v>
      </c>
    </row>
    <row r="19" spans="2:5" x14ac:dyDescent="0.25">
      <c r="B19" s="133" t="s">
        <v>60</v>
      </c>
      <c r="C19" s="209"/>
      <c r="D19" s="209"/>
      <c r="E19" s="209"/>
    </row>
    <row r="20" spans="2:5" x14ac:dyDescent="0.35">
      <c r="B20" s="583" t="s">
        <v>473</v>
      </c>
      <c r="C20" s="50"/>
      <c r="D20" s="50"/>
      <c r="E20" s="50"/>
    </row>
    <row r="21" spans="2:5" x14ac:dyDescent="0.35">
      <c r="B21" s="583" t="s">
        <v>450</v>
      </c>
      <c r="C21" s="50">
        <f>63045-4142-4166</f>
        <v>54737</v>
      </c>
      <c r="D21" s="50">
        <v>48002</v>
      </c>
      <c r="E21" s="50">
        <v>42202</v>
      </c>
    </row>
    <row r="22" spans="2:5" x14ac:dyDescent="0.35">
      <c r="B22" s="583" t="s">
        <v>474</v>
      </c>
      <c r="C22" s="50">
        <f>4166+4142</f>
        <v>8308</v>
      </c>
      <c r="D22" s="50">
        <v>8695</v>
      </c>
      <c r="E22" s="50">
        <v>8393</v>
      </c>
    </row>
    <row r="23" spans="2:5" x14ac:dyDescent="0.35">
      <c r="B23" s="583" t="s">
        <v>61</v>
      </c>
      <c r="C23" s="50">
        <v>18094</v>
      </c>
      <c r="D23" s="50">
        <v>16296</v>
      </c>
      <c r="E23" s="50">
        <v>17555</v>
      </c>
    </row>
    <row r="24" spans="2:5" x14ac:dyDescent="0.25">
      <c r="B24" s="253"/>
      <c r="C24" s="50"/>
      <c r="D24" s="50"/>
      <c r="E24" s="50"/>
    </row>
    <row r="25" spans="2:5" x14ac:dyDescent="0.25">
      <c r="B25" s="253"/>
      <c r="C25" s="50"/>
      <c r="D25" s="50"/>
      <c r="E25" s="50"/>
    </row>
    <row r="26" spans="2:5" x14ac:dyDescent="0.25">
      <c r="B26" s="253"/>
      <c r="C26" s="50"/>
      <c r="D26" s="50"/>
      <c r="E26" s="50"/>
    </row>
    <row r="27" spans="2:5" x14ac:dyDescent="0.25">
      <c r="B27" s="253"/>
      <c r="C27" s="50"/>
      <c r="D27" s="50"/>
      <c r="E27" s="50"/>
    </row>
    <row r="28" spans="2:5" x14ac:dyDescent="0.25">
      <c r="B28" s="254" t="s">
        <v>9</v>
      </c>
      <c r="C28" s="50"/>
      <c r="D28" s="238"/>
      <c r="E28" s="238"/>
    </row>
    <row r="29" spans="2:5" x14ac:dyDescent="0.25">
      <c r="B29" s="254" t="s">
        <v>282</v>
      </c>
      <c r="C29" s="270" t="str">
        <f>IF(C30*0.1&lt;C28,"Exceed 10% Rule","")</f>
        <v/>
      </c>
      <c r="D29" s="243" t="str">
        <f>IF(D30*0.1&lt;D28,"Exceed 10% Rule","")</f>
        <v/>
      </c>
      <c r="E29" s="243" t="str">
        <f>IF(E30*0.1&lt;E28,"Exceed 10% Rule","")</f>
        <v/>
      </c>
    </row>
    <row r="30" spans="2:5" x14ac:dyDescent="0.25">
      <c r="B30" s="244" t="s">
        <v>63</v>
      </c>
      <c r="C30" s="247">
        <f>SUM(C20:C28)</f>
        <v>81139</v>
      </c>
      <c r="D30" s="247">
        <f>SUM(D20:D28)</f>
        <v>72993</v>
      </c>
      <c r="E30" s="247">
        <f>SUM(E20:E28)</f>
        <v>68150</v>
      </c>
    </row>
    <row r="31" spans="2:5" x14ac:dyDescent="0.25">
      <c r="B31" s="133" t="s">
        <v>166</v>
      </c>
      <c r="C31" s="65">
        <f>C18-C30</f>
        <v>7203</v>
      </c>
      <c r="D31" s="65">
        <f>D18-D30</f>
        <v>0</v>
      </c>
      <c r="E31" s="65">
        <f>E18-E30</f>
        <v>0</v>
      </c>
    </row>
    <row r="32" spans="2:5" x14ac:dyDescent="0.25">
      <c r="B32" s="119" t="str">
        <f>CONCATENATE("",E1-2,"/",E1-1," Budget Authority Amount:")</f>
        <v>2012/2013 Budget Authority Amount:</v>
      </c>
      <c r="C32" s="222">
        <f>inputOth!B73</f>
        <v>84076</v>
      </c>
      <c r="D32" s="222">
        <f>inputPrYr!D34</f>
        <v>79938</v>
      </c>
      <c r="E32" s="331" t="str">
        <f>IF(E31&lt;0,"See Tab E","")</f>
        <v/>
      </c>
    </row>
    <row r="33" spans="2:5" x14ac:dyDescent="0.25">
      <c r="B33" s="119"/>
      <c r="C33" s="257" t="str">
        <f>IF(C30&gt;C32,"See Tab A","")</f>
        <v/>
      </c>
      <c r="D33" s="257" t="str">
        <f>IF(D30&gt;D32,"See Tab C","")</f>
        <v/>
      </c>
      <c r="E33" s="80"/>
    </row>
    <row r="34" spans="2:5" x14ac:dyDescent="0.25">
      <c r="B34" s="119"/>
      <c r="C34" s="257" t="str">
        <f>IF(C31&lt;0,"See Tab B","")</f>
        <v/>
      </c>
      <c r="D34" s="257" t="str">
        <f>IF(D31&lt;0,"See Tab D","")</f>
        <v/>
      </c>
      <c r="E34" s="80"/>
    </row>
    <row r="35" spans="2:5" x14ac:dyDescent="0.25">
      <c r="B35" s="32"/>
      <c r="C35" s="80"/>
      <c r="D35" s="80"/>
      <c r="E35" s="80"/>
    </row>
    <row r="36" spans="2:5" x14ac:dyDescent="0.25">
      <c r="B36" s="35" t="s">
        <v>50</v>
      </c>
      <c r="C36" s="268"/>
      <c r="D36" s="268"/>
      <c r="E36" s="268"/>
    </row>
    <row r="37" spans="2:5" x14ac:dyDescent="0.25">
      <c r="B37" s="32"/>
      <c r="C37" s="544" t="s">
        <v>367</v>
      </c>
      <c r="D37" s="545" t="s">
        <v>368</v>
      </c>
      <c r="E37" s="127" t="s">
        <v>369</v>
      </c>
    </row>
    <row r="38" spans="2:5" x14ac:dyDescent="0.25">
      <c r="B38" s="407" t="str">
        <f>(inputPrYr!B35)</f>
        <v>Special Parks &amp; Recreation</v>
      </c>
      <c r="C38" s="206" t="str">
        <f>CONCATENATE("Actual for ",$E$1-2,"")</f>
        <v>Actual for 2012</v>
      </c>
      <c r="D38" s="206" t="str">
        <f>CONCATENATE("Estimate for ",$E$1-1,"")</f>
        <v>Estimate for 2013</v>
      </c>
      <c r="E38" s="191" t="str">
        <f>CONCATENATE("Year for ",$E$1,"")</f>
        <v>Year for 2014</v>
      </c>
    </row>
    <row r="39" spans="2:5" x14ac:dyDescent="0.25">
      <c r="B39" s="233" t="s">
        <v>165</v>
      </c>
      <c r="C39" s="50">
        <v>117</v>
      </c>
      <c r="D39" s="209">
        <f>C62</f>
        <v>534</v>
      </c>
      <c r="E39" s="209">
        <f>D62</f>
        <v>1761</v>
      </c>
    </row>
    <row r="40" spans="2:5" x14ac:dyDescent="0.25">
      <c r="B40" s="236" t="s">
        <v>167</v>
      </c>
      <c r="C40" s="70"/>
      <c r="D40" s="70"/>
      <c r="E40" s="70"/>
    </row>
    <row r="41" spans="2:5" x14ac:dyDescent="0.35">
      <c r="B41" s="583" t="s">
        <v>425</v>
      </c>
      <c r="C41" s="50">
        <v>5389</v>
      </c>
      <c r="D41" s="50">
        <v>4104</v>
      </c>
      <c r="E41" s="50">
        <v>5387</v>
      </c>
    </row>
    <row r="42" spans="2:5" x14ac:dyDescent="0.25">
      <c r="B42" s="253"/>
      <c r="C42" s="50"/>
      <c r="D42" s="50"/>
      <c r="E42" s="50"/>
    </row>
    <row r="43" spans="2:5" x14ac:dyDescent="0.25">
      <c r="B43" s="253"/>
      <c r="C43" s="50"/>
      <c r="D43" s="50"/>
      <c r="E43" s="50"/>
    </row>
    <row r="44" spans="2:5" x14ac:dyDescent="0.25">
      <c r="B44" s="253"/>
      <c r="C44" s="50"/>
      <c r="D44" s="50"/>
      <c r="E44" s="50"/>
    </row>
    <row r="45" spans="2:5" x14ac:dyDescent="0.25">
      <c r="B45" s="241" t="s">
        <v>56</v>
      </c>
      <c r="C45" s="50">
        <v>0</v>
      </c>
      <c r="D45" s="50">
        <v>0</v>
      </c>
      <c r="E45" s="50">
        <v>0</v>
      </c>
    </row>
    <row r="46" spans="2:5" x14ac:dyDescent="0.25">
      <c r="B46" s="142" t="s">
        <v>9</v>
      </c>
      <c r="C46" s="50">
        <v>0</v>
      </c>
      <c r="D46" s="238">
        <v>0</v>
      </c>
      <c r="E46" s="238">
        <v>0</v>
      </c>
    </row>
    <row r="47" spans="2:5" x14ac:dyDescent="0.25">
      <c r="B47" s="233" t="s">
        <v>281</v>
      </c>
      <c r="C47" s="270" t="str">
        <f>IF(C48*0.1&lt;C46,"Exceed 10% Rule","")</f>
        <v/>
      </c>
      <c r="D47" s="243" t="str">
        <f>IF(D48*0.1&lt;D46,"Exceed 10% Rule","")</f>
        <v/>
      </c>
      <c r="E47" s="243" t="str">
        <f>IF(E48*0.1&lt;E46,"Exceed 10% Rule","")</f>
        <v/>
      </c>
    </row>
    <row r="48" spans="2:5" x14ac:dyDescent="0.25">
      <c r="B48" s="244" t="s">
        <v>57</v>
      </c>
      <c r="C48" s="247">
        <f>SUM(C41:C46)</f>
        <v>5389</v>
      </c>
      <c r="D48" s="247">
        <f>SUM(D41:D46)</f>
        <v>4104</v>
      </c>
      <c r="E48" s="247">
        <f>SUM(E41:E46)</f>
        <v>5387</v>
      </c>
    </row>
    <row r="49" spans="2:5" x14ac:dyDescent="0.25">
      <c r="B49" s="244" t="s">
        <v>58</v>
      </c>
      <c r="C49" s="247">
        <f>C39+C48</f>
        <v>5506</v>
      </c>
      <c r="D49" s="247">
        <f>D39+D48</f>
        <v>4638</v>
      </c>
      <c r="E49" s="247">
        <f>E39+E48</f>
        <v>7148</v>
      </c>
    </row>
    <row r="50" spans="2:5" x14ac:dyDescent="0.25">
      <c r="B50" s="133" t="s">
        <v>60</v>
      </c>
      <c r="C50" s="209"/>
      <c r="D50" s="209"/>
      <c r="E50" s="209"/>
    </row>
    <row r="51" spans="2:5" x14ac:dyDescent="0.35">
      <c r="B51" s="583" t="s">
        <v>470</v>
      </c>
      <c r="C51" s="50"/>
      <c r="D51" s="50"/>
      <c r="E51" s="50"/>
    </row>
    <row r="52" spans="2:5" x14ac:dyDescent="0.35">
      <c r="B52" s="583" t="s">
        <v>452</v>
      </c>
      <c r="C52" s="50">
        <v>687</v>
      </c>
      <c r="D52" s="50">
        <v>877</v>
      </c>
      <c r="E52" s="50">
        <v>1000</v>
      </c>
    </row>
    <row r="53" spans="2:5" x14ac:dyDescent="0.35">
      <c r="B53" s="583" t="s">
        <v>61</v>
      </c>
      <c r="C53" s="50">
        <v>3000</v>
      </c>
      <c r="D53" s="50">
        <v>2000</v>
      </c>
      <c r="E53" s="50">
        <v>3000</v>
      </c>
    </row>
    <row r="54" spans="2:5" x14ac:dyDescent="0.35">
      <c r="B54" s="583" t="s">
        <v>62</v>
      </c>
      <c r="C54" s="50">
        <v>2797</v>
      </c>
      <c r="D54" s="50">
        <v>0</v>
      </c>
      <c r="E54" s="50">
        <v>3148</v>
      </c>
    </row>
    <row r="55" spans="2:5" x14ac:dyDescent="0.25">
      <c r="B55" s="253"/>
      <c r="C55" s="50"/>
      <c r="D55" s="50"/>
      <c r="E55" s="50"/>
    </row>
    <row r="56" spans="2:5" x14ac:dyDescent="0.25">
      <c r="B56" s="253" t="s">
        <v>521</v>
      </c>
      <c r="C56" s="50">
        <v>-1512</v>
      </c>
      <c r="D56" s="50">
        <v>0</v>
      </c>
      <c r="E56" s="50">
        <v>0</v>
      </c>
    </row>
    <row r="57" spans="2:5" x14ac:dyDescent="0.25">
      <c r="B57" s="253"/>
      <c r="C57" s="50"/>
      <c r="D57" s="50"/>
      <c r="E57" s="50"/>
    </row>
    <row r="58" spans="2:5" x14ac:dyDescent="0.25">
      <c r="B58" s="253"/>
      <c r="C58" s="50"/>
      <c r="D58" s="50"/>
      <c r="E58" s="50"/>
    </row>
    <row r="59" spans="2:5" x14ac:dyDescent="0.25">
      <c r="B59" s="254" t="s">
        <v>9</v>
      </c>
      <c r="C59" s="50"/>
      <c r="D59" s="238"/>
      <c r="E59" s="238"/>
    </row>
    <row r="60" spans="2:5" x14ac:dyDescent="0.25">
      <c r="B60" s="254" t="s">
        <v>282</v>
      </c>
      <c r="C60" s="270" t="str">
        <f>IF(C61*0.1&lt;C59,"Exceed 10% Rule","")</f>
        <v/>
      </c>
      <c r="D60" s="243" t="str">
        <f>IF(D61*0.1&lt;D59,"Exceed 10% Rule","")</f>
        <v/>
      </c>
      <c r="E60" s="243" t="str">
        <f>IF(E61*0.1&lt;E59,"Exceed 10% Rule","")</f>
        <v/>
      </c>
    </row>
    <row r="61" spans="2:5" x14ac:dyDescent="0.25">
      <c r="B61" s="244" t="s">
        <v>63</v>
      </c>
      <c r="C61" s="247">
        <f>SUM(C51:C59)</f>
        <v>4972</v>
      </c>
      <c r="D61" s="247">
        <f>SUM(D51:D59)</f>
        <v>2877</v>
      </c>
      <c r="E61" s="247">
        <f>SUM(E51:E59)</f>
        <v>7148</v>
      </c>
    </row>
    <row r="62" spans="2:5" x14ac:dyDescent="0.25">
      <c r="B62" s="133" t="s">
        <v>166</v>
      </c>
      <c r="C62" s="65">
        <f>C49-C61</f>
        <v>534</v>
      </c>
      <c r="D62" s="65">
        <f>D49-D61</f>
        <v>1761</v>
      </c>
      <c r="E62" s="65">
        <f>E49-E61</f>
        <v>0</v>
      </c>
    </row>
    <row r="63" spans="2:5" x14ac:dyDescent="0.25">
      <c r="B63" s="119" t="str">
        <f>CONCATENATE("",E1-2,"/",E1-1," Budget Authority Amount:")</f>
        <v>2012/2013 Budget Authority Amount:</v>
      </c>
      <c r="C63" s="222">
        <f>inputOth!B74</f>
        <v>5285</v>
      </c>
      <c r="D63" s="222">
        <f>inputPrYr!D35</f>
        <v>4104</v>
      </c>
      <c r="E63" s="331" t="str">
        <f>IF(E62&lt;0,"See Tab E","")</f>
        <v/>
      </c>
    </row>
    <row r="64" spans="2:5" x14ac:dyDescent="0.25">
      <c r="B64" s="119"/>
      <c r="C64" s="257" t="str">
        <f>IF(C61&gt;C63,"See Tab A","")</f>
        <v/>
      </c>
      <c r="D64" s="257" t="str">
        <f>IF(D61&gt;D63,"See Tab C","")</f>
        <v/>
      </c>
      <c r="E64" s="32"/>
    </row>
    <row r="65" spans="2:5" x14ac:dyDescent="0.25">
      <c r="B65" s="119"/>
      <c r="C65" s="257" t="str">
        <f>IF(C62&lt;0,"See Tab B","")</f>
        <v/>
      </c>
      <c r="D65" s="257" t="str">
        <f>IF(D62&lt;0,"See Tab D","")</f>
        <v/>
      </c>
      <c r="E65" s="32"/>
    </row>
    <row r="66" spans="2:5" x14ac:dyDescent="0.25">
      <c r="B66" s="612" t="s">
        <v>375</v>
      </c>
      <c r="C66" s="594"/>
      <c r="D66" s="594"/>
      <c r="E66" s="594"/>
    </row>
    <row r="67" spans="2:5" x14ac:dyDescent="0.25">
      <c r="B67" s="352" t="s">
        <v>66</v>
      </c>
      <c r="C67" s="585">
        <v>10</v>
      </c>
      <c r="D67" s="32"/>
      <c r="E67" s="32"/>
    </row>
  </sheetData>
  <mergeCells count="1">
    <mergeCell ref="B66:E66"/>
  </mergeCells>
  <phoneticPr fontId="0" type="noConversion"/>
  <conditionalFormatting sqref="C15">
    <cfRule type="cellIs" dxfId="112" priority="3" stopIfTrue="1" operator="greaterThan">
      <formula>$C$17*0.1</formula>
    </cfRule>
  </conditionalFormatting>
  <conditionalFormatting sqref="D15">
    <cfRule type="cellIs" dxfId="111" priority="4" stopIfTrue="1" operator="greaterThan">
      <formula>$D$17*0.1</formula>
    </cfRule>
  </conditionalFormatting>
  <conditionalFormatting sqref="E15">
    <cfRule type="cellIs" dxfId="110" priority="5" stopIfTrue="1" operator="greaterThan">
      <formula>$E$17*0.1</formula>
    </cfRule>
  </conditionalFormatting>
  <conditionalFormatting sqref="C28">
    <cfRule type="cellIs" dxfId="109" priority="6" stopIfTrue="1" operator="greaterThan">
      <formula>$C$30*0.1</formula>
    </cfRule>
  </conditionalFormatting>
  <conditionalFormatting sqref="D28">
    <cfRule type="cellIs" dxfId="108" priority="7" stopIfTrue="1" operator="greaterThan">
      <formula>$D$30*0.1</formula>
    </cfRule>
  </conditionalFormatting>
  <conditionalFormatting sqref="E28">
    <cfRule type="cellIs" dxfId="107" priority="8" stopIfTrue="1" operator="greaterThan">
      <formula>$E$30*0.1</formula>
    </cfRule>
  </conditionalFormatting>
  <conditionalFormatting sqref="C46">
    <cfRule type="cellIs" dxfId="106" priority="9" stopIfTrue="1" operator="greaterThan">
      <formula>$C$48*0.1</formula>
    </cfRule>
  </conditionalFormatting>
  <conditionalFormatting sqref="D46">
    <cfRule type="cellIs" dxfId="105" priority="10" stopIfTrue="1" operator="greaterThan">
      <formula>$D$48*0.1</formula>
    </cfRule>
  </conditionalFormatting>
  <conditionalFormatting sqref="E46">
    <cfRule type="cellIs" dxfId="104" priority="11" stopIfTrue="1" operator="greaterThan">
      <formula>$E$48*0.1</formula>
    </cfRule>
  </conditionalFormatting>
  <conditionalFormatting sqref="C59">
    <cfRule type="cellIs" dxfId="103" priority="12" stopIfTrue="1" operator="greaterThan">
      <formula>$C$61*0.1</formula>
    </cfRule>
  </conditionalFormatting>
  <conditionalFormatting sqref="D59">
    <cfRule type="cellIs" dxfId="102" priority="13" stopIfTrue="1" operator="greaterThan">
      <formula>$D$61*0.1</formula>
    </cfRule>
  </conditionalFormatting>
  <conditionalFormatting sqref="E59">
    <cfRule type="cellIs" dxfId="101" priority="14" stopIfTrue="1" operator="greaterThan">
      <formula>$E$61*0.1</formula>
    </cfRule>
  </conditionalFormatting>
  <conditionalFormatting sqref="D61">
    <cfRule type="cellIs" dxfId="100" priority="15" stopIfTrue="1" operator="greaterThan">
      <formula>$D$63</formula>
    </cfRule>
  </conditionalFormatting>
  <conditionalFormatting sqref="C61">
    <cfRule type="cellIs" dxfId="99" priority="16" stopIfTrue="1" operator="greaterThan">
      <formula>$C$63</formula>
    </cfRule>
  </conditionalFormatting>
  <conditionalFormatting sqref="C62 E62 C31 E31">
    <cfRule type="cellIs" dxfId="98" priority="17" stopIfTrue="1" operator="lessThan">
      <formula>0</formula>
    </cfRule>
  </conditionalFormatting>
  <conditionalFormatting sqref="D30">
    <cfRule type="cellIs" dxfId="97" priority="18" stopIfTrue="1" operator="greaterThan">
      <formula>$D$32</formula>
    </cfRule>
  </conditionalFormatting>
  <conditionalFormatting sqref="C30">
    <cfRule type="cellIs" dxfId="96" priority="19" stopIfTrue="1" operator="greaterThan">
      <formula>$C$32</formula>
    </cfRule>
  </conditionalFormatting>
  <conditionalFormatting sqref="D31">
    <cfRule type="cellIs" dxfId="95" priority="2" stopIfTrue="1" operator="lessThan">
      <formula>0</formula>
    </cfRule>
  </conditionalFormatting>
  <conditionalFormatting sqref="D62">
    <cfRule type="cellIs" dxfId="94" priority="1" stopIfTrue="1" operator="lessThan">
      <formula>0</formula>
    </cfRule>
  </conditionalFormatting>
  <pageMargins left="0.5" right="0.5" top="1" bottom="0.5" header="0.5" footer="0.5"/>
  <pageSetup scale="70"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topLeftCell="A33" workbookViewId="0">
      <selection activeCell="B37" sqref="B37"/>
    </sheetView>
  </sheetViews>
  <sheetFormatPr defaultColWidth="8.9140625" defaultRowHeight="15.5" x14ac:dyDescent="0.25"/>
  <cols>
    <col min="1" max="1" width="2.4140625" style="30" customWidth="1"/>
    <col min="2" max="2" width="31.08203125" style="30" customWidth="1"/>
    <col min="3" max="4" width="15.6640625" style="30" customWidth="1"/>
    <col min="5" max="5" width="16.33203125" style="30" customWidth="1"/>
    <col min="6" max="16384" width="8.9140625" style="30"/>
  </cols>
  <sheetData>
    <row r="1" spans="2:5" x14ac:dyDescent="0.25">
      <c r="B1" s="180" t="str">
        <f>(inputPrYr!D2)</f>
        <v>City of Eureka</v>
      </c>
      <c r="C1" s="32"/>
      <c r="D1" s="32"/>
      <c r="E1" s="229">
        <f>inputPrYr!C5</f>
        <v>2014</v>
      </c>
    </row>
    <row r="2" spans="2:5" x14ac:dyDescent="0.25">
      <c r="B2" s="32"/>
      <c r="C2" s="32"/>
      <c r="D2" s="32"/>
      <c r="E2" s="152"/>
    </row>
    <row r="3" spans="2:5" x14ac:dyDescent="0.25">
      <c r="B3" s="230" t="s">
        <v>112</v>
      </c>
      <c r="C3" s="265"/>
      <c r="D3" s="265"/>
      <c r="E3" s="265"/>
    </row>
    <row r="4" spans="2:5" x14ac:dyDescent="0.25">
      <c r="B4" s="35" t="s">
        <v>50</v>
      </c>
      <c r="C4" s="544" t="s">
        <v>367</v>
      </c>
      <c r="D4" s="545" t="s">
        <v>368</v>
      </c>
      <c r="E4" s="127" t="s">
        <v>369</v>
      </c>
    </row>
    <row r="5" spans="2:5" x14ac:dyDescent="0.25">
      <c r="B5" s="407" t="str">
        <f>(inputPrYr!B36)</f>
        <v>Promotion</v>
      </c>
      <c r="C5" s="206" t="str">
        <f>CONCATENATE("Actual for ",E1-2,"")</f>
        <v>Actual for 2012</v>
      </c>
      <c r="D5" s="206" t="str">
        <f>CONCATENATE("Estimate for ",E1-1,"")</f>
        <v>Estimate for 2013</v>
      </c>
      <c r="E5" s="191" t="str">
        <f>CONCATENATE("Year for ",E1,"")</f>
        <v>Year for 2014</v>
      </c>
    </row>
    <row r="6" spans="2:5" x14ac:dyDescent="0.25">
      <c r="B6" s="233" t="s">
        <v>165</v>
      </c>
      <c r="C6" s="50">
        <v>2294</v>
      </c>
      <c r="D6" s="209">
        <f>C29</f>
        <v>1236</v>
      </c>
      <c r="E6" s="209">
        <f>D29</f>
        <v>1395</v>
      </c>
    </row>
    <row r="7" spans="2:5" x14ac:dyDescent="0.25">
      <c r="B7" s="236" t="s">
        <v>167</v>
      </c>
      <c r="C7" s="70"/>
      <c r="D7" s="70"/>
      <c r="E7" s="70"/>
    </row>
    <row r="8" spans="2:5" x14ac:dyDescent="0.25">
      <c r="B8" s="253" t="s">
        <v>475</v>
      </c>
      <c r="C8" s="50">
        <v>7969</v>
      </c>
      <c r="D8" s="50">
        <v>6837</v>
      </c>
      <c r="E8" s="50">
        <v>6837</v>
      </c>
    </row>
    <row r="9" spans="2:5" x14ac:dyDescent="0.25">
      <c r="B9" s="253"/>
      <c r="C9" s="50"/>
      <c r="D9" s="50"/>
      <c r="E9" s="50"/>
    </row>
    <row r="10" spans="2:5" x14ac:dyDescent="0.25">
      <c r="B10" s="253"/>
      <c r="C10" s="50"/>
      <c r="D10" s="50"/>
      <c r="E10" s="50"/>
    </row>
    <row r="11" spans="2:5" x14ac:dyDescent="0.25">
      <c r="B11" s="253"/>
      <c r="C11" s="50"/>
      <c r="D11" s="50"/>
      <c r="E11" s="50"/>
    </row>
    <row r="12" spans="2:5" x14ac:dyDescent="0.25">
      <c r="B12" s="241" t="s">
        <v>56</v>
      </c>
      <c r="C12" s="50">
        <v>0</v>
      </c>
      <c r="D12" s="50">
        <v>0</v>
      </c>
      <c r="E12" s="50">
        <v>0</v>
      </c>
    </row>
    <row r="13" spans="2:5" x14ac:dyDescent="0.25">
      <c r="B13" s="142" t="s">
        <v>9</v>
      </c>
      <c r="C13" s="50">
        <v>0</v>
      </c>
      <c r="D13" s="238">
        <v>0</v>
      </c>
      <c r="E13" s="238">
        <v>0</v>
      </c>
    </row>
    <row r="14" spans="2:5" x14ac:dyDescent="0.25">
      <c r="B14" s="233" t="s">
        <v>281</v>
      </c>
      <c r="C14" s="270" t="str">
        <f>IF(C15*0.1&lt;C13,"Exceed 10% Rule","")</f>
        <v/>
      </c>
      <c r="D14" s="243" t="str">
        <f>IF(D15*0.1&lt;D13,"Exceed 10% Rule","")</f>
        <v/>
      </c>
      <c r="E14" s="243" t="str">
        <f>IF(E15*0.1&lt;E13,"Exceed 10% Rule","")</f>
        <v/>
      </c>
    </row>
    <row r="15" spans="2:5" x14ac:dyDescent="0.25">
      <c r="B15" s="244" t="s">
        <v>57</v>
      </c>
      <c r="C15" s="247">
        <f>SUM(C8:C13)</f>
        <v>7969</v>
      </c>
      <c r="D15" s="247">
        <f>SUM(D8:D13)</f>
        <v>6837</v>
      </c>
      <c r="E15" s="247">
        <f>SUM(E8:E13)</f>
        <v>6837</v>
      </c>
    </row>
    <row r="16" spans="2:5" x14ac:dyDescent="0.25">
      <c r="B16" s="244" t="s">
        <v>58</v>
      </c>
      <c r="C16" s="247">
        <f>C6+C15</f>
        <v>10263</v>
      </c>
      <c r="D16" s="247">
        <f>D6+D15</f>
        <v>8073</v>
      </c>
      <c r="E16" s="247">
        <f>E6+E15</f>
        <v>8232</v>
      </c>
    </row>
    <row r="17" spans="2:5" x14ac:dyDescent="0.25">
      <c r="B17" s="133" t="s">
        <v>60</v>
      </c>
      <c r="C17" s="209"/>
      <c r="D17" s="209"/>
      <c r="E17" s="209"/>
    </row>
    <row r="18" spans="2:5" x14ac:dyDescent="0.35">
      <c r="B18" s="583" t="s">
        <v>466</v>
      </c>
      <c r="C18" s="50"/>
      <c r="D18" s="50"/>
      <c r="E18" s="50"/>
    </row>
    <row r="19" spans="2:5" x14ac:dyDescent="0.35">
      <c r="B19" s="583" t="s">
        <v>476</v>
      </c>
      <c r="C19" s="50">
        <v>5533</v>
      </c>
      <c r="D19" s="50">
        <v>4500</v>
      </c>
      <c r="E19" s="50">
        <v>6585</v>
      </c>
    </row>
    <row r="20" spans="2:5" x14ac:dyDescent="0.35">
      <c r="B20" s="583" t="s">
        <v>477</v>
      </c>
      <c r="C20" s="50">
        <v>3494</v>
      </c>
      <c r="D20" s="50">
        <v>2178</v>
      </c>
      <c r="E20" s="50">
        <v>1647</v>
      </c>
    </row>
    <row r="21" spans="2:5" x14ac:dyDescent="0.25">
      <c r="B21" s="253"/>
      <c r="C21" s="50"/>
      <c r="D21" s="50"/>
      <c r="E21" s="50"/>
    </row>
    <row r="22" spans="2:5" x14ac:dyDescent="0.25">
      <c r="B22" s="253"/>
      <c r="C22" s="50"/>
      <c r="D22" s="50"/>
      <c r="E22" s="50"/>
    </row>
    <row r="23" spans="2:5" x14ac:dyDescent="0.25">
      <c r="B23" s="253"/>
      <c r="C23" s="50"/>
      <c r="D23" s="50"/>
      <c r="E23" s="50"/>
    </row>
    <row r="24" spans="2:5" x14ac:dyDescent="0.25">
      <c r="B24" s="253"/>
      <c r="C24" s="50"/>
      <c r="D24" s="50"/>
      <c r="E24" s="50"/>
    </row>
    <row r="25" spans="2:5" x14ac:dyDescent="0.25">
      <c r="B25" s="253"/>
      <c r="C25" s="50"/>
      <c r="D25" s="50"/>
      <c r="E25" s="50"/>
    </row>
    <row r="26" spans="2:5" x14ac:dyDescent="0.25">
      <c r="B26" s="254" t="s">
        <v>9</v>
      </c>
      <c r="C26" s="50">
        <v>0</v>
      </c>
      <c r="D26" s="238">
        <v>0</v>
      </c>
      <c r="E26" s="238">
        <v>0</v>
      </c>
    </row>
    <row r="27" spans="2:5" x14ac:dyDescent="0.25">
      <c r="B27" s="254" t="s">
        <v>282</v>
      </c>
      <c r="C27" s="270" t="str">
        <f>IF(C28*0.1&lt;C26,"Exceed 10% Rule","")</f>
        <v/>
      </c>
      <c r="D27" s="243" t="str">
        <f>IF(D28*0.1&lt;D26,"Exceed 10% Rule","")</f>
        <v/>
      </c>
      <c r="E27" s="243" t="str">
        <f>IF(E28*0.1&lt;E26,"Exceed 10% Rule","")</f>
        <v/>
      </c>
    </row>
    <row r="28" spans="2:5" x14ac:dyDescent="0.25">
      <c r="B28" s="244" t="s">
        <v>63</v>
      </c>
      <c r="C28" s="247">
        <f>SUM(C18:C26)</f>
        <v>9027</v>
      </c>
      <c r="D28" s="247">
        <f>SUM(D18:D26)</f>
        <v>6678</v>
      </c>
      <c r="E28" s="247">
        <f>SUM(E18:E26)</f>
        <v>8232</v>
      </c>
    </row>
    <row r="29" spans="2:5" x14ac:dyDescent="0.25">
      <c r="B29" s="133" t="s">
        <v>166</v>
      </c>
      <c r="C29" s="65">
        <f>C16-C28</f>
        <v>1236</v>
      </c>
      <c r="D29" s="65">
        <f>D16-D28</f>
        <v>1395</v>
      </c>
      <c r="E29" s="65">
        <f>E16-E28</f>
        <v>0</v>
      </c>
    </row>
    <row r="30" spans="2:5" x14ac:dyDescent="0.25">
      <c r="B30" s="119" t="str">
        <f>CONCATENATE("",E1-2,"/",E1-1," Budget Authority Amount:")</f>
        <v>2012/2013 Budget Authority Amount:</v>
      </c>
      <c r="C30" s="222">
        <f>inputOth!B75</f>
        <v>10139</v>
      </c>
      <c r="D30" s="222">
        <f>inputPrYr!D36</f>
        <v>11873</v>
      </c>
      <c r="E30" s="331" t="str">
        <f>IF(E29&lt;0,"See Tab E","")</f>
        <v/>
      </c>
    </row>
    <row r="31" spans="2:5" x14ac:dyDescent="0.25">
      <c r="B31" s="119"/>
      <c r="C31" s="257" t="str">
        <f>IF(C28&gt;C30,"See Tab A","")</f>
        <v/>
      </c>
      <c r="D31" s="257" t="str">
        <f>IF(D28&gt;D30,"See Tab C","")</f>
        <v/>
      </c>
      <c r="E31" s="80"/>
    </row>
    <row r="32" spans="2:5" x14ac:dyDescent="0.25">
      <c r="B32" s="119"/>
      <c r="C32" s="257" t="str">
        <f>IF(C29&lt;0,"See Tab B","")</f>
        <v/>
      </c>
      <c r="D32" s="257" t="str">
        <f>IF(D29&lt;0,"See Tab D","")</f>
        <v/>
      </c>
      <c r="E32" s="80"/>
    </row>
    <row r="33" spans="2:5" x14ac:dyDescent="0.25">
      <c r="B33" s="32"/>
      <c r="C33" s="80"/>
      <c r="D33" s="80"/>
      <c r="E33" s="80"/>
    </row>
    <row r="34" spans="2:5" x14ac:dyDescent="0.25">
      <c r="B34" s="35" t="s">
        <v>50</v>
      </c>
      <c r="C34" s="268"/>
      <c r="D34" s="268"/>
      <c r="E34" s="268"/>
    </row>
    <row r="35" spans="2:5" x14ac:dyDescent="0.25">
      <c r="B35" s="32"/>
      <c r="C35" s="544" t="s">
        <v>367</v>
      </c>
      <c r="D35" s="545" t="s">
        <v>368</v>
      </c>
      <c r="E35" s="127" t="s">
        <v>369</v>
      </c>
    </row>
    <row r="36" spans="2:5" x14ac:dyDescent="0.25">
      <c r="B36" s="407"/>
      <c r="C36" s="206" t="str">
        <f>CONCATENATE("Actual for ",$E$1-2,"")</f>
        <v>Actual for 2012</v>
      </c>
      <c r="D36" s="206" t="str">
        <f>CONCATENATE("Estimate for ",$E$1-1,"")</f>
        <v>Estimate for 2013</v>
      </c>
      <c r="E36" s="191" t="str">
        <f>CONCATENATE("Year for ",$E$1,"")</f>
        <v>Year for 2014</v>
      </c>
    </row>
    <row r="37" spans="2:5" x14ac:dyDescent="0.25">
      <c r="B37" s="233" t="s">
        <v>165</v>
      </c>
      <c r="C37" s="50"/>
      <c r="D37" s="209">
        <f>C60</f>
        <v>0</v>
      </c>
      <c r="E37" s="209">
        <f>D60</f>
        <v>0</v>
      </c>
    </row>
    <row r="38" spans="2:5" x14ac:dyDescent="0.25">
      <c r="B38" s="236" t="s">
        <v>167</v>
      </c>
      <c r="C38" s="70"/>
      <c r="D38" s="70"/>
      <c r="E38" s="70"/>
    </row>
    <row r="39" spans="2:5" x14ac:dyDescent="0.25">
      <c r="B39" s="253"/>
      <c r="C39" s="50"/>
      <c r="D39" s="50"/>
      <c r="E39" s="50"/>
    </row>
    <row r="40" spans="2:5" x14ac:dyDescent="0.25">
      <c r="B40" s="253"/>
      <c r="C40" s="50"/>
      <c r="D40" s="50"/>
      <c r="E40" s="50"/>
    </row>
    <row r="41" spans="2:5" x14ac:dyDescent="0.25">
      <c r="B41" s="253"/>
      <c r="C41" s="50"/>
      <c r="D41" s="50"/>
      <c r="E41" s="50"/>
    </row>
    <row r="42" spans="2:5" x14ac:dyDescent="0.25">
      <c r="B42" s="253"/>
      <c r="C42" s="50"/>
      <c r="D42" s="50"/>
      <c r="E42" s="50"/>
    </row>
    <row r="43" spans="2:5" x14ac:dyDescent="0.25">
      <c r="B43" s="241" t="s">
        <v>56</v>
      </c>
      <c r="C43" s="50"/>
      <c r="D43" s="50"/>
      <c r="E43" s="50"/>
    </row>
    <row r="44" spans="2:5" x14ac:dyDescent="0.25">
      <c r="B44" s="142" t="s">
        <v>9</v>
      </c>
      <c r="C44" s="50"/>
      <c r="D44" s="238"/>
      <c r="E44" s="238"/>
    </row>
    <row r="45" spans="2:5" x14ac:dyDescent="0.25">
      <c r="B45" s="233" t="s">
        <v>281</v>
      </c>
      <c r="C45" s="270" t="str">
        <f>IF(C46*0.1&lt;C44,"Exceed 10% Rule","")</f>
        <v/>
      </c>
      <c r="D45" s="243" t="str">
        <f>IF(D46*0.1&lt;D44,"Exceed 10% Rule","")</f>
        <v/>
      </c>
      <c r="E45" s="243" t="str">
        <f>IF(E46*0.1&lt;E44,"Exceed 10% Rule","")</f>
        <v/>
      </c>
    </row>
    <row r="46" spans="2:5" x14ac:dyDescent="0.25">
      <c r="B46" s="244" t="s">
        <v>57</v>
      </c>
      <c r="C46" s="247">
        <f>SUM(C39:C44)</f>
        <v>0</v>
      </c>
      <c r="D46" s="247">
        <f>SUM(D39:D44)</f>
        <v>0</v>
      </c>
      <c r="E46" s="247">
        <f>SUM(E39:E44)</f>
        <v>0</v>
      </c>
    </row>
    <row r="47" spans="2:5" x14ac:dyDescent="0.25">
      <c r="B47" s="244" t="s">
        <v>58</v>
      </c>
      <c r="C47" s="247">
        <f>C37+C46</f>
        <v>0</v>
      </c>
      <c r="D47" s="247">
        <f>D37+D46</f>
        <v>0</v>
      </c>
      <c r="E47" s="247">
        <f>E37+E46</f>
        <v>0</v>
      </c>
    </row>
    <row r="48" spans="2:5" x14ac:dyDescent="0.25">
      <c r="B48" s="133" t="s">
        <v>60</v>
      </c>
      <c r="C48" s="209"/>
      <c r="D48" s="209"/>
      <c r="E48" s="209"/>
    </row>
    <row r="49" spans="2:5" x14ac:dyDescent="0.25">
      <c r="B49" s="253"/>
      <c r="C49" s="50"/>
      <c r="D49" s="50"/>
      <c r="E49" s="50"/>
    </row>
    <row r="50" spans="2:5" x14ac:dyDescent="0.25">
      <c r="B50" s="253"/>
      <c r="C50" s="50"/>
      <c r="D50" s="50"/>
      <c r="E50" s="50"/>
    </row>
    <row r="51" spans="2:5" x14ac:dyDescent="0.25">
      <c r="B51" s="253"/>
      <c r="C51" s="50"/>
      <c r="D51" s="50"/>
      <c r="E51" s="50"/>
    </row>
    <row r="52" spans="2:5" x14ac:dyDescent="0.25">
      <c r="B52" s="253"/>
      <c r="C52" s="50"/>
      <c r="D52" s="50"/>
      <c r="E52" s="50"/>
    </row>
    <row r="53" spans="2:5" x14ac:dyDescent="0.25">
      <c r="B53" s="253"/>
      <c r="C53" s="50"/>
      <c r="D53" s="50"/>
      <c r="E53" s="50"/>
    </row>
    <row r="54" spans="2:5" x14ac:dyDescent="0.25">
      <c r="B54" s="253"/>
      <c r="C54" s="50"/>
      <c r="D54" s="50"/>
      <c r="E54" s="50"/>
    </row>
    <row r="55" spans="2:5" x14ac:dyDescent="0.25">
      <c r="B55" s="253"/>
      <c r="C55" s="50"/>
      <c r="D55" s="50"/>
      <c r="E55" s="50"/>
    </row>
    <row r="56" spans="2:5" x14ac:dyDescent="0.25">
      <c r="B56" s="253"/>
      <c r="C56" s="50"/>
      <c r="D56" s="50"/>
      <c r="E56" s="50"/>
    </row>
    <row r="57" spans="2:5" x14ac:dyDescent="0.25">
      <c r="B57" s="254" t="s">
        <v>9</v>
      </c>
      <c r="C57" s="50"/>
      <c r="D57" s="238"/>
      <c r="E57" s="238"/>
    </row>
    <row r="58" spans="2:5" x14ac:dyDescent="0.25">
      <c r="B58" s="254" t="s">
        <v>282</v>
      </c>
      <c r="C58" s="270" t="str">
        <f>IF(C59*0.1&lt;C57,"Exceed 10% Rule","")</f>
        <v/>
      </c>
      <c r="D58" s="243" t="str">
        <f>IF(D59*0.1&lt;D57,"Exceed 10% Rule","")</f>
        <v/>
      </c>
      <c r="E58" s="243" t="str">
        <f>IF(E59*0.1&lt;E57,"Exceed 10% Rule","")</f>
        <v/>
      </c>
    </row>
    <row r="59" spans="2:5" x14ac:dyDescent="0.25">
      <c r="B59" s="244" t="s">
        <v>63</v>
      </c>
      <c r="C59" s="247">
        <f>SUM(C49:C57)</f>
        <v>0</v>
      </c>
      <c r="D59" s="247">
        <f>SUM(D49:D57)</f>
        <v>0</v>
      </c>
      <c r="E59" s="247">
        <f>SUM(E49:E57)</f>
        <v>0</v>
      </c>
    </row>
    <row r="60" spans="2:5" x14ac:dyDescent="0.25">
      <c r="B60" s="133" t="s">
        <v>166</v>
      </c>
      <c r="C60" s="65">
        <f>C47-C59</f>
        <v>0</v>
      </c>
      <c r="D60" s="65">
        <f>D47-D59</f>
        <v>0</v>
      </c>
      <c r="E60" s="65">
        <f>E47-E59</f>
        <v>0</v>
      </c>
    </row>
    <row r="61" spans="2:5" x14ac:dyDescent="0.25">
      <c r="B61" s="119" t="str">
        <f>CONCATENATE("",E1-2,"/",E1-1," Budget Authority Amount:")</f>
        <v>2012/2013 Budget Authority Amount:</v>
      </c>
      <c r="C61" s="222">
        <f>inputOth!B76</f>
        <v>0</v>
      </c>
      <c r="D61" s="222">
        <f>inputPrYr!D37</f>
        <v>0</v>
      </c>
      <c r="E61" s="331" t="str">
        <f>IF(E60&lt;0,"See Tab E","")</f>
        <v/>
      </c>
    </row>
    <row r="62" spans="2:5" x14ac:dyDescent="0.25">
      <c r="B62" s="119"/>
      <c r="C62" s="257" t="str">
        <f>IF(C59&gt;C61,"See Tab A","")</f>
        <v/>
      </c>
      <c r="D62" s="257" t="str">
        <f>IF(D59&gt;D61,"See Tab C","")</f>
        <v/>
      </c>
      <c r="E62" s="32"/>
    </row>
    <row r="63" spans="2:5" x14ac:dyDescent="0.25">
      <c r="B63" s="119"/>
      <c r="C63" s="257" t="str">
        <f>IF(C60&lt;0,"See Tab B","")</f>
        <v/>
      </c>
      <c r="D63" s="257" t="str">
        <f>IF(D60&lt;0,"See Tab D","")</f>
        <v/>
      </c>
      <c r="E63" s="32"/>
    </row>
    <row r="64" spans="2:5" x14ac:dyDescent="0.25">
      <c r="B64" s="612" t="s">
        <v>375</v>
      </c>
      <c r="C64" s="594"/>
      <c r="D64" s="594"/>
      <c r="E64" s="594"/>
    </row>
    <row r="65" spans="2:5" x14ac:dyDescent="0.25">
      <c r="B65" s="352" t="s">
        <v>66</v>
      </c>
      <c r="C65" s="585">
        <v>11</v>
      </c>
      <c r="D65" s="32"/>
      <c r="E65" s="32"/>
    </row>
  </sheetData>
  <mergeCells count="1">
    <mergeCell ref="B64:E64"/>
  </mergeCells>
  <phoneticPr fontId="0" type="noConversion"/>
  <conditionalFormatting sqref="C13">
    <cfRule type="cellIs" dxfId="93" priority="3" stopIfTrue="1" operator="greaterThan">
      <formula>$C$15*0.1</formula>
    </cfRule>
  </conditionalFormatting>
  <conditionalFormatting sqref="D13">
    <cfRule type="cellIs" dxfId="92" priority="4" stopIfTrue="1" operator="greaterThan">
      <formula>$D$15*0.1</formula>
    </cfRule>
  </conditionalFormatting>
  <conditionalFormatting sqref="E13">
    <cfRule type="cellIs" dxfId="91" priority="5" stopIfTrue="1" operator="greaterThan">
      <formula>$E$15*0.1</formula>
    </cfRule>
  </conditionalFormatting>
  <conditionalFormatting sqref="C26">
    <cfRule type="cellIs" dxfId="90" priority="6" stopIfTrue="1" operator="greaterThan">
      <formula>$C$28*0.1</formula>
    </cfRule>
  </conditionalFormatting>
  <conditionalFormatting sqref="D26">
    <cfRule type="cellIs" dxfId="89" priority="7" stopIfTrue="1" operator="greaterThan">
      <formula>$D$28*0.1</formula>
    </cfRule>
  </conditionalFormatting>
  <conditionalFormatting sqref="E26">
    <cfRule type="cellIs" dxfId="88" priority="8" stopIfTrue="1" operator="greaterThan">
      <formula>$E$28*0.1</formula>
    </cfRule>
  </conditionalFormatting>
  <conditionalFormatting sqref="C44">
    <cfRule type="cellIs" dxfId="87" priority="9" stopIfTrue="1" operator="greaterThan">
      <formula>$C$46*0.1</formula>
    </cfRule>
  </conditionalFormatting>
  <conditionalFormatting sqref="D44">
    <cfRule type="cellIs" dxfId="86" priority="10" stopIfTrue="1" operator="greaterThan">
      <formula>$D$46*0.1</formula>
    </cfRule>
  </conditionalFormatting>
  <conditionalFormatting sqref="E44">
    <cfRule type="cellIs" dxfId="85" priority="11" stopIfTrue="1" operator="greaterThan">
      <formula>$E$46*0.1</formula>
    </cfRule>
  </conditionalFormatting>
  <conditionalFormatting sqref="C57">
    <cfRule type="cellIs" dxfId="84" priority="12" stopIfTrue="1" operator="greaterThan">
      <formula>$C$59*0.1</formula>
    </cfRule>
  </conditionalFormatting>
  <conditionalFormatting sqref="D57">
    <cfRule type="cellIs" dxfId="83" priority="13" stopIfTrue="1" operator="greaterThan">
      <formula>$D$59*0.1</formula>
    </cfRule>
  </conditionalFormatting>
  <conditionalFormatting sqref="E57">
    <cfRule type="cellIs" dxfId="82" priority="14" stopIfTrue="1" operator="greaterThan">
      <formula>$E$59*0.1</formula>
    </cfRule>
  </conditionalFormatting>
  <conditionalFormatting sqref="D59">
    <cfRule type="cellIs" dxfId="81" priority="15" stopIfTrue="1" operator="greaterThan">
      <formula>$D$61</formula>
    </cfRule>
  </conditionalFormatting>
  <conditionalFormatting sqref="C59">
    <cfRule type="cellIs" dxfId="80" priority="16" stopIfTrue="1" operator="greaterThan">
      <formula>$C$61</formula>
    </cfRule>
  </conditionalFormatting>
  <conditionalFormatting sqref="C60 E60 C29 E29">
    <cfRule type="cellIs" dxfId="79" priority="17" stopIfTrue="1" operator="lessThan">
      <formula>0</formula>
    </cfRule>
  </conditionalFormatting>
  <conditionalFormatting sqref="D28">
    <cfRule type="cellIs" dxfId="78" priority="18" stopIfTrue="1" operator="greaterThan">
      <formula>$D$30</formula>
    </cfRule>
  </conditionalFormatting>
  <conditionalFormatting sqref="C28">
    <cfRule type="cellIs" dxfId="77" priority="19" stopIfTrue="1" operator="greaterThan">
      <formula>$C$30</formula>
    </cfRule>
  </conditionalFormatting>
  <conditionalFormatting sqref="D60">
    <cfRule type="cellIs" dxfId="76" priority="2" stopIfTrue="1" operator="lessThan">
      <formula>0</formula>
    </cfRule>
  </conditionalFormatting>
  <conditionalFormatting sqref="D29">
    <cfRule type="cellIs" dxfId="75" priority="1"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topLeftCell="A33" workbookViewId="0">
      <selection activeCell="E54" sqref="E54"/>
    </sheetView>
  </sheetViews>
  <sheetFormatPr defaultColWidth="8.9140625" defaultRowHeight="15.5" x14ac:dyDescent="0.25"/>
  <cols>
    <col min="1" max="1" width="2.4140625" style="30" customWidth="1"/>
    <col min="2" max="2" width="31.08203125" style="30" customWidth="1"/>
    <col min="3" max="4" width="15.6640625" style="30" customWidth="1"/>
    <col min="5" max="5" width="16.08203125" style="30" customWidth="1"/>
    <col min="6" max="16384" width="8.9140625" style="30"/>
  </cols>
  <sheetData>
    <row r="1" spans="2:5" x14ac:dyDescent="0.25">
      <c r="B1" s="180" t="str">
        <f>(inputPrYr!D2)</f>
        <v>City of Eureka</v>
      </c>
      <c r="C1" s="32"/>
      <c r="D1" s="32"/>
      <c r="E1" s="229">
        <f>inputPrYr!C5</f>
        <v>2014</v>
      </c>
    </row>
    <row r="2" spans="2:5" x14ac:dyDescent="0.25">
      <c r="B2" s="32"/>
      <c r="C2" s="32"/>
      <c r="D2" s="32"/>
      <c r="E2" s="152"/>
    </row>
    <row r="3" spans="2:5" x14ac:dyDescent="0.25">
      <c r="B3" s="230" t="s">
        <v>112</v>
      </c>
      <c r="C3" s="265"/>
      <c r="D3" s="265"/>
      <c r="E3" s="265"/>
    </row>
    <row r="4" spans="2:5" x14ac:dyDescent="0.25">
      <c r="B4" s="35" t="s">
        <v>50</v>
      </c>
      <c r="C4" s="544" t="s">
        <v>367</v>
      </c>
      <c r="D4" s="545" t="s">
        <v>368</v>
      </c>
      <c r="E4" s="127" t="s">
        <v>369</v>
      </c>
    </row>
    <row r="5" spans="2:5" x14ac:dyDescent="0.25">
      <c r="B5" s="407" t="str">
        <f>(inputPrYr!B38)</f>
        <v>Water Revolving Loan</v>
      </c>
      <c r="C5" s="206" t="str">
        <f>CONCATENATE("Actual for ",E1-2,"")</f>
        <v>Actual for 2012</v>
      </c>
      <c r="D5" s="206" t="str">
        <f>CONCATENATE("Estimate for ",E1-1,"")</f>
        <v>Estimate for 2013</v>
      </c>
      <c r="E5" s="191" t="str">
        <f>CONCATENATE("Year for ",E1,"")</f>
        <v>Year for 2014</v>
      </c>
    </row>
    <row r="6" spans="2:5" x14ac:dyDescent="0.25">
      <c r="B6" s="233" t="s">
        <v>165</v>
      </c>
      <c r="C6" s="50">
        <v>2349</v>
      </c>
      <c r="D6" s="209">
        <f>C29</f>
        <v>2507</v>
      </c>
      <c r="E6" s="209">
        <f>D29</f>
        <v>2508</v>
      </c>
    </row>
    <row r="7" spans="2:5" x14ac:dyDescent="0.25">
      <c r="B7" s="236" t="s">
        <v>167</v>
      </c>
      <c r="C7" s="70"/>
      <c r="D7" s="70"/>
      <c r="E7" s="70"/>
    </row>
    <row r="8" spans="2:5" x14ac:dyDescent="0.35">
      <c r="B8" s="583" t="s">
        <v>478</v>
      </c>
      <c r="C8" s="50"/>
      <c r="D8" s="50"/>
      <c r="E8" s="50"/>
    </row>
    <row r="9" spans="2:5" x14ac:dyDescent="0.35">
      <c r="B9" s="583" t="s">
        <v>447</v>
      </c>
      <c r="C9" s="50">
        <v>33360</v>
      </c>
      <c r="D9" s="50">
        <v>33364</v>
      </c>
      <c r="E9" s="50">
        <v>33364</v>
      </c>
    </row>
    <row r="10" spans="2:5" x14ac:dyDescent="0.25">
      <c r="B10" s="253"/>
      <c r="C10" s="50"/>
      <c r="D10" s="50"/>
      <c r="E10" s="50"/>
    </row>
    <row r="11" spans="2:5" x14ac:dyDescent="0.25">
      <c r="B11" s="253"/>
      <c r="C11" s="50"/>
      <c r="D11" s="50"/>
      <c r="E11" s="50"/>
    </row>
    <row r="12" spans="2:5" x14ac:dyDescent="0.25">
      <c r="B12" s="241" t="s">
        <v>56</v>
      </c>
      <c r="C12" s="50">
        <v>0</v>
      </c>
      <c r="D12" s="50">
        <v>0</v>
      </c>
      <c r="E12" s="50">
        <v>0</v>
      </c>
    </row>
    <row r="13" spans="2:5" x14ac:dyDescent="0.25">
      <c r="B13" s="142" t="s">
        <v>9</v>
      </c>
      <c r="C13" s="50">
        <v>0</v>
      </c>
      <c r="D13" s="238">
        <v>0</v>
      </c>
      <c r="E13" s="238">
        <v>0</v>
      </c>
    </row>
    <row r="14" spans="2:5" x14ac:dyDescent="0.25">
      <c r="B14" s="233" t="s">
        <v>281</v>
      </c>
      <c r="C14" s="270" t="str">
        <f>IF(C15*0.1&lt;C13,"Exceed 10% Rule","")</f>
        <v/>
      </c>
      <c r="D14" s="243" t="str">
        <f>IF(D15*0.1&lt;D13,"Exceed 10% Rule","")</f>
        <v/>
      </c>
      <c r="E14" s="243" t="str">
        <f>IF(E15*0.1&lt;E13,"Exceed 10% Rule","")</f>
        <v/>
      </c>
    </row>
    <row r="15" spans="2:5" x14ac:dyDescent="0.25">
      <c r="B15" s="244" t="s">
        <v>57</v>
      </c>
      <c r="C15" s="247">
        <f>SUM(C8:C13)</f>
        <v>33360</v>
      </c>
      <c r="D15" s="247">
        <f>SUM(D8:D13)</f>
        <v>33364</v>
      </c>
      <c r="E15" s="247">
        <f>SUM(E8:E13)</f>
        <v>33364</v>
      </c>
    </row>
    <row r="16" spans="2:5" x14ac:dyDescent="0.25">
      <c r="B16" s="244" t="s">
        <v>58</v>
      </c>
      <c r="C16" s="247">
        <f>C6+C15</f>
        <v>35709</v>
      </c>
      <c r="D16" s="247">
        <f>D6+D15</f>
        <v>35871</v>
      </c>
      <c r="E16" s="247">
        <f>E6+E15</f>
        <v>35872</v>
      </c>
    </row>
    <row r="17" spans="2:5" x14ac:dyDescent="0.25">
      <c r="B17" s="133" t="s">
        <v>60</v>
      </c>
      <c r="C17" s="209"/>
      <c r="D17" s="209"/>
      <c r="E17" s="209"/>
    </row>
    <row r="18" spans="2:5" x14ac:dyDescent="0.35">
      <c r="B18" s="583" t="s">
        <v>14</v>
      </c>
      <c r="C18" s="50"/>
      <c r="D18" s="50"/>
      <c r="E18" s="50"/>
    </row>
    <row r="19" spans="2:5" x14ac:dyDescent="0.35">
      <c r="B19" s="583" t="s">
        <v>479</v>
      </c>
      <c r="C19" s="50">
        <v>23159</v>
      </c>
      <c r="D19" s="50">
        <v>24250</v>
      </c>
      <c r="E19" s="50">
        <v>25269</v>
      </c>
    </row>
    <row r="20" spans="2:5" x14ac:dyDescent="0.35">
      <c r="B20" s="583" t="s">
        <v>480</v>
      </c>
      <c r="C20" s="50">
        <v>10043</v>
      </c>
      <c r="D20" s="50">
        <v>9113</v>
      </c>
      <c r="E20" s="50">
        <v>8094</v>
      </c>
    </row>
    <row r="21" spans="2:5" x14ac:dyDescent="0.35">
      <c r="B21" s="583"/>
      <c r="C21" s="50"/>
      <c r="D21" s="50"/>
      <c r="E21" s="50"/>
    </row>
    <row r="22" spans="2:5" x14ac:dyDescent="0.35">
      <c r="B22" s="583" t="s">
        <v>469</v>
      </c>
      <c r="C22" s="50"/>
      <c r="D22" s="50"/>
      <c r="E22" s="50">
        <v>2509</v>
      </c>
    </row>
    <row r="23" spans="2:5" x14ac:dyDescent="0.25">
      <c r="B23" s="253"/>
      <c r="C23" s="50"/>
      <c r="D23" s="50"/>
      <c r="E23" s="50"/>
    </row>
    <row r="24" spans="2:5" x14ac:dyDescent="0.25">
      <c r="B24" s="253"/>
      <c r="C24" s="50"/>
      <c r="D24" s="50"/>
      <c r="E24" s="50"/>
    </row>
    <row r="25" spans="2:5" x14ac:dyDescent="0.25">
      <c r="B25" s="253"/>
      <c r="C25" s="50"/>
      <c r="D25" s="50"/>
      <c r="E25" s="50"/>
    </row>
    <row r="26" spans="2:5" x14ac:dyDescent="0.25">
      <c r="B26" s="254" t="s">
        <v>9</v>
      </c>
      <c r="C26" s="50"/>
      <c r="D26" s="238"/>
      <c r="E26" s="238"/>
    </row>
    <row r="27" spans="2:5" x14ac:dyDescent="0.25">
      <c r="B27" s="254" t="s">
        <v>282</v>
      </c>
      <c r="C27" s="270" t="str">
        <f>IF(C28*0.1&lt;C26,"Exceed 10% Rule","")</f>
        <v/>
      </c>
      <c r="D27" s="243" t="str">
        <f>IF(D28*0.1&lt;D26,"Exceed 10% Rule","")</f>
        <v/>
      </c>
      <c r="E27" s="243" t="str">
        <f>IF(E28*0.1&lt;E26,"Exceed 10% Rule","")</f>
        <v/>
      </c>
    </row>
    <row r="28" spans="2:5" x14ac:dyDescent="0.25">
      <c r="B28" s="244" t="s">
        <v>63</v>
      </c>
      <c r="C28" s="247">
        <f>SUM(C18:C26)</f>
        <v>33202</v>
      </c>
      <c r="D28" s="247">
        <f>SUM(D18:D26)</f>
        <v>33363</v>
      </c>
      <c r="E28" s="247">
        <f>SUM(E18:E26)</f>
        <v>35872</v>
      </c>
    </row>
    <row r="29" spans="2:5" x14ac:dyDescent="0.25">
      <c r="B29" s="133" t="s">
        <v>166</v>
      </c>
      <c r="C29" s="65">
        <f>C16-C28</f>
        <v>2507</v>
      </c>
      <c r="D29" s="65">
        <f>D16-D28</f>
        <v>2508</v>
      </c>
      <c r="E29" s="65">
        <f>E16-E28</f>
        <v>0</v>
      </c>
    </row>
    <row r="30" spans="2:5" x14ac:dyDescent="0.25">
      <c r="B30" s="119" t="str">
        <f>CONCATENATE("",E1-2,"/",E1-1," Budget Authority Amount:")</f>
        <v>2012/2013 Budget Authority Amount:</v>
      </c>
      <c r="C30" s="222">
        <f>inputOth!B77</f>
        <v>35556</v>
      </c>
      <c r="D30" s="222">
        <f>inputPrYr!D38</f>
        <v>35713</v>
      </c>
      <c r="E30" s="331" t="str">
        <f>IF(E29&lt;0,"See Tab E","")</f>
        <v/>
      </c>
    </row>
    <row r="31" spans="2:5" x14ac:dyDescent="0.25">
      <c r="B31" s="119"/>
      <c r="C31" s="257" t="str">
        <f>IF(C28&gt;C30,"See Tab A","")</f>
        <v/>
      </c>
      <c r="D31" s="257" t="str">
        <f>IF(D28&gt;D30,"See Tab C","")</f>
        <v/>
      </c>
      <c r="E31" s="80"/>
    </row>
    <row r="32" spans="2:5" x14ac:dyDescent="0.25">
      <c r="B32" s="119"/>
      <c r="C32" s="257" t="str">
        <f>IF(C29&lt;0,"See Tab B","")</f>
        <v/>
      </c>
      <c r="D32" s="257" t="str">
        <f>IF(D29&lt;0,"See Tab D","")</f>
        <v/>
      </c>
      <c r="E32" s="80"/>
    </row>
    <row r="33" spans="2:5" x14ac:dyDescent="0.25">
      <c r="B33" s="32"/>
      <c r="C33" s="80"/>
      <c r="D33" s="80"/>
      <c r="E33" s="80"/>
    </row>
    <row r="34" spans="2:5" x14ac:dyDescent="0.25">
      <c r="B34" s="35" t="s">
        <v>50</v>
      </c>
      <c r="C34" s="268"/>
      <c r="D34" s="268"/>
      <c r="E34" s="268"/>
    </row>
    <row r="35" spans="2:5" x14ac:dyDescent="0.25">
      <c r="B35" s="32"/>
      <c r="C35" s="544" t="s">
        <v>367</v>
      </c>
      <c r="D35" s="545" t="s">
        <v>368</v>
      </c>
      <c r="E35" s="127" t="s">
        <v>369</v>
      </c>
    </row>
    <row r="36" spans="2:5" x14ac:dyDescent="0.25">
      <c r="B36" s="407" t="str">
        <f>(inputPrYr!B39)</f>
        <v>Sewer Revolving Loan</v>
      </c>
      <c r="C36" s="206" t="str">
        <f>CONCATENATE("Actual for ",$E$1-2,"")</f>
        <v>Actual for 2012</v>
      </c>
      <c r="D36" s="206" t="str">
        <f>CONCATENATE("Estimate for ",$E$1-1,"")</f>
        <v>Estimate for 2013</v>
      </c>
      <c r="E36" s="191" t="str">
        <f>CONCATENATE("Year for ",$E$1,"")</f>
        <v>Year for 2014</v>
      </c>
    </row>
    <row r="37" spans="2:5" x14ac:dyDescent="0.25">
      <c r="B37" s="233" t="s">
        <v>165</v>
      </c>
      <c r="C37" s="50">
        <v>398</v>
      </c>
      <c r="D37" s="209">
        <f>C60</f>
        <v>398</v>
      </c>
      <c r="E37" s="209">
        <f>D60</f>
        <v>398</v>
      </c>
    </row>
    <row r="38" spans="2:5" x14ac:dyDescent="0.25">
      <c r="B38" s="236" t="s">
        <v>167</v>
      </c>
      <c r="C38" s="70"/>
      <c r="D38" s="70"/>
      <c r="E38" s="70"/>
    </row>
    <row r="39" spans="2:5" x14ac:dyDescent="0.35">
      <c r="B39" s="583" t="s">
        <v>478</v>
      </c>
      <c r="C39" s="50"/>
      <c r="D39" s="50"/>
      <c r="E39" s="50"/>
    </row>
    <row r="40" spans="2:5" x14ac:dyDescent="0.35">
      <c r="B40" s="583" t="s">
        <v>481</v>
      </c>
      <c r="C40" s="50">
        <v>240540</v>
      </c>
      <c r="D40" s="50">
        <v>240540</v>
      </c>
      <c r="E40" s="50">
        <v>240540</v>
      </c>
    </row>
    <row r="41" spans="2:5" x14ac:dyDescent="0.25">
      <c r="B41" s="253"/>
      <c r="C41" s="50"/>
      <c r="D41" s="50"/>
      <c r="E41" s="50"/>
    </row>
    <row r="42" spans="2:5" x14ac:dyDescent="0.25">
      <c r="B42" s="253"/>
      <c r="C42" s="50"/>
      <c r="D42" s="50"/>
      <c r="E42" s="50"/>
    </row>
    <row r="43" spans="2:5" x14ac:dyDescent="0.25">
      <c r="B43" s="241" t="s">
        <v>56</v>
      </c>
      <c r="C43" s="50">
        <v>0</v>
      </c>
      <c r="D43" s="50">
        <v>0</v>
      </c>
      <c r="E43" s="50">
        <v>0</v>
      </c>
    </row>
    <row r="44" spans="2:5" x14ac:dyDescent="0.25">
      <c r="B44" s="142" t="s">
        <v>9</v>
      </c>
      <c r="C44" s="50">
        <v>0</v>
      </c>
      <c r="D44" s="238">
        <v>0</v>
      </c>
      <c r="E44" s="238">
        <v>0</v>
      </c>
    </row>
    <row r="45" spans="2:5" x14ac:dyDescent="0.25">
      <c r="B45" s="233" t="s">
        <v>281</v>
      </c>
      <c r="C45" s="270" t="str">
        <f>IF(C46*0.1&lt;C44,"Exceed 10% Rule","")</f>
        <v/>
      </c>
      <c r="D45" s="243" t="str">
        <f>IF(D46*0.1&lt;D44,"Exceed 10% Rule","")</f>
        <v/>
      </c>
      <c r="E45" s="243" t="str">
        <f>IF(E46*0.1&lt;E44,"Exceed 10% Rule","")</f>
        <v/>
      </c>
    </row>
    <row r="46" spans="2:5" x14ac:dyDescent="0.25">
      <c r="B46" s="244" t="s">
        <v>57</v>
      </c>
      <c r="C46" s="247">
        <f>SUM(C39:C44)</f>
        <v>240540</v>
      </c>
      <c r="D46" s="247">
        <f>SUM(D39:D44)</f>
        <v>240540</v>
      </c>
      <c r="E46" s="247">
        <f>SUM(E39:E44)</f>
        <v>240540</v>
      </c>
    </row>
    <row r="47" spans="2:5" x14ac:dyDescent="0.25">
      <c r="B47" s="244" t="s">
        <v>58</v>
      </c>
      <c r="C47" s="247">
        <f>C37+C46</f>
        <v>240938</v>
      </c>
      <c r="D47" s="247">
        <f>D37+D46</f>
        <v>240938</v>
      </c>
      <c r="E47" s="247">
        <f>E37+E46</f>
        <v>240938</v>
      </c>
    </row>
    <row r="48" spans="2:5" x14ac:dyDescent="0.25">
      <c r="B48" s="133" t="s">
        <v>60</v>
      </c>
      <c r="C48" s="209"/>
      <c r="D48" s="209"/>
      <c r="E48" s="209"/>
    </row>
    <row r="49" spans="2:5" x14ac:dyDescent="0.35">
      <c r="B49" s="583" t="s">
        <v>14</v>
      </c>
      <c r="C49" s="50"/>
      <c r="D49" s="50"/>
      <c r="E49" s="50"/>
    </row>
    <row r="50" spans="2:5" x14ac:dyDescent="0.35">
      <c r="B50" s="583" t="s">
        <v>479</v>
      </c>
      <c r="C50" s="50">
        <v>211896</v>
      </c>
      <c r="D50" s="50">
        <v>218503</v>
      </c>
      <c r="E50" s="50">
        <v>225866</v>
      </c>
    </row>
    <row r="51" spans="2:5" x14ac:dyDescent="0.35">
      <c r="B51" s="583" t="s">
        <v>480</v>
      </c>
      <c r="C51" s="50">
        <v>28644</v>
      </c>
      <c r="D51" s="50">
        <v>22037</v>
      </c>
      <c r="E51" s="50">
        <v>14674</v>
      </c>
    </row>
    <row r="52" spans="2:5" x14ac:dyDescent="0.35">
      <c r="B52" s="583"/>
      <c r="C52" s="50"/>
      <c r="D52" s="50"/>
      <c r="E52" s="50"/>
    </row>
    <row r="53" spans="2:5" x14ac:dyDescent="0.35">
      <c r="B53" s="583" t="s">
        <v>469</v>
      </c>
      <c r="C53" s="50"/>
      <c r="D53" s="50"/>
      <c r="E53" s="50">
        <v>398</v>
      </c>
    </row>
    <row r="54" spans="2:5" x14ac:dyDescent="0.25">
      <c r="B54" s="253"/>
      <c r="C54" s="50"/>
      <c r="D54" s="50"/>
      <c r="E54" s="50"/>
    </row>
    <row r="55" spans="2:5" x14ac:dyDescent="0.25">
      <c r="B55" s="253"/>
      <c r="C55" s="50"/>
      <c r="D55" s="50"/>
      <c r="E55" s="50"/>
    </row>
    <row r="56" spans="2:5" x14ac:dyDescent="0.25">
      <c r="B56" s="253"/>
      <c r="C56" s="50"/>
      <c r="D56" s="50"/>
      <c r="E56" s="50"/>
    </row>
    <row r="57" spans="2:5" x14ac:dyDescent="0.25">
      <c r="B57" s="254" t="s">
        <v>9</v>
      </c>
      <c r="C57" s="50"/>
      <c r="D57" s="238"/>
      <c r="E57" s="238"/>
    </row>
    <row r="58" spans="2:5" x14ac:dyDescent="0.25">
      <c r="B58" s="269" t="s">
        <v>282</v>
      </c>
      <c r="C58" s="270" t="str">
        <f>IF(C59*0.1&lt;C57,"Exceed 10% Rule","")</f>
        <v/>
      </c>
      <c r="D58" s="243" t="str">
        <f>IF(D59*0.1&lt;D57,"Exceed 10% Rule","")</f>
        <v/>
      </c>
      <c r="E58" s="243" t="str">
        <f>IF(E59*0.1&lt;E57,"Exceed 10% Rule","")</f>
        <v/>
      </c>
    </row>
    <row r="59" spans="2:5" x14ac:dyDescent="0.25">
      <c r="B59" s="244" t="s">
        <v>63</v>
      </c>
      <c r="C59" s="247">
        <f>SUM(C49:C57)</f>
        <v>240540</v>
      </c>
      <c r="D59" s="247">
        <f>SUM(D49:D57)</f>
        <v>240540</v>
      </c>
      <c r="E59" s="247">
        <f>SUM(E49:E57)</f>
        <v>240938</v>
      </c>
    </row>
    <row r="60" spans="2:5" x14ac:dyDescent="0.25">
      <c r="B60" s="133" t="s">
        <v>166</v>
      </c>
      <c r="C60" s="65">
        <f>C47-C59</f>
        <v>398</v>
      </c>
      <c r="D60" s="65">
        <f>D47-D59</f>
        <v>398</v>
      </c>
      <c r="E60" s="65">
        <f>E47-E59</f>
        <v>0</v>
      </c>
    </row>
    <row r="61" spans="2:5" x14ac:dyDescent="0.25">
      <c r="B61" s="119" t="str">
        <f>CONCATENATE("",E1-2,"/",E1-1," Budget Authority Amount:")</f>
        <v>2012/2013 Budget Authority Amount:</v>
      </c>
      <c r="C61" s="222">
        <f>inputOth!B78</f>
        <v>240938</v>
      </c>
      <c r="D61" s="222">
        <f>inputPrYr!D39</f>
        <v>240938</v>
      </c>
      <c r="E61" s="331" t="str">
        <f>IF(E60&lt;0,"See Tab E","")</f>
        <v/>
      </c>
    </row>
    <row r="62" spans="2:5" x14ac:dyDescent="0.25">
      <c r="B62" s="119"/>
      <c r="C62" s="257" t="str">
        <f>IF(C59&gt;C61,"See Tab A","")</f>
        <v/>
      </c>
      <c r="D62" s="257" t="str">
        <f>IF(D59&gt;D61,"See Tab C","")</f>
        <v/>
      </c>
      <c r="E62" s="32"/>
    </row>
    <row r="63" spans="2:5" x14ac:dyDescent="0.25">
      <c r="B63" s="119"/>
      <c r="C63" s="257" t="str">
        <f>IF(C60&lt;0,"See Tab B","")</f>
        <v/>
      </c>
      <c r="D63" s="257" t="str">
        <f>IF(D60&lt;0,"See Tab D","")</f>
        <v/>
      </c>
      <c r="E63" s="32"/>
    </row>
    <row r="64" spans="2:5" x14ac:dyDescent="0.25">
      <c r="B64" s="612" t="s">
        <v>375</v>
      </c>
      <c r="C64" s="594"/>
      <c r="D64" s="594"/>
      <c r="E64" s="594"/>
    </row>
    <row r="65" spans="2:5" x14ac:dyDescent="0.25">
      <c r="B65" s="352" t="s">
        <v>66</v>
      </c>
      <c r="C65" s="585">
        <v>12</v>
      </c>
      <c r="D65" s="32"/>
      <c r="E65" s="32"/>
    </row>
  </sheetData>
  <mergeCells count="1">
    <mergeCell ref="B64:E64"/>
  </mergeCells>
  <phoneticPr fontId="0" type="noConversion"/>
  <conditionalFormatting sqref="C13">
    <cfRule type="cellIs" dxfId="74" priority="3" stopIfTrue="1" operator="greaterThan">
      <formula>$C$15*0.1</formula>
    </cfRule>
  </conditionalFormatting>
  <conditionalFormatting sqref="D13">
    <cfRule type="cellIs" dxfId="73" priority="4" stopIfTrue="1" operator="greaterThan">
      <formula>$D$15*0.1</formula>
    </cfRule>
  </conditionalFormatting>
  <conditionalFormatting sqref="E13">
    <cfRule type="cellIs" dxfId="72" priority="5" stopIfTrue="1" operator="greaterThan">
      <formula>$E$15*0.1</formula>
    </cfRule>
  </conditionalFormatting>
  <conditionalFormatting sqref="C26">
    <cfRule type="cellIs" dxfId="71" priority="6" stopIfTrue="1" operator="greaterThan">
      <formula>$C$28*0.1</formula>
    </cfRule>
  </conditionalFormatting>
  <conditionalFormatting sqref="D26">
    <cfRule type="cellIs" dxfId="70" priority="7" stopIfTrue="1" operator="greaterThan">
      <formula>$D$28*0.1</formula>
    </cfRule>
  </conditionalFormatting>
  <conditionalFormatting sqref="E26">
    <cfRule type="cellIs" dxfId="69" priority="8" stopIfTrue="1" operator="greaterThan">
      <formula>$E$28*0.1</formula>
    </cfRule>
  </conditionalFormatting>
  <conditionalFormatting sqref="C44">
    <cfRule type="cellIs" dxfId="68" priority="9" stopIfTrue="1" operator="greaterThan">
      <formula>$C$46*0.1</formula>
    </cfRule>
  </conditionalFormatting>
  <conditionalFormatting sqref="D44">
    <cfRule type="cellIs" dxfId="67" priority="10" stopIfTrue="1" operator="greaterThan">
      <formula>$D$46*0.1</formula>
    </cfRule>
  </conditionalFormatting>
  <conditionalFormatting sqref="E44">
    <cfRule type="cellIs" dxfId="66" priority="11" stopIfTrue="1" operator="greaterThan">
      <formula>$E$46*0.1</formula>
    </cfRule>
  </conditionalFormatting>
  <conditionalFormatting sqref="C57">
    <cfRule type="cellIs" dxfId="65" priority="12" stopIfTrue="1" operator="greaterThan">
      <formula>$C$59*0.1</formula>
    </cfRule>
  </conditionalFormatting>
  <conditionalFormatting sqref="D57">
    <cfRule type="cellIs" dxfId="64" priority="13" stopIfTrue="1" operator="greaterThan">
      <formula>$D$59*0.1</formula>
    </cfRule>
  </conditionalFormatting>
  <conditionalFormatting sqref="E57">
    <cfRule type="cellIs" dxfId="63" priority="14" stopIfTrue="1" operator="greaterThan">
      <formula>$E$59*0.1</formula>
    </cfRule>
  </conditionalFormatting>
  <conditionalFormatting sqref="D59">
    <cfRule type="cellIs" dxfId="62" priority="15" stopIfTrue="1" operator="greaterThan">
      <formula>$D$61</formula>
    </cfRule>
  </conditionalFormatting>
  <conditionalFormatting sqref="C59">
    <cfRule type="cellIs" dxfId="61" priority="16" stopIfTrue="1" operator="greaterThan">
      <formula>$C$61</formula>
    </cfRule>
  </conditionalFormatting>
  <conditionalFormatting sqref="C60 E60 C29 E29">
    <cfRule type="cellIs" dxfId="60" priority="17" stopIfTrue="1" operator="lessThan">
      <formula>0</formula>
    </cfRule>
  </conditionalFormatting>
  <conditionalFormatting sqref="D28">
    <cfRule type="cellIs" dxfId="59" priority="18" stopIfTrue="1" operator="greaterThan">
      <formula>$D$30</formula>
    </cfRule>
  </conditionalFormatting>
  <conditionalFormatting sqref="C28">
    <cfRule type="cellIs" dxfId="58" priority="19" stopIfTrue="1" operator="greaterThan">
      <formula>$C$30</formula>
    </cfRule>
  </conditionalFormatting>
  <conditionalFormatting sqref="D60">
    <cfRule type="cellIs" dxfId="57" priority="2" stopIfTrue="1" operator="lessThan">
      <formula>0</formula>
    </cfRule>
  </conditionalFormatting>
  <conditionalFormatting sqref="D29">
    <cfRule type="cellIs" dxfId="56" priority="1"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D9" sqref="D9"/>
    </sheetView>
  </sheetViews>
  <sheetFormatPr defaultColWidth="8.9140625" defaultRowHeight="15.5" x14ac:dyDescent="0.25"/>
  <cols>
    <col min="1" max="1" width="2.4140625" style="30" customWidth="1"/>
    <col min="2" max="2" width="31.08203125" style="30" customWidth="1"/>
    <col min="3" max="4" width="15.6640625" style="30" customWidth="1"/>
    <col min="5" max="5" width="16.25" style="30" customWidth="1"/>
    <col min="6" max="16384" width="8.9140625" style="30"/>
  </cols>
  <sheetData>
    <row r="1" spans="2:5" x14ac:dyDescent="0.25">
      <c r="B1" s="180" t="str">
        <f>(inputPrYr!D2)</f>
        <v>City of Eureka</v>
      </c>
      <c r="C1" s="32"/>
      <c r="D1" s="32"/>
      <c r="E1" s="229">
        <f>inputPrYr!C5</f>
        <v>2014</v>
      </c>
    </row>
    <row r="2" spans="2:5" x14ac:dyDescent="0.25">
      <c r="B2" s="32"/>
      <c r="C2" s="32"/>
      <c r="D2" s="32"/>
      <c r="E2" s="152"/>
    </row>
    <row r="3" spans="2:5" x14ac:dyDescent="0.25">
      <c r="B3" s="230" t="s">
        <v>112</v>
      </c>
      <c r="C3" s="265"/>
      <c r="D3" s="265"/>
      <c r="E3" s="265"/>
    </row>
    <row r="4" spans="2:5" x14ac:dyDescent="0.25">
      <c r="B4" s="35" t="s">
        <v>50</v>
      </c>
      <c r="C4" s="544" t="s">
        <v>367</v>
      </c>
      <c r="D4" s="545" t="s">
        <v>368</v>
      </c>
      <c r="E4" s="127" t="s">
        <v>369</v>
      </c>
    </row>
    <row r="5" spans="2:5" x14ac:dyDescent="0.25">
      <c r="B5" s="407" t="str">
        <f>inputPrYr!B40</f>
        <v>Employee Health Benefits</v>
      </c>
      <c r="C5" s="206" t="str">
        <f>CONCATENATE("Actual for ",E1-2,"")</f>
        <v>Actual for 2012</v>
      </c>
      <c r="D5" s="206" t="str">
        <f>CONCATENATE("Estimate for ",E1-1,"")</f>
        <v>Estimate for 2013</v>
      </c>
      <c r="E5" s="191" t="str">
        <f>CONCATENATE("Year for ",E1,"")</f>
        <v>Year for 2014</v>
      </c>
    </row>
    <row r="6" spans="2:5" x14ac:dyDescent="0.25">
      <c r="B6" s="233" t="s">
        <v>165</v>
      </c>
      <c r="C6" s="50">
        <v>25974</v>
      </c>
      <c r="D6" s="209">
        <f>C29</f>
        <v>1974</v>
      </c>
      <c r="E6" s="209">
        <f>D29</f>
        <v>10474</v>
      </c>
    </row>
    <row r="7" spans="2:5" x14ac:dyDescent="0.25">
      <c r="B7" s="236" t="s">
        <v>167</v>
      </c>
      <c r="C7" s="70"/>
      <c r="D7" s="70"/>
      <c r="E7" s="70"/>
    </row>
    <row r="8" spans="2:5" x14ac:dyDescent="0.25">
      <c r="B8" s="253" t="s">
        <v>431</v>
      </c>
      <c r="C8" s="50"/>
      <c r="D8" s="50"/>
      <c r="E8" s="50"/>
    </row>
    <row r="9" spans="2:5" x14ac:dyDescent="0.25">
      <c r="B9" s="253" t="s">
        <v>482</v>
      </c>
      <c r="C9" s="50">
        <v>0</v>
      </c>
      <c r="D9" s="50">
        <v>8500</v>
      </c>
      <c r="E9" s="50">
        <v>0</v>
      </c>
    </row>
    <row r="10" spans="2:5" x14ac:dyDescent="0.25">
      <c r="B10" s="253"/>
      <c r="C10" s="50"/>
      <c r="D10" s="50"/>
      <c r="E10" s="50"/>
    </row>
    <row r="11" spans="2:5" x14ac:dyDescent="0.25">
      <c r="B11" s="253"/>
      <c r="C11" s="50"/>
      <c r="D11" s="50"/>
      <c r="E11" s="50"/>
    </row>
    <row r="12" spans="2:5" x14ac:dyDescent="0.25">
      <c r="B12" s="241" t="s">
        <v>56</v>
      </c>
      <c r="C12" s="50">
        <v>0</v>
      </c>
      <c r="D12" s="50">
        <v>0</v>
      </c>
      <c r="E12" s="50">
        <v>0</v>
      </c>
    </row>
    <row r="13" spans="2:5" x14ac:dyDescent="0.25">
      <c r="B13" s="142" t="s">
        <v>9</v>
      </c>
      <c r="C13" s="50">
        <v>0</v>
      </c>
      <c r="D13" s="238">
        <v>0</v>
      </c>
      <c r="E13" s="238">
        <v>0</v>
      </c>
    </row>
    <row r="14" spans="2:5" x14ac:dyDescent="0.25">
      <c r="B14" s="233" t="s">
        <v>281</v>
      </c>
      <c r="C14" s="270" t="str">
        <f>IF(C15*0.1&lt;C13,"Exceed 10% Rule","")</f>
        <v/>
      </c>
      <c r="D14" s="243" t="str">
        <f>IF(D15*0.1&lt;D13,"Exceed 10% Rule","")</f>
        <v/>
      </c>
      <c r="E14" s="243" t="str">
        <f>IF(E15*0.1&lt;E13,"Exceed 10% Rule","")</f>
        <v/>
      </c>
    </row>
    <row r="15" spans="2:5" x14ac:dyDescent="0.25">
      <c r="B15" s="244" t="s">
        <v>57</v>
      </c>
      <c r="C15" s="247">
        <f>SUM(C8:C13)</f>
        <v>0</v>
      </c>
      <c r="D15" s="247">
        <f>SUM(D8:D13)</f>
        <v>8500</v>
      </c>
      <c r="E15" s="247">
        <f>SUM(E8:E13)</f>
        <v>0</v>
      </c>
    </row>
    <row r="16" spans="2:5" x14ac:dyDescent="0.25">
      <c r="B16" s="244" t="s">
        <v>58</v>
      </c>
      <c r="C16" s="247">
        <f>C6+C15</f>
        <v>25974</v>
      </c>
      <c r="D16" s="247">
        <f>D6+D15</f>
        <v>10474</v>
      </c>
      <c r="E16" s="247">
        <f>E6+E15</f>
        <v>10474</v>
      </c>
    </row>
    <row r="17" spans="2:5" x14ac:dyDescent="0.25">
      <c r="B17" s="133" t="s">
        <v>60</v>
      </c>
      <c r="C17" s="209"/>
      <c r="D17" s="209"/>
      <c r="E17" s="209"/>
    </row>
    <row r="18" spans="2:5" x14ac:dyDescent="0.35">
      <c r="B18" s="583" t="s">
        <v>483</v>
      </c>
      <c r="C18" s="50"/>
      <c r="D18" s="50"/>
      <c r="E18" s="50"/>
    </row>
    <row r="19" spans="2:5" x14ac:dyDescent="0.35">
      <c r="B19" s="583" t="s">
        <v>484</v>
      </c>
      <c r="C19" s="50">
        <v>4000</v>
      </c>
      <c r="D19" s="50">
        <v>0</v>
      </c>
      <c r="E19" s="50">
        <v>10474</v>
      </c>
    </row>
    <row r="20" spans="2:5" x14ac:dyDescent="0.25">
      <c r="B20" s="253"/>
      <c r="C20" s="50"/>
      <c r="D20" s="50"/>
      <c r="E20" s="50"/>
    </row>
    <row r="21" spans="2:5" x14ac:dyDescent="0.25">
      <c r="B21" s="253" t="s">
        <v>485</v>
      </c>
      <c r="C21" s="50">
        <v>20000</v>
      </c>
      <c r="D21" s="50">
        <v>0</v>
      </c>
      <c r="E21" s="50">
        <v>0</v>
      </c>
    </row>
    <row r="22" spans="2:5" x14ac:dyDescent="0.25">
      <c r="B22" s="253"/>
      <c r="C22" s="50"/>
      <c r="D22" s="50"/>
      <c r="E22" s="50"/>
    </row>
    <row r="23" spans="2:5" x14ac:dyDescent="0.25">
      <c r="B23" s="253"/>
      <c r="C23" s="50"/>
      <c r="D23" s="50"/>
      <c r="E23" s="50"/>
    </row>
    <row r="24" spans="2:5" x14ac:dyDescent="0.25">
      <c r="B24" s="253"/>
      <c r="C24" s="50"/>
      <c r="D24" s="50"/>
      <c r="E24" s="50"/>
    </row>
    <row r="25" spans="2:5" x14ac:dyDescent="0.25">
      <c r="B25" s="253"/>
      <c r="C25" s="50"/>
      <c r="D25" s="50"/>
      <c r="E25" s="50"/>
    </row>
    <row r="26" spans="2:5" x14ac:dyDescent="0.25">
      <c r="B26" s="254" t="s">
        <v>9</v>
      </c>
      <c r="C26" s="50"/>
      <c r="D26" s="238"/>
      <c r="E26" s="238"/>
    </row>
    <row r="27" spans="2:5" x14ac:dyDescent="0.25">
      <c r="B27" s="254" t="s">
        <v>282</v>
      </c>
      <c r="C27" s="270" t="str">
        <f>IF(C28*0.1&lt;C26,"Exceed 10% Rule","")</f>
        <v/>
      </c>
      <c r="D27" s="243" t="str">
        <f>IF(D28*0.1&lt;D26,"Exceed 10% Rule","")</f>
        <v/>
      </c>
      <c r="E27" s="243" t="str">
        <f>IF(E28*0.1&lt;E26,"Exceed 10% Rule","")</f>
        <v/>
      </c>
    </row>
    <row r="28" spans="2:5" x14ac:dyDescent="0.25">
      <c r="B28" s="244" t="s">
        <v>63</v>
      </c>
      <c r="C28" s="247">
        <f>SUM(C18:C26)</f>
        <v>24000</v>
      </c>
      <c r="D28" s="247">
        <f>SUM(D18:D26)</f>
        <v>0</v>
      </c>
      <c r="E28" s="247">
        <f>SUM(E18:E26)</f>
        <v>10474</v>
      </c>
    </row>
    <row r="29" spans="2:5" x14ac:dyDescent="0.25">
      <c r="B29" s="133" t="s">
        <v>166</v>
      </c>
      <c r="C29" s="65">
        <f>C16-C28</f>
        <v>1974</v>
      </c>
      <c r="D29" s="65">
        <f>D16-D28</f>
        <v>10474</v>
      </c>
      <c r="E29" s="65">
        <f>E16-E28</f>
        <v>0</v>
      </c>
    </row>
    <row r="30" spans="2:5" x14ac:dyDescent="0.25">
      <c r="B30" s="119" t="str">
        <f>CONCATENATE("",E1-2,"/",E1-1," Budget Authority Amount:")</f>
        <v>2012/2013 Budget Authority Amount:</v>
      </c>
      <c r="C30" s="222">
        <f>inputOth!B79</f>
        <v>32435</v>
      </c>
      <c r="D30" s="222">
        <f>inputPrYr!D40</f>
        <v>0</v>
      </c>
      <c r="E30" s="331" t="str">
        <f>IF(E29&lt;0,"See Tab E","")</f>
        <v/>
      </c>
    </row>
    <row r="31" spans="2:5" x14ac:dyDescent="0.25">
      <c r="B31" s="119"/>
      <c r="C31" s="257" t="str">
        <f>IF(C28&gt;C30,"See Tab A","")</f>
        <v/>
      </c>
      <c r="D31" s="257" t="str">
        <f>IF(D28&gt;D30,"See Tab C","")</f>
        <v/>
      </c>
      <c r="E31" s="80"/>
    </row>
    <row r="32" spans="2:5" x14ac:dyDescent="0.25">
      <c r="B32" s="119"/>
      <c r="C32" s="257" t="str">
        <f>IF(C29&lt;0,"See Tab B","")</f>
        <v/>
      </c>
      <c r="D32" s="257" t="str">
        <f>IF(D29&lt;0,"See Tab D","")</f>
        <v/>
      </c>
      <c r="E32" s="80"/>
    </row>
    <row r="33" spans="2:5" x14ac:dyDescent="0.25">
      <c r="B33" s="32"/>
      <c r="C33" s="80"/>
      <c r="D33" s="80"/>
      <c r="E33" s="80"/>
    </row>
    <row r="34" spans="2:5" x14ac:dyDescent="0.25">
      <c r="B34" s="35" t="s">
        <v>50</v>
      </c>
      <c r="C34" s="268"/>
      <c r="D34" s="268"/>
      <c r="E34" s="268"/>
    </row>
    <row r="35" spans="2:5" x14ac:dyDescent="0.25">
      <c r="B35" s="32"/>
      <c r="C35" s="544" t="s">
        <v>367</v>
      </c>
      <c r="D35" s="545" t="s">
        <v>368</v>
      </c>
      <c r="E35" s="127" t="s">
        <v>369</v>
      </c>
    </row>
    <row r="36" spans="2:5" x14ac:dyDescent="0.25">
      <c r="B36" s="407" t="str">
        <f>inputPrYr!B41</f>
        <v>Sales Tax Revenue</v>
      </c>
      <c r="C36" s="206" t="str">
        <f>CONCATENATE("Actual for ",$E$1-2,"")</f>
        <v>Actual for 2012</v>
      </c>
      <c r="D36" s="206" t="str">
        <f>CONCATENATE("Estimate for ",$E$1-1,"")</f>
        <v>Estimate for 2013</v>
      </c>
      <c r="E36" s="191" t="str">
        <f>CONCATENATE("Year for ",$E$1,"")</f>
        <v>Year for 2014</v>
      </c>
    </row>
    <row r="37" spans="2:5" x14ac:dyDescent="0.25">
      <c r="B37" s="233" t="s">
        <v>165</v>
      </c>
      <c r="C37" s="50">
        <v>668858</v>
      </c>
      <c r="D37" s="209">
        <f>C60</f>
        <v>754819</v>
      </c>
      <c r="E37" s="209">
        <f>D60</f>
        <v>856512</v>
      </c>
    </row>
    <row r="38" spans="2:5" x14ac:dyDescent="0.25">
      <c r="B38" s="236" t="s">
        <v>167</v>
      </c>
      <c r="C38" s="70"/>
      <c r="D38" s="70"/>
      <c r="E38" s="70"/>
    </row>
    <row r="39" spans="2:5" x14ac:dyDescent="0.35">
      <c r="B39" s="583" t="s">
        <v>384</v>
      </c>
      <c r="C39" s="50">
        <v>293961</v>
      </c>
      <c r="D39" s="50">
        <v>305101</v>
      </c>
      <c r="E39" s="50">
        <v>307000</v>
      </c>
    </row>
    <row r="40" spans="2:5" x14ac:dyDescent="0.25">
      <c r="B40" s="253"/>
      <c r="C40" s="50"/>
      <c r="D40" s="50"/>
      <c r="E40" s="50"/>
    </row>
    <row r="41" spans="2:5" x14ac:dyDescent="0.25">
      <c r="B41" s="253"/>
      <c r="C41" s="50"/>
      <c r="D41" s="50"/>
      <c r="E41" s="50"/>
    </row>
    <row r="42" spans="2:5" x14ac:dyDescent="0.25">
      <c r="B42" s="253"/>
      <c r="C42" s="50"/>
      <c r="D42" s="50"/>
      <c r="E42" s="50"/>
    </row>
    <row r="43" spans="2:5" x14ac:dyDescent="0.25">
      <c r="B43" s="241" t="s">
        <v>56</v>
      </c>
      <c r="C43" s="50">
        <v>0</v>
      </c>
      <c r="D43" s="50">
        <v>0</v>
      </c>
      <c r="E43" s="50">
        <v>0</v>
      </c>
    </row>
    <row r="44" spans="2:5" x14ac:dyDescent="0.25">
      <c r="B44" s="142" t="s">
        <v>9</v>
      </c>
      <c r="C44" s="50">
        <v>0</v>
      </c>
      <c r="D44" s="238">
        <v>0</v>
      </c>
      <c r="E44" s="238">
        <v>0</v>
      </c>
    </row>
    <row r="45" spans="2:5" x14ac:dyDescent="0.25">
      <c r="B45" s="233" t="s">
        <v>281</v>
      </c>
      <c r="C45" s="270" t="str">
        <f>IF(C46*0.1&lt;C44,"Exceed 10% Rule","")</f>
        <v/>
      </c>
      <c r="D45" s="243" t="str">
        <f>IF(D46*0.1&lt;D44,"Exceed 10% Rule","")</f>
        <v/>
      </c>
      <c r="E45" s="243" t="str">
        <f>IF(E46*0.1&lt;E44,"Exceed 10% Rule","")</f>
        <v/>
      </c>
    </row>
    <row r="46" spans="2:5" x14ac:dyDescent="0.25">
      <c r="B46" s="244" t="s">
        <v>57</v>
      </c>
      <c r="C46" s="247">
        <f>SUM(C39:C44)</f>
        <v>293961</v>
      </c>
      <c r="D46" s="247">
        <f>SUM(D39:D44)</f>
        <v>305101</v>
      </c>
      <c r="E46" s="247">
        <f>SUM(E39:E44)</f>
        <v>307000</v>
      </c>
    </row>
    <row r="47" spans="2:5" x14ac:dyDescent="0.25">
      <c r="B47" s="244" t="s">
        <v>58</v>
      </c>
      <c r="C47" s="247">
        <f>C37+C46</f>
        <v>962819</v>
      </c>
      <c r="D47" s="247">
        <f>D37+D46</f>
        <v>1059920</v>
      </c>
      <c r="E47" s="247">
        <f>E37+E46</f>
        <v>1163512</v>
      </c>
    </row>
    <row r="48" spans="2:5" x14ac:dyDescent="0.25">
      <c r="B48" s="133" t="s">
        <v>60</v>
      </c>
      <c r="C48" s="209"/>
      <c r="D48" s="209"/>
      <c r="E48" s="209"/>
    </row>
    <row r="49" spans="2:5" x14ac:dyDescent="0.35">
      <c r="B49" s="583" t="s">
        <v>486</v>
      </c>
      <c r="C49" s="50"/>
      <c r="D49" s="50"/>
      <c r="E49" s="50"/>
    </row>
    <row r="50" spans="2:5" x14ac:dyDescent="0.35">
      <c r="B50" s="583" t="s">
        <v>487</v>
      </c>
      <c r="C50" s="50">
        <v>208000</v>
      </c>
      <c r="D50" s="50">
        <v>203408</v>
      </c>
      <c r="E50" s="50">
        <v>204145</v>
      </c>
    </row>
    <row r="51" spans="2:5" x14ac:dyDescent="0.35">
      <c r="B51" s="583"/>
      <c r="C51" s="50"/>
      <c r="D51" s="50"/>
      <c r="E51" s="50"/>
    </row>
    <row r="52" spans="2:5" x14ac:dyDescent="0.35">
      <c r="B52" s="583" t="s">
        <v>469</v>
      </c>
      <c r="C52" s="50">
        <v>0</v>
      </c>
      <c r="D52" s="50">
        <v>0</v>
      </c>
      <c r="E52" s="50">
        <v>959367</v>
      </c>
    </row>
    <row r="53" spans="2:5" x14ac:dyDescent="0.25">
      <c r="B53" s="253"/>
      <c r="C53" s="50"/>
      <c r="D53" s="50"/>
      <c r="E53" s="50"/>
    </row>
    <row r="54" spans="2:5" x14ac:dyDescent="0.25">
      <c r="B54" s="253"/>
      <c r="C54" s="50"/>
      <c r="D54" s="50"/>
      <c r="E54" s="50"/>
    </row>
    <row r="55" spans="2:5" x14ac:dyDescent="0.25">
      <c r="B55" s="253"/>
      <c r="C55" s="50"/>
      <c r="D55" s="50"/>
      <c r="E55" s="50"/>
    </row>
    <row r="56" spans="2:5" x14ac:dyDescent="0.25">
      <c r="B56" s="253"/>
      <c r="C56" s="50"/>
      <c r="D56" s="50"/>
      <c r="E56" s="50"/>
    </row>
    <row r="57" spans="2:5" x14ac:dyDescent="0.25">
      <c r="B57" s="254" t="s">
        <v>9</v>
      </c>
      <c r="C57" s="50"/>
      <c r="D57" s="238"/>
      <c r="E57" s="238"/>
    </row>
    <row r="58" spans="2:5" x14ac:dyDescent="0.25">
      <c r="B58" s="254" t="s">
        <v>282</v>
      </c>
      <c r="C58" s="270" t="str">
        <f>IF(C59*0.1&lt;C57,"Exceed 10% Rule","")</f>
        <v/>
      </c>
      <c r="D58" s="243" t="str">
        <f>IF(D59*0.1&lt;D57,"Exceed 10% Rule","")</f>
        <v/>
      </c>
      <c r="E58" s="243" t="str">
        <f>IF(E59*0.1&lt;E57,"Exceed 10% Rule","")</f>
        <v/>
      </c>
    </row>
    <row r="59" spans="2:5" x14ac:dyDescent="0.25">
      <c r="B59" s="244" t="s">
        <v>63</v>
      </c>
      <c r="C59" s="247">
        <f>SUM(C49:C57)</f>
        <v>208000</v>
      </c>
      <c r="D59" s="247">
        <f>SUM(D49:D57)</f>
        <v>203408</v>
      </c>
      <c r="E59" s="247">
        <f>SUM(E49:E57)</f>
        <v>1163512</v>
      </c>
    </row>
    <row r="60" spans="2:5" x14ac:dyDescent="0.25">
      <c r="B60" s="133" t="s">
        <v>166</v>
      </c>
      <c r="C60" s="65">
        <f>C47-C59</f>
        <v>754819</v>
      </c>
      <c r="D60" s="65">
        <f>D47-D59</f>
        <v>856512</v>
      </c>
      <c r="E60" s="65">
        <f>E47-E59</f>
        <v>0</v>
      </c>
    </row>
    <row r="61" spans="2:5" x14ac:dyDescent="0.25">
      <c r="B61" s="119" t="str">
        <f>CONCATENATE("",E1-2,"/",E1-1," Budget Authority Amount:")</f>
        <v>2012/2013 Budget Authority Amount:</v>
      </c>
      <c r="C61" s="222">
        <f>inputOth!B80</f>
        <v>979900</v>
      </c>
      <c r="D61" s="222">
        <f>inputPrYr!D41</f>
        <v>1069628</v>
      </c>
      <c r="E61" s="331" t="str">
        <f>IF(E60&lt;0,"See Tab E","")</f>
        <v/>
      </c>
    </row>
    <row r="62" spans="2:5" x14ac:dyDescent="0.25">
      <c r="B62" s="119"/>
      <c r="C62" s="257" t="str">
        <f>IF(C59&gt;C61,"See Tab A","")</f>
        <v/>
      </c>
      <c r="D62" s="257" t="str">
        <f>IF(D59&gt;D61,"See Tab C","")</f>
        <v/>
      </c>
      <c r="E62" s="32"/>
    </row>
    <row r="63" spans="2:5" x14ac:dyDescent="0.25">
      <c r="B63" s="119"/>
      <c r="C63" s="257" t="str">
        <f>IF(C60&lt;0,"See Tab B","")</f>
        <v/>
      </c>
      <c r="D63" s="257" t="str">
        <f>IF(D60&lt;0,"See Tab D","")</f>
        <v/>
      </c>
      <c r="E63" s="32"/>
    </row>
    <row r="64" spans="2:5" x14ac:dyDescent="0.25">
      <c r="B64" s="612" t="s">
        <v>375</v>
      </c>
      <c r="C64" s="594"/>
      <c r="D64" s="594"/>
      <c r="E64" s="594"/>
    </row>
    <row r="65" spans="2:5" x14ac:dyDescent="0.25">
      <c r="B65" s="352" t="s">
        <v>66</v>
      </c>
      <c r="C65" s="585">
        <v>13</v>
      </c>
      <c r="D65" s="32"/>
      <c r="E65" s="32"/>
    </row>
  </sheetData>
  <mergeCells count="1">
    <mergeCell ref="B64:E64"/>
  </mergeCells>
  <phoneticPr fontId="0" type="noConversion"/>
  <conditionalFormatting sqref="C13">
    <cfRule type="cellIs" dxfId="55" priority="3" stopIfTrue="1" operator="greaterThan">
      <formula>$C$15*0.1</formula>
    </cfRule>
  </conditionalFormatting>
  <conditionalFormatting sqref="D13">
    <cfRule type="cellIs" dxfId="54" priority="4" stopIfTrue="1" operator="greaterThan">
      <formula>$D$15*0.1</formula>
    </cfRule>
  </conditionalFormatting>
  <conditionalFormatting sqref="E13">
    <cfRule type="cellIs" dxfId="53" priority="5" stopIfTrue="1" operator="greaterThan">
      <formula>$E$15*0.1</formula>
    </cfRule>
  </conditionalFormatting>
  <conditionalFormatting sqref="C26">
    <cfRule type="cellIs" dxfId="52" priority="6" stopIfTrue="1" operator="greaterThan">
      <formula>$C$28*0.1</formula>
    </cfRule>
  </conditionalFormatting>
  <conditionalFormatting sqref="D26">
    <cfRule type="cellIs" dxfId="51" priority="7" stopIfTrue="1" operator="greaterThan">
      <formula>$D$28*0.1</formula>
    </cfRule>
  </conditionalFormatting>
  <conditionalFormatting sqref="E26">
    <cfRule type="cellIs" dxfId="50" priority="8" stopIfTrue="1" operator="greaterThan">
      <formula>$E$28*0.1</formula>
    </cfRule>
  </conditionalFormatting>
  <conditionalFormatting sqref="C44">
    <cfRule type="cellIs" dxfId="49" priority="9" stopIfTrue="1" operator="greaterThan">
      <formula>$C$46*0.1</formula>
    </cfRule>
  </conditionalFormatting>
  <conditionalFormatting sqref="D44">
    <cfRule type="cellIs" dxfId="48" priority="10" stopIfTrue="1" operator="greaterThan">
      <formula>$D$46*0.1</formula>
    </cfRule>
  </conditionalFormatting>
  <conditionalFormatting sqref="E44">
    <cfRule type="cellIs" dxfId="47" priority="11" stopIfTrue="1" operator="greaterThan">
      <formula>$E$46*0.1</formula>
    </cfRule>
  </conditionalFormatting>
  <conditionalFormatting sqref="C57">
    <cfRule type="cellIs" dxfId="46" priority="12" stopIfTrue="1" operator="greaterThan">
      <formula>$C$59*0.1</formula>
    </cfRule>
  </conditionalFormatting>
  <conditionalFormatting sqref="D57">
    <cfRule type="cellIs" dxfId="45" priority="13" stopIfTrue="1" operator="greaterThan">
      <formula>$D$59*0.1</formula>
    </cfRule>
  </conditionalFormatting>
  <conditionalFormatting sqref="E57">
    <cfRule type="cellIs" dxfId="44" priority="14" stopIfTrue="1" operator="greaterThan">
      <formula>$E$59*0.1</formula>
    </cfRule>
  </conditionalFormatting>
  <conditionalFormatting sqref="D59">
    <cfRule type="cellIs" dxfId="43" priority="15" stopIfTrue="1" operator="greaterThan">
      <formula>$D$61</formula>
    </cfRule>
  </conditionalFormatting>
  <conditionalFormatting sqref="C59">
    <cfRule type="cellIs" dxfId="42" priority="16" stopIfTrue="1" operator="greaterThan">
      <formula>$C$61</formula>
    </cfRule>
  </conditionalFormatting>
  <conditionalFormatting sqref="C60 E60 C29 E29">
    <cfRule type="cellIs" dxfId="41" priority="17" stopIfTrue="1" operator="lessThan">
      <formula>0</formula>
    </cfRule>
  </conditionalFormatting>
  <conditionalFormatting sqref="D28">
    <cfRule type="cellIs" dxfId="40" priority="18" stopIfTrue="1" operator="greaterThan">
      <formula>$D$30</formula>
    </cfRule>
  </conditionalFormatting>
  <conditionalFormatting sqref="C28">
    <cfRule type="cellIs" dxfId="39" priority="19" stopIfTrue="1" operator="greaterThan">
      <formula>$C$30</formula>
    </cfRule>
  </conditionalFormatting>
  <conditionalFormatting sqref="D60">
    <cfRule type="cellIs" dxfId="38" priority="2" stopIfTrue="1" operator="lessThan">
      <formula>0</formula>
    </cfRule>
  </conditionalFormatting>
  <conditionalFormatting sqref="D29">
    <cfRule type="cellIs" dxfId="37" priority="1"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7"/>
  <sheetViews>
    <sheetView topLeftCell="A11" workbookViewId="0">
      <selection activeCell="E25" sqref="E25"/>
    </sheetView>
  </sheetViews>
  <sheetFormatPr defaultColWidth="8.9140625" defaultRowHeight="15.5" x14ac:dyDescent="0.25"/>
  <cols>
    <col min="1" max="1" width="2.4140625" style="30" customWidth="1"/>
    <col min="2" max="2" width="31.08203125" style="30" customWidth="1"/>
    <col min="3" max="4" width="15.6640625" style="30" customWidth="1"/>
    <col min="5" max="5" width="16.08203125" style="30" customWidth="1"/>
    <col min="6" max="16384" width="8.9140625" style="30"/>
  </cols>
  <sheetData>
    <row r="1" spans="2:5" x14ac:dyDescent="0.25">
      <c r="B1" s="180" t="str">
        <f>(inputPrYr!D2)</f>
        <v>City of Eureka</v>
      </c>
      <c r="C1" s="32"/>
      <c r="D1" s="32"/>
      <c r="E1" s="229">
        <f>inputPrYr!C5</f>
        <v>2014</v>
      </c>
    </row>
    <row r="2" spans="2:5" x14ac:dyDescent="0.25">
      <c r="B2" s="32"/>
      <c r="C2" s="32"/>
      <c r="D2" s="32"/>
      <c r="E2" s="152"/>
    </row>
    <row r="3" spans="2:5" x14ac:dyDescent="0.25">
      <c r="B3" s="230" t="s">
        <v>112</v>
      </c>
      <c r="C3" s="265"/>
      <c r="D3" s="265"/>
      <c r="E3" s="265"/>
    </row>
    <row r="4" spans="2:5" x14ac:dyDescent="0.25">
      <c r="B4" s="35" t="s">
        <v>50</v>
      </c>
      <c r="C4" s="544" t="s">
        <v>367</v>
      </c>
      <c r="D4" s="545" t="s">
        <v>368</v>
      </c>
      <c r="E4" s="127" t="s">
        <v>369</v>
      </c>
    </row>
    <row r="5" spans="2:5" x14ac:dyDescent="0.25">
      <c r="B5" s="407" t="str">
        <f>inputPrYr!B42</f>
        <v>Sewer Utility</v>
      </c>
      <c r="C5" s="206" t="str">
        <f>CONCATENATE("Actual for ",E1-2,"")</f>
        <v>Actual for 2012</v>
      </c>
      <c r="D5" s="206" t="str">
        <f>CONCATENATE("Estimate for ",E1-1,"")</f>
        <v>Estimate for 2013</v>
      </c>
      <c r="E5" s="191" t="str">
        <f>CONCATENATE("Year for ",E1,"")</f>
        <v>Year for 2014</v>
      </c>
    </row>
    <row r="6" spans="2:5" x14ac:dyDescent="0.25">
      <c r="B6" s="233" t="s">
        <v>165</v>
      </c>
      <c r="C6" s="50">
        <v>53076</v>
      </c>
      <c r="D6" s="209">
        <f>C31</f>
        <v>52310</v>
      </c>
      <c r="E6" s="209">
        <f>D31</f>
        <v>54951</v>
      </c>
    </row>
    <row r="7" spans="2:5" x14ac:dyDescent="0.25">
      <c r="B7" s="236" t="s">
        <v>167</v>
      </c>
      <c r="C7" s="70"/>
      <c r="D7" s="70"/>
      <c r="E7" s="70"/>
    </row>
    <row r="8" spans="2:5" x14ac:dyDescent="0.35">
      <c r="B8" s="583" t="s">
        <v>488</v>
      </c>
      <c r="C8" s="50">
        <v>326112</v>
      </c>
      <c r="D8" s="50">
        <v>338254</v>
      </c>
      <c r="E8" s="50">
        <v>340000</v>
      </c>
    </row>
    <row r="9" spans="2:5" x14ac:dyDescent="0.35">
      <c r="B9" s="583"/>
      <c r="C9" s="50"/>
      <c r="D9" s="50"/>
      <c r="E9" s="50"/>
    </row>
    <row r="10" spans="2:5" x14ac:dyDescent="0.35">
      <c r="B10" s="583" t="s">
        <v>489</v>
      </c>
      <c r="C10" s="50">
        <v>250</v>
      </c>
      <c r="D10" s="50">
        <v>350</v>
      </c>
      <c r="E10" s="50">
        <v>350</v>
      </c>
    </row>
    <row r="11" spans="2:5" x14ac:dyDescent="0.35">
      <c r="B11" s="583" t="s">
        <v>490</v>
      </c>
      <c r="C11" s="50">
        <v>6430</v>
      </c>
      <c r="D11" s="50">
        <v>6675</v>
      </c>
      <c r="E11" s="50">
        <v>6675</v>
      </c>
    </row>
    <row r="12" spans="2:5" x14ac:dyDescent="0.35">
      <c r="B12" s="583"/>
      <c r="C12" s="50"/>
      <c r="D12" s="50"/>
      <c r="E12" s="50"/>
    </row>
    <row r="13" spans="2:5" x14ac:dyDescent="0.25">
      <c r="B13" s="241" t="s">
        <v>56</v>
      </c>
      <c r="C13" s="50">
        <v>71</v>
      </c>
      <c r="D13" s="50">
        <v>55</v>
      </c>
      <c r="E13" s="50">
        <v>55</v>
      </c>
    </row>
    <row r="14" spans="2:5" x14ac:dyDescent="0.25">
      <c r="B14" s="142" t="s">
        <v>9</v>
      </c>
      <c r="C14" s="194">
        <v>1144</v>
      </c>
      <c r="D14" s="194">
        <v>831</v>
      </c>
      <c r="E14" s="194">
        <v>831</v>
      </c>
    </row>
    <row r="15" spans="2:5" x14ac:dyDescent="0.25">
      <c r="B15" s="233" t="s">
        <v>281</v>
      </c>
      <c r="C15" s="270" t="str">
        <f>IF(C16*0.1&lt;C14,"Exceed 10% Rule","")</f>
        <v/>
      </c>
      <c r="D15" s="243" t="str">
        <f>IF(D16*0.1&lt;D14,"Exceed 10% Rule","")</f>
        <v/>
      </c>
      <c r="E15" s="243" t="str">
        <f>IF(E16*0.1&lt;E14,"Exceed 10% Rule","")</f>
        <v/>
      </c>
    </row>
    <row r="16" spans="2:5" x14ac:dyDescent="0.25">
      <c r="B16" s="244" t="s">
        <v>57</v>
      </c>
      <c r="C16" s="247">
        <f>SUM(C8:C14)</f>
        <v>334007</v>
      </c>
      <c r="D16" s="247">
        <f>SUM(D8:D14)</f>
        <v>346165</v>
      </c>
      <c r="E16" s="247">
        <f>SUM(E8:E14)</f>
        <v>347911</v>
      </c>
    </row>
    <row r="17" spans="2:5" x14ac:dyDescent="0.25">
      <c r="B17" s="244" t="s">
        <v>58</v>
      </c>
      <c r="C17" s="247">
        <f>C6+C16</f>
        <v>387083</v>
      </c>
      <c r="D17" s="247">
        <f>D6+D16</f>
        <v>398475</v>
      </c>
      <c r="E17" s="247">
        <f>E6+E16</f>
        <v>402862</v>
      </c>
    </row>
    <row r="18" spans="2:5" x14ac:dyDescent="0.25">
      <c r="B18" s="133" t="s">
        <v>60</v>
      </c>
      <c r="C18" s="209"/>
      <c r="D18" s="209"/>
      <c r="E18" s="209"/>
    </row>
    <row r="19" spans="2:5" x14ac:dyDescent="0.35">
      <c r="B19" s="583" t="s">
        <v>491</v>
      </c>
      <c r="C19" s="50"/>
      <c r="D19" s="50"/>
      <c r="E19" s="50"/>
    </row>
    <row r="20" spans="2:5" x14ac:dyDescent="0.35">
      <c r="B20" s="583" t="s">
        <v>450</v>
      </c>
      <c r="C20" s="50">
        <f>40380-2346-5355-1114-517-2231</f>
        <v>28817</v>
      </c>
      <c r="D20" s="50">
        <v>28302</v>
      </c>
      <c r="E20" s="50">
        <v>29717</v>
      </c>
    </row>
    <row r="21" spans="2:5" x14ac:dyDescent="0.35">
      <c r="B21" s="583" t="s">
        <v>451</v>
      </c>
      <c r="C21" s="50">
        <f>5355+2347+1114+517+2231</f>
        <v>11564</v>
      </c>
      <c r="D21" s="50">
        <v>12768</v>
      </c>
      <c r="E21" s="50">
        <v>14683</v>
      </c>
    </row>
    <row r="22" spans="2:5" x14ac:dyDescent="0.35">
      <c r="B22" s="583" t="s">
        <v>452</v>
      </c>
      <c r="C22" s="50">
        <v>26624</v>
      </c>
      <c r="D22" s="50">
        <v>27000</v>
      </c>
      <c r="E22" s="50">
        <v>31100</v>
      </c>
    </row>
    <row r="23" spans="2:5" x14ac:dyDescent="0.35">
      <c r="B23" s="583" t="s">
        <v>61</v>
      </c>
      <c r="C23" s="50">
        <v>9719</v>
      </c>
      <c r="D23" s="50">
        <v>12000</v>
      </c>
      <c r="E23" s="50">
        <v>13000</v>
      </c>
    </row>
    <row r="24" spans="2:5" x14ac:dyDescent="0.35">
      <c r="B24" s="583" t="s">
        <v>62</v>
      </c>
      <c r="C24" s="50">
        <v>17509</v>
      </c>
      <c r="D24" s="50">
        <v>22914</v>
      </c>
      <c r="E24" s="50">
        <v>73822</v>
      </c>
    </row>
    <row r="25" spans="2:5" x14ac:dyDescent="0.35">
      <c r="B25" s="583" t="s">
        <v>492</v>
      </c>
      <c r="C25" s="50"/>
      <c r="D25" s="50"/>
      <c r="E25" s="50"/>
    </row>
    <row r="26" spans="2:5" x14ac:dyDescent="0.35">
      <c r="B26" s="583" t="s">
        <v>493</v>
      </c>
      <c r="C26" s="50">
        <v>240540</v>
      </c>
      <c r="D26" s="50">
        <v>240540</v>
      </c>
      <c r="E26" s="50">
        <v>240540</v>
      </c>
    </row>
    <row r="27" spans="2:5" x14ac:dyDescent="0.25">
      <c r="B27" s="253"/>
      <c r="C27" s="50"/>
      <c r="D27" s="50"/>
      <c r="E27" s="50"/>
    </row>
    <row r="28" spans="2:5" x14ac:dyDescent="0.25">
      <c r="B28" s="254" t="s">
        <v>9</v>
      </c>
      <c r="C28" s="50"/>
      <c r="D28" s="238"/>
      <c r="E28" s="238"/>
    </row>
    <row r="29" spans="2:5" x14ac:dyDescent="0.25">
      <c r="B29" s="254" t="s">
        <v>282</v>
      </c>
      <c r="C29" s="270" t="str">
        <f>IF(C30*0.1&lt;C28,"Exceed 10% Rule","")</f>
        <v/>
      </c>
      <c r="D29" s="243" t="str">
        <f>IF(D30*0.1&lt;D28,"Exceed 10% Rule","")</f>
        <v/>
      </c>
      <c r="E29" s="243" t="str">
        <f>IF(E30*0.1&lt;E28,"Exceed 10% Rule","")</f>
        <v/>
      </c>
    </row>
    <row r="30" spans="2:5" x14ac:dyDescent="0.25">
      <c r="B30" s="244" t="s">
        <v>63</v>
      </c>
      <c r="C30" s="247">
        <f>SUM(C19:C28)</f>
        <v>334773</v>
      </c>
      <c r="D30" s="247">
        <f>SUM(D19:D28)</f>
        <v>343524</v>
      </c>
      <c r="E30" s="247">
        <f>SUM(E19:E28)</f>
        <v>402862</v>
      </c>
    </row>
    <row r="31" spans="2:5" x14ac:dyDescent="0.25">
      <c r="B31" s="133" t="s">
        <v>166</v>
      </c>
      <c r="C31" s="65">
        <f>C17-C30</f>
        <v>52310</v>
      </c>
      <c r="D31" s="65">
        <f>D17-D30</f>
        <v>54951</v>
      </c>
      <c r="E31" s="65">
        <f>E17-E30</f>
        <v>0</v>
      </c>
    </row>
    <row r="32" spans="2:5" x14ac:dyDescent="0.25">
      <c r="B32" s="119" t="str">
        <f>CONCATENATE("",E1-2,"/",E1-1," Budget Authority Amount:")</f>
        <v>2012/2013 Budget Authority Amount:</v>
      </c>
      <c r="C32" s="222">
        <f>inputOth!B81</f>
        <v>380196</v>
      </c>
      <c r="D32" s="222">
        <f>inputPrYr!D42</f>
        <v>353166</v>
      </c>
      <c r="E32" s="331" t="str">
        <f>IF(E31&lt;0,"See Tab E","")</f>
        <v/>
      </c>
    </row>
    <row r="33" spans="2:5" x14ac:dyDescent="0.25">
      <c r="B33" s="119"/>
      <c r="C33" s="257" t="str">
        <f>IF(C30&gt;C32,"See Tab A","")</f>
        <v/>
      </c>
      <c r="D33" s="257" t="str">
        <f>IF(D30&gt;D32,"See Tab C","")</f>
        <v/>
      </c>
      <c r="E33" s="80"/>
    </row>
    <row r="34" spans="2:5" x14ac:dyDescent="0.25">
      <c r="B34" s="119"/>
      <c r="C34" s="257" t="str">
        <f>IF(C31&lt;0,"See Tab B","")</f>
        <v/>
      </c>
      <c r="D34" s="257" t="str">
        <f>IF(D31&lt;0,"See Tab D","")</f>
        <v/>
      </c>
      <c r="E34" s="80"/>
    </row>
    <row r="35" spans="2:5" x14ac:dyDescent="0.25">
      <c r="B35" s="32"/>
      <c r="C35" s="80"/>
      <c r="D35" s="80"/>
      <c r="E35" s="80"/>
    </row>
    <row r="36" spans="2:5" x14ac:dyDescent="0.25">
      <c r="B36" s="35" t="s">
        <v>50</v>
      </c>
      <c r="C36" s="268"/>
      <c r="D36" s="268"/>
      <c r="E36" s="268"/>
    </row>
    <row r="37" spans="2:5" x14ac:dyDescent="0.25">
      <c r="B37" s="32"/>
      <c r="C37" s="544" t="s">
        <v>367</v>
      </c>
      <c r="D37" s="545" t="s">
        <v>368</v>
      </c>
      <c r="E37" s="127" t="s">
        <v>369</v>
      </c>
    </row>
    <row r="38" spans="2:5" x14ac:dyDescent="0.25">
      <c r="B38" s="407"/>
      <c r="C38" s="206" t="str">
        <f>CONCATENATE("Actual for ",$E$1-2,"")</f>
        <v>Actual for 2012</v>
      </c>
      <c r="D38" s="206" t="str">
        <f>CONCATENATE("Estimate for ",$E$1-1,"")</f>
        <v>Estimate for 2013</v>
      </c>
      <c r="E38" s="191" t="str">
        <f>CONCATENATE("Year for ",$E$1,"")</f>
        <v>Year for 2014</v>
      </c>
    </row>
    <row r="39" spans="2:5" x14ac:dyDescent="0.25">
      <c r="B39" s="233" t="s">
        <v>165</v>
      </c>
      <c r="C39" s="50"/>
      <c r="D39" s="209">
        <f>C62</f>
        <v>0</v>
      </c>
      <c r="E39" s="209">
        <f>D62</f>
        <v>0</v>
      </c>
    </row>
    <row r="40" spans="2:5" x14ac:dyDescent="0.25">
      <c r="B40" s="236" t="s">
        <v>167</v>
      </c>
      <c r="C40" s="70"/>
      <c r="D40" s="70"/>
      <c r="E40" s="70"/>
    </row>
    <row r="41" spans="2:5" x14ac:dyDescent="0.25">
      <c r="B41" s="253"/>
      <c r="C41" s="50"/>
      <c r="D41" s="50"/>
      <c r="E41" s="50"/>
    </row>
    <row r="42" spans="2:5" x14ac:dyDescent="0.25">
      <c r="B42" s="253"/>
      <c r="C42" s="50"/>
      <c r="D42" s="50"/>
      <c r="E42" s="50"/>
    </row>
    <row r="43" spans="2:5" x14ac:dyDescent="0.25">
      <c r="B43" s="253"/>
      <c r="C43" s="50"/>
      <c r="D43" s="50"/>
      <c r="E43" s="50"/>
    </row>
    <row r="44" spans="2:5" x14ac:dyDescent="0.25">
      <c r="B44" s="253"/>
      <c r="C44" s="50"/>
      <c r="D44" s="50"/>
      <c r="E44" s="50"/>
    </row>
    <row r="45" spans="2:5" x14ac:dyDescent="0.25">
      <c r="B45" s="241" t="s">
        <v>56</v>
      </c>
      <c r="C45" s="50"/>
      <c r="D45" s="50"/>
      <c r="E45" s="50"/>
    </row>
    <row r="46" spans="2:5" x14ac:dyDescent="0.25">
      <c r="B46" s="142" t="s">
        <v>9</v>
      </c>
      <c r="C46" s="50"/>
      <c r="D46" s="238"/>
      <c r="E46" s="238"/>
    </row>
    <row r="47" spans="2:5" x14ac:dyDescent="0.25">
      <c r="B47" s="233" t="s">
        <v>281</v>
      </c>
      <c r="C47" s="270" t="str">
        <f>IF(C48*0.1&lt;C46,"Exceed 10% Rule","")</f>
        <v/>
      </c>
      <c r="D47" s="243" t="str">
        <f>IF(D48*0.1&lt;D46,"Exceed 10% Rule","")</f>
        <v/>
      </c>
      <c r="E47" s="243" t="str">
        <f>IF(E48*0.1&lt;E46,"Exceed 10% Rule","")</f>
        <v/>
      </c>
    </row>
    <row r="48" spans="2:5" x14ac:dyDescent="0.25">
      <c r="B48" s="244" t="s">
        <v>57</v>
      </c>
      <c r="C48" s="247">
        <f>SUM(C41:C46)</f>
        <v>0</v>
      </c>
      <c r="D48" s="247">
        <f>SUM(D41:D46)</f>
        <v>0</v>
      </c>
      <c r="E48" s="247">
        <f>SUM(E41:E46)</f>
        <v>0</v>
      </c>
    </row>
    <row r="49" spans="2:5" x14ac:dyDescent="0.25">
      <c r="B49" s="244" t="s">
        <v>58</v>
      </c>
      <c r="C49" s="247">
        <f>C39+C48</f>
        <v>0</v>
      </c>
      <c r="D49" s="247">
        <f>D39+D48</f>
        <v>0</v>
      </c>
      <c r="E49" s="247">
        <f>E39+E48</f>
        <v>0</v>
      </c>
    </row>
    <row r="50" spans="2:5" x14ac:dyDescent="0.25">
      <c r="B50" s="133" t="s">
        <v>60</v>
      </c>
      <c r="C50" s="209"/>
      <c r="D50" s="209"/>
      <c r="E50" s="209"/>
    </row>
    <row r="51" spans="2:5" x14ac:dyDescent="0.25">
      <c r="B51" s="253"/>
      <c r="C51" s="50"/>
      <c r="D51" s="50"/>
      <c r="E51" s="50"/>
    </row>
    <row r="52" spans="2:5" x14ac:dyDescent="0.25">
      <c r="B52" s="253"/>
      <c r="C52" s="50"/>
      <c r="D52" s="50"/>
      <c r="E52" s="50"/>
    </row>
    <row r="53" spans="2:5" x14ac:dyDescent="0.25">
      <c r="B53" s="253"/>
      <c r="C53" s="50"/>
      <c r="D53" s="50"/>
      <c r="E53" s="50"/>
    </row>
    <row r="54" spans="2:5" x14ac:dyDescent="0.25">
      <c r="B54" s="253"/>
      <c r="C54" s="50"/>
      <c r="D54" s="50"/>
      <c r="E54" s="50"/>
    </row>
    <row r="55" spans="2:5" x14ac:dyDescent="0.25">
      <c r="B55" s="253"/>
      <c r="C55" s="50"/>
      <c r="D55" s="50"/>
      <c r="E55" s="50"/>
    </row>
    <row r="56" spans="2:5" x14ac:dyDescent="0.25">
      <c r="B56" s="253"/>
      <c r="C56" s="50"/>
      <c r="D56" s="50"/>
      <c r="E56" s="50"/>
    </row>
    <row r="57" spans="2:5" x14ac:dyDescent="0.25">
      <c r="B57" s="253"/>
      <c r="C57" s="50"/>
      <c r="D57" s="50"/>
      <c r="E57" s="50"/>
    </row>
    <row r="58" spans="2:5" x14ac:dyDescent="0.25">
      <c r="B58" s="253"/>
      <c r="C58" s="50"/>
      <c r="D58" s="50"/>
      <c r="E58" s="50"/>
    </row>
    <row r="59" spans="2:5" x14ac:dyDescent="0.25">
      <c r="B59" s="254" t="s">
        <v>9</v>
      </c>
      <c r="C59" s="50"/>
      <c r="D59" s="238"/>
      <c r="E59" s="238"/>
    </row>
    <row r="60" spans="2:5" x14ac:dyDescent="0.25">
      <c r="B60" s="254" t="s">
        <v>282</v>
      </c>
      <c r="C60" s="270" t="str">
        <f>IF(C61*0.1&lt;C59,"Exceed 10% Rule","")</f>
        <v/>
      </c>
      <c r="D60" s="243" t="str">
        <f>IF(D61*0.1&lt;D59,"Exceed 10% Rule","")</f>
        <v/>
      </c>
      <c r="E60" s="243" t="str">
        <f>IF(E61*0.1&lt;E59,"Exceed 10% Rule","")</f>
        <v/>
      </c>
    </row>
    <row r="61" spans="2:5" x14ac:dyDescent="0.25">
      <c r="B61" s="244" t="s">
        <v>63</v>
      </c>
      <c r="C61" s="247">
        <f>SUM(C51:C59)</f>
        <v>0</v>
      </c>
      <c r="D61" s="247">
        <f>SUM(D51:D59)</f>
        <v>0</v>
      </c>
      <c r="E61" s="247">
        <f>SUM(E51:E59)</f>
        <v>0</v>
      </c>
    </row>
    <row r="62" spans="2:5" x14ac:dyDescent="0.25">
      <c r="B62" s="133" t="s">
        <v>166</v>
      </c>
      <c r="C62" s="65">
        <f>C49-C61</f>
        <v>0</v>
      </c>
      <c r="D62" s="65">
        <f>D49-D61</f>
        <v>0</v>
      </c>
      <c r="E62" s="65">
        <f>E49-E61</f>
        <v>0</v>
      </c>
    </row>
    <row r="63" spans="2:5" x14ac:dyDescent="0.25">
      <c r="B63" s="119" t="str">
        <f>CONCATENATE("",E1-2,"/",E1-1," Budget Authority Amount:")</f>
        <v>2012/2013 Budget Authority Amount:</v>
      </c>
      <c r="C63" s="222">
        <f>inputOth!B82</f>
        <v>0</v>
      </c>
      <c r="D63" s="222">
        <f>inputPrYr!D43</f>
        <v>0</v>
      </c>
      <c r="E63" s="331" t="str">
        <f>IF(E62&lt;0,"See Tab E","")</f>
        <v/>
      </c>
    </row>
    <row r="64" spans="2:5" x14ac:dyDescent="0.25">
      <c r="B64" s="119"/>
      <c r="C64" s="257" t="str">
        <f>IF(C61&gt;C63,"See Tab A","")</f>
        <v/>
      </c>
      <c r="D64" s="257" t="str">
        <f>IF(D61&gt;D63,"See Tab C","")</f>
        <v/>
      </c>
      <c r="E64" s="32"/>
    </row>
    <row r="65" spans="2:5" x14ac:dyDescent="0.25">
      <c r="B65" s="119"/>
      <c r="C65" s="257" t="str">
        <f>IF(C62&lt;0,"See Tab B","")</f>
        <v/>
      </c>
      <c r="D65" s="257" t="str">
        <f>IF(D62&lt;0,"See Tab D","")</f>
        <v/>
      </c>
      <c r="E65" s="32"/>
    </row>
    <row r="66" spans="2:5" x14ac:dyDescent="0.25">
      <c r="B66" s="612" t="s">
        <v>375</v>
      </c>
      <c r="C66" s="594"/>
      <c r="D66" s="594"/>
      <c r="E66" s="594"/>
    </row>
    <row r="67" spans="2:5" x14ac:dyDescent="0.25">
      <c r="B67" s="352" t="s">
        <v>66</v>
      </c>
      <c r="C67" s="585">
        <v>14</v>
      </c>
      <c r="D67" s="32"/>
      <c r="E67" s="32"/>
    </row>
  </sheetData>
  <mergeCells count="1">
    <mergeCell ref="B66:E66"/>
  </mergeCells>
  <phoneticPr fontId="0" type="noConversion"/>
  <conditionalFormatting sqref="C14">
    <cfRule type="cellIs" dxfId="36" priority="6" stopIfTrue="1" operator="greaterThan">
      <formula>$C$16*0.1</formula>
    </cfRule>
  </conditionalFormatting>
  <conditionalFormatting sqref="D14">
    <cfRule type="cellIs" dxfId="35" priority="7" stopIfTrue="1" operator="greaterThan">
      <formula>$D$16*0.1</formula>
    </cfRule>
  </conditionalFormatting>
  <conditionalFormatting sqref="E14">
    <cfRule type="cellIs" dxfId="34" priority="8" stopIfTrue="1" operator="greaterThan">
      <formula>$E$16*0.1</formula>
    </cfRule>
  </conditionalFormatting>
  <conditionalFormatting sqref="C28">
    <cfRule type="cellIs" dxfId="33" priority="9" stopIfTrue="1" operator="greaterThan">
      <formula>$C$30*0.1</formula>
    </cfRule>
  </conditionalFormatting>
  <conditionalFormatting sqref="D28">
    <cfRule type="cellIs" dxfId="32" priority="10" stopIfTrue="1" operator="greaterThan">
      <formula>$D$30*0.1</formula>
    </cfRule>
  </conditionalFormatting>
  <conditionalFormatting sqref="E28">
    <cfRule type="cellIs" dxfId="31" priority="11" stopIfTrue="1" operator="greaterThan">
      <formula>$E$30*0.1</formula>
    </cfRule>
  </conditionalFormatting>
  <conditionalFormatting sqref="C46">
    <cfRule type="cellIs" dxfId="30" priority="12" stopIfTrue="1" operator="greaterThan">
      <formula>$C$48*0.1</formula>
    </cfRule>
  </conditionalFormatting>
  <conditionalFormatting sqref="D46">
    <cfRule type="cellIs" dxfId="29" priority="13" stopIfTrue="1" operator="greaterThan">
      <formula>$D$48*0.1</formula>
    </cfRule>
  </conditionalFormatting>
  <conditionalFormatting sqref="E46">
    <cfRule type="cellIs" dxfId="28" priority="14" stopIfTrue="1" operator="greaterThan">
      <formula>$E$48*0.1</formula>
    </cfRule>
  </conditionalFormatting>
  <conditionalFormatting sqref="C59">
    <cfRule type="cellIs" dxfId="27" priority="15" stopIfTrue="1" operator="greaterThan">
      <formula>$C$61*0.1</formula>
    </cfRule>
  </conditionalFormatting>
  <conditionalFormatting sqref="D59">
    <cfRule type="cellIs" dxfId="26" priority="16" stopIfTrue="1" operator="greaterThan">
      <formula>$D$61*0.1</formula>
    </cfRule>
  </conditionalFormatting>
  <conditionalFormatting sqref="E59">
    <cfRule type="cellIs" dxfId="25" priority="17" stopIfTrue="1" operator="greaterThan">
      <formula>$E$61*0.1</formula>
    </cfRule>
  </conditionalFormatting>
  <conditionalFormatting sqref="D61">
    <cfRule type="cellIs" dxfId="24" priority="18" stopIfTrue="1" operator="greaterThan">
      <formula>$D$63</formula>
    </cfRule>
  </conditionalFormatting>
  <conditionalFormatting sqref="C61">
    <cfRule type="cellIs" dxfId="23" priority="19" stopIfTrue="1" operator="greaterThan">
      <formula>$C$63</formula>
    </cfRule>
  </conditionalFormatting>
  <conditionalFormatting sqref="C62 E62 C31 E31">
    <cfRule type="cellIs" dxfId="22" priority="20" stopIfTrue="1" operator="lessThan">
      <formula>0</formula>
    </cfRule>
  </conditionalFormatting>
  <conditionalFormatting sqref="C30">
    <cfRule type="cellIs" dxfId="21" priority="22" stopIfTrue="1" operator="greaterThan">
      <formula>$C$32</formula>
    </cfRule>
  </conditionalFormatting>
  <conditionalFormatting sqref="D62">
    <cfRule type="cellIs" dxfId="20" priority="5" stopIfTrue="1" operator="lessThan">
      <formula>0</formula>
    </cfRule>
  </conditionalFormatting>
  <conditionalFormatting sqref="D31">
    <cfRule type="cellIs" dxfId="19" priority="3" stopIfTrue="1" operator="lessThan">
      <formula>0</formula>
    </cfRule>
  </conditionalFormatting>
  <conditionalFormatting sqref="D30">
    <cfRule type="cellIs" dxfId="18" priority="1" stopIfTrue="1" operator="greaterThan">
      <formula>$D$32</formula>
    </cfRule>
  </conditionalFormatting>
  <pageMargins left="0.5" right="0.5" top="1" bottom="0.5" header="0.5" footer="0.5"/>
  <pageSetup scale="70" orientation="portrait" blackAndWhite="1"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9"/>
  <sheetViews>
    <sheetView topLeftCell="A5" workbookViewId="0">
      <selection activeCell="E5" sqref="E5"/>
    </sheetView>
  </sheetViews>
  <sheetFormatPr defaultColWidth="8.9140625" defaultRowHeight="15.5" x14ac:dyDescent="0.25"/>
  <cols>
    <col min="1" max="1" width="2.4140625" style="28" customWidth="1"/>
    <col min="2" max="2" width="31.08203125" style="28" customWidth="1"/>
    <col min="3" max="4" width="15.6640625" style="28" customWidth="1"/>
    <col min="5" max="5" width="16.08203125" style="28" customWidth="1"/>
    <col min="6" max="16384" width="8.9140625" style="28"/>
  </cols>
  <sheetData>
    <row r="1" spans="2:5" x14ac:dyDescent="0.25">
      <c r="B1" s="180" t="str">
        <f>(inputPrYr!D2)</f>
        <v>City of Eureka</v>
      </c>
      <c r="C1" s="32"/>
      <c r="D1" s="32"/>
      <c r="E1" s="229">
        <f>inputPrYr!C5</f>
        <v>2014</v>
      </c>
    </row>
    <row r="2" spans="2:5" x14ac:dyDescent="0.25">
      <c r="B2" s="32"/>
      <c r="C2" s="32"/>
      <c r="D2" s="32"/>
      <c r="E2" s="152"/>
    </row>
    <row r="3" spans="2:5" x14ac:dyDescent="0.25">
      <c r="B3" s="230" t="s">
        <v>112</v>
      </c>
      <c r="C3" s="265"/>
      <c r="D3" s="265"/>
      <c r="E3" s="265"/>
    </row>
    <row r="4" spans="2:5" x14ac:dyDescent="0.25">
      <c r="B4" s="35" t="s">
        <v>50</v>
      </c>
      <c r="C4" s="544" t="s">
        <v>367</v>
      </c>
      <c r="D4" s="545" t="s">
        <v>368</v>
      </c>
      <c r="E4" s="127" t="s">
        <v>369</v>
      </c>
    </row>
    <row r="5" spans="2:5" x14ac:dyDescent="0.25">
      <c r="B5" s="407" t="str">
        <f>inputPrYr!B44</f>
        <v>Water Utility</v>
      </c>
      <c r="C5" s="206" t="str">
        <f>CONCATENATE("Actual for ",E1-2,"")</f>
        <v>Actual for 2012</v>
      </c>
      <c r="D5" s="206" t="str">
        <f>CONCATENATE("Estimate for ",E1-1,"")</f>
        <v>Estimate for 2013</v>
      </c>
      <c r="E5" s="191" t="str">
        <f>CONCATENATE("Year for ",E1,"")</f>
        <v>Year for 2014</v>
      </c>
    </row>
    <row r="6" spans="2:5" x14ac:dyDescent="0.25">
      <c r="B6" s="233" t="s">
        <v>165</v>
      </c>
      <c r="C6" s="50">
        <v>231754</v>
      </c>
      <c r="D6" s="209">
        <f>C33</f>
        <v>250915</v>
      </c>
      <c r="E6" s="209">
        <f>D33</f>
        <v>195831</v>
      </c>
    </row>
    <row r="7" spans="2:5" s="30" customFormat="1" x14ac:dyDescent="0.25">
      <c r="B7" s="236" t="s">
        <v>167</v>
      </c>
      <c r="C7" s="70"/>
      <c r="D7" s="70"/>
      <c r="E7" s="70"/>
    </row>
    <row r="8" spans="2:5" x14ac:dyDescent="0.35">
      <c r="B8" s="583" t="s">
        <v>496</v>
      </c>
      <c r="C8" s="50"/>
      <c r="D8" s="50"/>
      <c r="E8" s="50"/>
    </row>
    <row r="9" spans="2:5" x14ac:dyDescent="0.35">
      <c r="B9" s="583" t="s">
        <v>497</v>
      </c>
      <c r="C9" s="50">
        <v>925021</v>
      </c>
      <c r="D9" s="50">
        <v>818206</v>
      </c>
      <c r="E9" s="50">
        <v>820000</v>
      </c>
    </row>
    <row r="10" spans="2:5" x14ac:dyDescent="0.35">
      <c r="B10" s="583" t="s">
        <v>498</v>
      </c>
      <c r="C10" s="50">
        <v>8205</v>
      </c>
      <c r="D10" s="50">
        <v>8974</v>
      </c>
      <c r="E10" s="50">
        <v>8974</v>
      </c>
    </row>
    <row r="11" spans="2:5" x14ac:dyDescent="0.35">
      <c r="B11" s="583" t="s">
        <v>499</v>
      </c>
      <c r="C11" s="50">
        <v>9430</v>
      </c>
      <c r="D11" s="50">
        <v>8736</v>
      </c>
      <c r="E11" s="50">
        <v>8736</v>
      </c>
    </row>
    <row r="12" spans="2:5" x14ac:dyDescent="0.35">
      <c r="B12" s="583" t="s">
        <v>500</v>
      </c>
      <c r="C12" s="50"/>
      <c r="D12" s="50"/>
      <c r="E12" s="50"/>
    </row>
    <row r="13" spans="2:5" x14ac:dyDescent="0.35">
      <c r="B13" s="583" t="s">
        <v>501</v>
      </c>
      <c r="C13" s="50">
        <v>1340</v>
      </c>
      <c r="D13" s="50">
        <v>1990</v>
      </c>
      <c r="E13" s="50">
        <v>0</v>
      </c>
    </row>
    <row r="14" spans="2:5" x14ac:dyDescent="0.25">
      <c r="B14" s="241" t="s">
        <v>56</v>
      </c>
      <c r="C14" s="50">
        <v>150</v>
      </c>
      <c r="D14" s="50">
        <v>76</v>
      </c>
      <c r="E14" s="50">
        <v>76</v>
      </c>
    </row>
    <row r="15" spans="2:5" x14ac:dyDescent="0.25">
      <c r="B15" s="142" t="s">
        <v>9</v>
      </c>
      <c r="C15" s="50">
        <v>2417</v>
      </c>
      <c r="D15" s="238">
        <v>500</v>
      </c>
      <c r="E15" s="238">
        <v>500</v>
      </c>
    </row>
    <row r="16" spans="2:5" x14ac:dyDescent="0.25">
      <c r="B16" s="233" t="s">
        <v>281</v>
      </c>
      <c r="C16" s="270" t="str">
        <f>IF(C17*0.1&lt;C15,"Exceed 10% Rule","")</f>
        <v/>
      </c>
      <c r="D16" s="243" t="str">
        <f>IF(D17*0.1&lt;D15,"Exceed 10% Rule","")</f>
        <v/>
      </c>
      <c r="E16" s="243" t="str">
        <f>IF(E17*0.1&lt;E15,"Exceed 10% Rule","")</f>
        <v/>
      </c>
    </row>
    <row r="17" spans="2:5" x14ac:dyDescent="0.25">
      <c r="B17" s="244" t="s">
        <v>57</v>
      </c>
      <c r="C17" s="247">
        <f>SUM(C8:C15)</f>
        <v>946563</v>
      </c>
      <c r="D17" s="247">
        <f>SUM(D8:D15)</f>
        <v>838482</v>
      </c>
      <c r="E17" s="247">
        <f>SUM(E8:E15)</f>
        <v>838286</v>
      </c>
    </row>
    <row r="18" spans="2:5" x14ac:dyDescent="0.25">
      <c r="B18" s="244" t="s">
        <v>58</v>
      </c>
      <c r="C18" s="247">
        <f>C6+C17</f>
        <v>1178317</v>
      </c>
      <c r="D18" s="247">
        <f>D6+D17</f>
        <v>1089397</v>
      </c>
      <c r="E18" s="247">
        <f>E6+E17</f>
        <v>1034117</v>
      </c>
    </row>
    <row r="19" spans="2:5" x14ac:dyDescent="0.25">
      <c r="B19" s="133" t="s">
        <v>60</v>
      </c>
      <c r="C19" s="209"/>
      <c r="D19" s="209"/>
      <c r="E19" s="209"/>
    </row>
    <row r="20" spans="2:5" x14ac:dyDescent="0.35">
      <c r="B20" s="583" t="s">
        <v>502</v>
      </c>
      <c r="C20" s="50"/>
      <c r="D20" s="50"/>
      <c r="E20" s="50"/>
    </row>
    <row r="21" spans="2:5" x14ac:dyDescent="0.35">
      <c r="B21" s="583" t="s">
        <v>450</v>
      </c>
      <c r="C21" s="50">
        <f>233063-13477-32129-6102-1723-12581</f>
        <v>167051</v>
      </c>
      <c r="D21" s="50">
        <v>158017</v>
      </c>
      <c r="E21" s="50">
        <v>165918</v>
      </c>
    </row>
    <row r="22" spans="2:5" x14ac:dyDescent="0.35">
      <c r="B22" s="583" t="s">
        <v>451</v>
      </c>
      <c r="C22" s="50">
        <f>13477+32129+6102+1723+12581</f>
        <v>66012</v>
      </c>
      <c r="D22" s="50">
        <v>74953</v>
      </c>
      <c r="E22" s="50">
        <v>86196</v>
      </c>
    </row>
    <row r="23" spans="2:5" x14ac:dyDescent="0.35">
      <c r="B23" s="583" t="s">
        <v>452</v>
      </c>
      <c r="C23" s="50">
        <v>57804</v>
      </c>
      <c r="D23" s="50">
        <v>56208</v>
      </c>
      <c r="E23" s="50">
        <v>62500</v>
      </c>
    </row>
    <row r="24" spans="2:5" x14ac:dyDescent="0.35">
      <c r="B24" s="583" t="s">
        <v>61</v>
      </c>
      <c r="C24" s="50">
        <v>116288</v>
      </c>
      <c r="D24" s="50">
        <v>126023</v>
      </c>
      <c r="E24" s="50">
        <v>136000</v>
      </c>
    </row>
    <row r="25" spans="2:5" x14ac:dyDescent="0.35">
      <c r="B25" s="583" t="s">
        <v>62</v>
      </c>
      <c r="C25" s="50">
        <v>106887</v>
      </c>
      <c r="D25" s="50">
        <v>65001</v>
      </c>
      <c r="E25" s="50">
        <v>170139</v>
      </c>
    </row>
    <row r="26" spans="2:5" x14ac:dyDescent="0.35">
      <c r="B26" s="583" t="s">
        <v>492</v>
      </c>
      <c r="C26" s="50"/>
      <c r="D26" s="50"/>
      <c r="E26" s="50"/>
    </row>
    <row r="27" spans="2:5" x14ac:dyDescent="0.35">
      <c r="B27" s="583" t="s">
        <v>503</v>
      </c>
      <c r="C27" s="50">
        <v>33360</v>
      </c>
      <c r="D27" s="50">
        <v>33364</v>
      </c>
      <c r="E27" s="50">
        <v>33364</v>
      </c>
    </row>
    <row r="28" spans="2:5" x14ac:dyDescent="0.35">
      <c r="B28" s="583" t="s">
        <v>504</v>
      </c>
      <c r="C28" s="50">
        <v>360000</v>
      </c>
      <c r="D28" s="50">
        <v>360000</v>
      </c>
      <c r="E28" s="50">
        <v>360000</v>
      </c>
    </row>
    <row r="29" spans="2:5" x14ac:dyDescent="0.35">
      <c r="B29" s="583" t="s">
        <v>505</v>
      </c>
      <c r="C29" s="50">
        <v>20000</v>
      </c>
      <c r="D29" s="50">
        <v>20000</v>
      </c>
      <c r="E29" s="50">
        <v>20000</v>
      </c>
    </row>
    <row r="30" spans="2:5" x14ac:dyDescent="0.25">
      <c r="B30" s="254" t="s">
        <v>9</v>
      </c>
      <c r="C30" s="50">
        <v>0</v>
      </c>
      <c r="D30" s="238">
        <v>0</v>
      </c>
      <c r="E30" s="238">
        <v>0</v>
      </c>
    </row>
    <row r="31" spans="2:5" x14ac:dyDescent="0.25">
      <c r="B31" s="254" t="s">
        <v>282</v>
      </c>
      <c r="C31" s="270" t="str">
        <f>IF(C32*0.1&lt;C30,"Exceed 10% Rule","")</f>
        <v/>
      </c>
      <c r="D31" s="243" t="str">
        <f>IF(D32*0.1&lt;D30,"Exceed 10% Rule","")</f>
        <v/>
      </c>
      <c r="E31" s="243" t="str">
        <f>IF(E32*0.1&lt;E30,"Exceed 10% Rule","")</f>
        <v/>
      </c>
    </row>
    <row r="32" spans="2:5" x14ac:dyDescent="0.25">
      <c r="B32" s="244" t="s">
        <v>63</v>
      </c>
      <c r="C32" s="247">
        <f>SUM(C20:C30)</f>
        <v>927402</v>
      </c>
      <c r="D32" s="247">
        <f>SUM(D20:D30)</f>
        <v>893566</v>
      </c>
      <c r="E32" s="247">
        <f>SUM(E20:E30)</f>
        <v>1034117</v>
      </c>
    </row>
    <row r="33" spans="2:5" x14ac:dyDescent="0.25">
      <c r="B33" s="133" t="s">
        <v>166</v>
      </c>
      <c r="C33" s="65">
        <f>C18-C32</f>
        <v>250915</v>
      </c>
      <c r="D33" s="65">
        <f>D18-D32</f>
        <v>195831</v>
      </c>
      <c r="E33" s="65">
        <f>E18-E32</f>
        <v>0</v>
      </c>
    </row>
    <row r="34" spans="2:5" x14ac:dyDescent="0.25">
      <c r="B34" s="119" t="str">
        <f>CONCATENATE("",E1-2,"/",E1-1," Budget Authority Amount:")</f>
        <v>2012/2013 Budget Authority Amount:</v>
      </c>
      <c r="C34" s="222">
        <f>inputOth!B83</f>
        <v>1013477</v>
      </c>
      <c r="D34" s="222">
        <f>inputPrYr!D44</f>
        <v>1075221</v>
      </c>
      <c r="E34" s="331" t="str">
        <f>IF(E33&lt;0,"See Tab E","")</f>
        <v/>
      </c>
    </row>
    <row r="35" spans="2:5" x14ac:dyDescent="0.25">
      <c r="B35" s="119"/>
      <c r="C35" s="257" t="str">
        <f>IF(C32&gt;C34,"See Tab A","")</f>
        <v/>
      </c>
      <c r="D35" s="257" t="str">
        <f>IF(D32&gt;D34,"See Tab C","")</f>
        <v/>
      </c>
      <c r="E35" s="80"/>
    </row>
    <row r="36" spans="2:5" x14ac:dyDescent="0.25">
      <c r="B36" s="119"/>
      <c r="C36" s="257" t="str">
        <f>IF(C33&lt;0,"See Tab B","")</f>
        <v/>
      </c>
      <c r="D36" s="257" t="str">
        <f>IF(D33&lt;0,"See Tab D","")</f>
        <v/>
      </c>
      <c r="E36" s="80"/>
    </row>
    <row r="37" spans="2:5" x14ac:dyDescent="0.25">
      <c r="B37" s="32"/>
      <c r="C37" s="80"/>
      <c r="D37" s="80"/>
      <c r="E37" s="80"/>
    </row>
    <row r="38" spans="2:5" x14ac:dyDescent="0.25">
      <c r="B38" s="35" t="s">
        <v>50</v>
      </c>
      <c r="C38" s="268"/>
      <c r="D38" s="268"/>
      <c r="E38" s="268"/>
    </row>
    <row r="39" spans="2:5" x14ac:dyDescent="0.25">
      <c r="B39" s="32"/>
      <c r="C39" s="544" t="s">
        <v>367</v>
      </c>
      <c r="D39" s="545" t="s">
        <v>368</v>
      </c>
      <c r="E39" s="127" t="s">
        <v>369</v>
      </c>
    </row>
    <row r="40" spans="2:5" x14ac:dyDescent="0.25">
      <c r="B40" s="407">
        <f>inputPrYr!B45</f>
        <v>0</v>
      </c>
      <c r="C40" s="206" t="str">
        <f>CONCATENATE("Actual for ",$E$1-2,"")</f>
        <v>Actual for 2012</v>
      </c>
      <c r="D40" s="206" t="str">
        <f>CONCATENATE("Estimate for ",$E$1-1,"")</f>
        <v>Estimate for 2013</v>
      </c>
      <c r="E40" s="191" t="str">
        <f>CONCATENATE("Year for ",$E$1,"")</f>
        <v>Year for 2014</v>
      </c>
    </row>
    <row r="41" spans="2:5" x14ac:dyDescent="0.25">
      <c r="B41" s="233" t="s">
        <v>165</v>
      </c>
      <c r="C41" s="50"/>
      <c r="D41" s="209">
        <f>C64</f>
        <v>0</v>
      </c>
      <c r="E41" s="209">
        <f>D64</f>
        <v>0</v>
      </c>
    </row>
    <row r="42" spans="2:5" s="30" customFormat="1" x14ac:dyDescent="0.25">
      <c r="B42" s="236" t="s">
        <v>167</v>
      </c>
      <c r="C42" s="70"/>
      <c r="D42" s="70"/>
      <c r="E42" s="70"/>
    </row>
    <row r="43" spans="2:5" x14ac:dyDescent="0.25">
      <c r="B43" s="253"/>
      <c r="C43" s="50"/>
      <c r="D43" s="50"/>
      <c r="E43" s="50"/>
    </row>
    <row r="44" spans="2:5" x14ac:dyDescent="0.25">
      <c r="B44" s="253"/>
      <c r="C44" s="50"/>
      <c r="D44" s="50"/>
      <c r="E44" s="50"/>
    </row>
    <row r="45" spans="2:5" x14ac:dyDescent="0.25">
      <c r="B45" s="253"/>
      <c r="C45" s="50"/>
      <c r="D45" s="50"/>
      <c r="E45" s="50"/>
    </row>
    <row r="46" spans="2:5" x14ac:dyDescent="0.25">
      <c r="B46" s="253"/>
      <c r="C46" s="50"/>
      <c r="D46" s="50"/>
      <c r="E46" s="50"/>
    </row>
    <row r="47" spans="2:5" x14ac:dyDescent="0.25">
      <c r="B47" s="241" t="s">
        <v>56</v>
      </c>
      <c r="C47" s="50"/>
      <c r="D47" s="50"/>
      <c r="E47" s="50"/>
    </row>
    <row r="48" spans="2:5" x14ac:dyDescent="0.25">
      <c r="B48" s="142" t="s">
        <v>9</v>
      </c>
      <c r="C48" s="50"/>
      <c r="D48" s="238"/>
      <c r="E48" s="238"/>
    </row>
    <row r="49" spans="2:5" x14ac:dyDescent="0.25">
      <c r="B49" s="233" t="s">
        <v>281</v>
      </c>
      <c r="C49" s="270" t="str">
        <f>IF(C50*0.1&lt;C48,"Exceed 10% Rule","")</f>
        <v/>
      </c>
      <c r="D49" s="243" t="str">
        <f>IF(D50*0.1&lt;D48,"Exceed 10% Rule","")</f>
        <v/>
      </c>
      <c r="E49" s="243" t="str">
        <f>IF(E50*0.1&lt;E48,"Exceed 10% Rule","")</f>
        <v/>
      </c>
    </row>
    <row r="50" spans="2:5" x14ac:dyDescent="0.25">
      <c r="B50" s="244" t="s">
        <v>57</v>
      </c>
      <c r="C50" s="247">
        <f>SUM(C43:C48)</f>
        <v>0</v>
      </c>
      <c r="D50" s="247">
        <f>SUM(D43:D48)</f>
        <v>0</v>
      </c>
      <c r="E50" s="247">
        <f>SUM(E43:E48)</f>
        <v>0</v>
      </c>
    </row>
    <row r="51" spans="2:5" x14ac:dyDescent="0.25">
      <c r="B51" s="244" t="s">
        <v>58</v>
      </c>
      <c r="C51" s="247">
        <f>C41+C50</f>
        <v>0</v>
      </c>
      <c r="D51" s="247">
        <f>D41+D50</f>
        <v>0</v>
      </c>
      <c r="E51" s="247">
        <f>E41+E50</f>
        <v>0</v>
      </c>
    </row>
    <row r="52" spans="2:5" x14ac:dyDescent="0.25">
      <c r="B52" s="133" t="s">
        <v>60</v>
      </c>
      <c r="C52" s="209"/>
      <c r="D52" s="209"/>
      <c r="E52" s="209"/>
    </row>
    <row r="53" spans="2:5" x14ac:dyDescent="0.25">
      <c r="B53" s="253"/>
      <c r="C53" s="50"/>
      <c r="D53" s="50"/>
      <c r="E53" s="50"/>
    </row>
    <row r="54" spans="2:5" x14ac:dyDescent="0.25">
      <c r="B54" s="253"/>
      <c r="C54" s="50"/>
      <c r="D54" s="50"/>
      <c r="E54" s="50"/>
    </row>
    <row r="55" spans="2:5" x14ac:dyDescent="0.25">
      <c r="B55" s="253"/>
      <c r="C55" s="50"/>
      <c r="D55" s="50"/>
      <c r="E55" s="50"/>
    </row>
    <row r="56" spans="2:5" x14ac:dyDescent="0.25">
      <c r="B56" s="253"/>
      <c r="C56" s="50"/>
      <c r="D56" s="50"/>
      <c r="E56" s="50"/>
    </row>
    <row r="57" spans="2:5" x14ac:dyDescent="0.25">
      <c r="B57" s="253"/>
      <c r="C57" s="50"/>
      <c r="D57" s="50"/>
      <c r="E57" s="50"/>
    </row>
    <row r="58" spans="2:5" x14ac:dyDescent="0.25">
      <c r="B58" s="253"/>
      <c r="C58" s="50"/>
      <c r="D58" s="50"/>
      <c r="E58" s="50"/>
    </row>
    <row r="59" spans="2:5" x14ac:dyDescent="0.25">
      <c r="B59" s="253"/>
      <c r="C59" s="50"/>
      <c r="D59" s="50"/>
      <c r="E59" s="50"/>
    </row>
    <row r="60" spans="2:5" x14ac:dyDescent="0.25">
      <c r="B60" s="253"/>
      <c r="C60" s="50"/>
      <c r="D60" s="50"/>
      <c r="E60" s="50"/>
    </row>
    <row r="61" spans="2:5" x14ac:dyDescent="0.25">
      <c r="B61" s="254" t="s">
        <v>9</v>
      </c>
      <c r="C61" s="50"/>
      <c r="D61" s="238"/>
      <c r="E61" s="238"/>
    </row>
    <row r="62" spans="2:5" x14ac:dyDescent="0.25">
      <c r="B62" s="254" t="s">
        <v>282</v>
      </c>
      <c r="C62" s="270" t="str">
        <f>IF(C63*0.1&lt;C61,"Exceed 10% Rule","")</f>
        <v/>
      </c>
      <c r="D62" s="243" t="str">
        <f>IF(D63*0.1&lt;D61,"Exceed 10% Rule","")</f>
        <v/>
      </c>
      <c r="E62" s="243" t="str">
        <f>IF(E63*0.1&lt;E61,"Exceed 10% Rule","")</f>
        <v/>
      </c>
    </row>
    <row r="63" spans="2:5" x14ac:dyDescent="0.25">
      <c r="B63" s="244" t="s">
        <v>63</v>
      </c>
      <c r="C63" s="247">
        <f>SUM(C53:C61)</f>
        <v>0</v>
      </c>
      <c r="D63" s="247">
        <f>SUM(D53:D61)</f>
        <v>0</v>
      </c>
      <c r="E63" s="247">
        <f>SUM(E53:E61)</f>
        <v>0</v>
      </c>
    </row>
    <row r="64" spans="2:5" x14ac:dyDescent="0.25">
      <c r="B64" s="133" t="s">
        <v>166</v>
      </c>
      <c r="C64" s="65">
        <f>C51-C63</f>
        <v>0</v>
      </c>
      <c r="D64" s="65">
        <f>D51-D63</f>
        <v>0</v>
      </c>
      <c r="E64" s="65">
        <f>E51-E63</f>
        <v>0</v>
      </c>
    </row>
    <row r="65" spans="2:5" x14ac:dyDescent="0.25">
      <c r="B65" s="119" t="str">
        <f>CONCATENATE("",E1-2,"/",E1-1," Budget Authority Amount:")</f>
        <v>2012/2013 Budget Authority Amount:</v>
      </c>
      <c r="C65" s="222">
        <f>inputOth!B84</f>
        <v>0</v>
      </c>
      <c r="D65" s="222">
        <f>inputPrYr!D45</f>
        <v>0</v>
      </c>
      <c r="E65" s="331" t="str">
        <f>IF(E64&lt;0,"See Tab E","")</f>
        <v/>
      </c>
    </row>
    <row r="66" spans="2:5" x14ac:dyDescent="0.25">
      <c r="B66" s="119"/>
      <c r="C66" s="257" t="str">
        <f>IF(C63&gt;C65,"See Tab A","")</f>
        <v/>
      </c>
      <c r="D66" s="257" t="str">
        <f>IF(D63&gt;D65,"See Tab C","")</f>
        <v/>
      </c>
      <c r="E66" s="32"/>
    </row>
    <row r="67" spans="2:5" x14ac:dyDescent="0.25">
      <c r="B67" s="119"/>
      <c r="C67" s="257" t="str">
        <f>IF(C64&lt;0,"See Tab B","")</f>
        <v/>
      </c>
      <c r="D67" s="257" t="str">
        <f>IF(D64&lt;0,"See Tab D","")</f>
        <v/>
      </c>
      <c r="E67" s="32"/>
    </row>
    <row r="68" spans="2:5" x14ac:dyDescent="0.25">
      <c r="B68" s="612" t="s">
        <v>375</v>
      </c>
      <c r="C68" s="594"/>
      <c r="D68" s="594"/>
      <c r="E68" s="594"/>
    </row>
    <row r="69" spans="2:5" x14ac:dyDescent="0.25">
      <c r="B69" s="352" t="s">
        <v>66</v>
      </c>
      <c r="C69" s="585">
        <v>15</v>
      </c>
      <c r="D69" s="32"/>
      <c r="E69" s="32"/>
    </row>
  </sheetData>
  <mergeCells count="1">
    <mergeCell ref="B68:E68"/>
  </mergeCells>
  <phoneticPr fontId="0" type="noConversion"/>
  <conditionalFormatting sqref="C15">
    <cfRule type="cellIs" dxfId="17" priority="3" stopIfTrue="1" operator="greaterThan">
      <formula>$C$17*0.1</formula>
    </cfRule>
  </conditionalFormatting>
  <conditionalFormatting sqref="D15">
    <cfRule type="cellIs" dxfId="16" priority="4" stopIfTrue="1" operator="greaterThan">
      <formula>$D$17*0.1</formula>
    </cfRule>
  </conditionalFormatting>
  <conditionalFormatting sqref="E15">
    <cfRule type="cellIs" dxfId="15" priority="5" stopIfTrue="1" operator="greaterThan">
      <formula>$E$17*0.1</formula>
    </cfRule>
  </conditionalFormatting>
  <conditionalFormatting sqref="C30">
    <cfRule type="cellIs" dxfId="14" priority="6" stopIfTrue="1" operator="greaterThan">
      <formula>$C$32*0.1</formula>
    </cfRule>
  </conditionalFormatting>
  <conditionalFormatting sqref="D30">
    <cfRule type="cellIs" dxfId="13" priority="7" stopIfTrue="1" operator="greaterThan">
      <formula>$D$32*0.1</formula>
    </cfRule>
  </conditionalFormatting>
  <conditionalFormatting sqref="E30">
    <cfRule type="cellIs" dxfId="12" priority="8" stopIfTrue="1" operator="greaterThan">
      <formula>$E$32*0.1</formula>
    </cfRule>
  </conditionalFormatting>
  <conditionalFormatting sqref="C48">
    <cfRule type="cellIs" dxfId="11" priority="9" stopIfTrue="1" operator="greaterThan">
      <formula>$C$50*0.1</formula>
    </cfRule>
  </conditionalFormatting>
  <conditionalFormatting sqref="D48">
    <cfRule type="cellIs" dxfId="10" priority="10" stopIfTrue="1" operator="greaterThan">
      <formula>$D$50*0.1</formula>
    </cfRule>
  </conditionalFormatting>
  <conditionalFormatting sqref="E48">
    <cfRule type="cellIs" dxfId="9" priority="11" stopIfTrue="1" operator="greaterThan">
      <formula>$E$50*0.1</formula>
    </cfRule>
  </conditionalFormatting>
  <conditionalFormatting sqref="C61">
    <cfRule type="cellIs" dxfId="8" priority="12" stopIfTrue="1" operator="greaterThan">
      <formula>$C$63*0.1</formula>
    </cfRule>
  </conditionalFormatting>
  <conditionalFormatting sqref="D61">
    <cfRule type="cellIs" dxfId="7" priority="13" stopIfTrue="1" operator="greaterThan">
      <formula>$D$63*0.1</formula>
    </cfRule>
  </conditionalFormatting>
  <conditionalFormatting sqref="E61">
    <cfRule type="cellIs" dxfId="6" priority="14" stopIfTrue="1" operator="greaterThan">
      <formula>$E$63*0.1</formula>
    </cfRule>
  </conditionalFormatting>
  <conditionalFormatting sqref="C63:D63">
    <cfRule type="cellIs" dxfId="5" priority="15" stopIfTrue="1" operator="greaterThan">
      <formula>$D$65</formula>
    </cfRule>
  </conditionalFormatting>
  <conditionalFormatting sqref="C64 E64 C33 E33">
    <cfRule type="cellIs" dxfId="4" priority="16" stopIfTrue="1" operator="lessThan">
      <formula>0</formula>
    </cfRule>
  </conditionalFormatting>
  <conditionalFormatting sqref="D32">
    <cfRule type="cellIs" dxfId="3" priority="17" stopIfTrue="1" operator="greaterThan">
      <formula>$D$34</formula>
    </cfRule>
  </conditionalFormatting>
  <conditionalFormatting sqref="C32">
    <cfRule type="cellIs" dxfId="2" priority="18" stopIfTrue="1" operator="greaterThan">
      <formula>$C$34</formula>
    </cfRule>
  </conditionalFormatting>
  <conditionalFormatting sqref="D64">
    <cfRule type="cellIs" dxfId="1" priority="2" stopIfTrue="1" operator="lessThan">
      <formula>0</formula>
    </cfRule>
  </conditionalFormatting>
  <conditionalFormatting sqref="D33">
    <cfRule type="cellIs" dxfId="0" priority="1" stopIfTrue="1" operator="lessThan">
      <formula>0</formula>
    </cfRule>
  </conditionalFormatting>
  <pageMargins left="0.5" right="0.5" top="1" bottom="0.5" header="0.5" footer="0.5"/>
  <pageSetup scale="68" orientation="portrait" blackAndWhite="1"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5"/>
  <sheetViews>
    <sheetView workbookViewId="0">
      <selection activeCell="G19" sqref="G19"/>
    </sheetView>
  </sheetViews>
  <sheetFormatPr defaultColWidth="8.9140625" defaultRowHeight="15.5" x14ac:dyDescent="0.25"/>
  <cols>
    <col min="1" max="1" width="15.6640625" style="30" customWidth="1"/>
    <col min="2" max="2" width="20.6640625" style="30" customWidth="1"/>
    <col min="3" max="3" width="9.6640625" style="30" customWidth="1"/>
    <col min="4" max="4" width="15.08203125" style="30" customWidth="1"/>
    <col min="5" max="5" width="15.6640625" style="30" customWidth="1"/>
    <col min="6" max="6" width="1.9140625" style="30" customWidth="1"/>
    <col min="7" max="7" width="18.6640625" style="30" customWidth="1"/>
    <col min="8" max="16384" width="8.9140625" style="30"/>
  </cols>
  <sheetData>
    <row r="1" spans="1:8" x14ac:dyDescent="0.25">
      <c r="A1" s="601" t="s">
        <v>17</v>
      </c>
      <c r="B1" s="602"/>
      <c r="C1" s="602"/>
      <c r="D1" s="602"/>
      <c r="E1" s="602"/>
    </row>
    <row r="2" spans="1:8" x14ac:dyDescent="0.35">
      <c r="A2" s="31" t="s">
        <v>10</v>
      </c>
      <c r="B2" s="32"/>
      <c r="C2" s="32"/>
      <c r="D2" s="565" t="s">
        <v>376</v>
      </c>
      <c r="E2" s="33"/>
    </row>
    <row r="3" spans="1:8" x14ac:dyDescent="0.35">
      <c r="A3" s="31" t="s">
        <v>11</v>
      </c>
      <c r="B3" s="32"/>
      <c r="C3" s="32"/>
      <c r="D3" s="566" t="s">
        <v>377</v>
      </c>
      <c r="E3" s="34"/>
    </row>
    <row r="4" spans="1:8" x14ac:dyDescent="0.25">
      <c r="A4" s="35"/>
      <c r="B4" s="32"/>
      <c r="C4" s="32"/>
      <c r="D4" s="36"/>
      <c r="E4" s="32"/>
    </row>
    <row r="5" spans="1:8" x14ac:dyDescent="0.25">
      <c r="A5" s="31" t="s">
        <v>193</v>
      </c>
      <c r="B5" s="32"/>
      <c r="C5" s="37">
        <v>2014</v>
      </c>
      <c r="D5" s="36"/>
      <c r="E5" s="32"/>
    </row>
    <row r="6" spans="1:8" x14ac:dyDescent="0.25">
      <c r="A6" s="32"/>
      <c r="B6" s="32"/>
      <c r="C6" s="32"/>
      <c r="D6" s="32"/>
      <c r="E6" s="32"/>
    </row>
    <row r="7" spans="1:8" x14ac:dyDescent="0.25">
      <c r="A7" s="38" t="s">
        <v>240</v>
      </c>
      <c r="B7" s="39"/>
      <c r="C7" s="39"/>
      <c r="D7" s="39"/>
      <c r="E7" s="39"/>
    </row>
    <row r="8" spans="1:8" x14ac:dyDescent="0.25">
      <c r="A8" s="38" t="s">
        <v>239</v>
      </c>
      <c r="B8" s="39"/>
      <c r="C8" s="39"/>
      <c r="D8" s="39"/>
      <c r="E8" s="39"/>
      <c r="F8" s="32"/>
      <c r="G8" s="603" t="s">
        <v>288</v>
      </c>
      <c r="H8" s="604"/>
    </row>
    <row r="9" spans="1:8" x14ac:dyDescent="0.25">
      <c r="A9" s="38"/>
      <c r="B9" s="39"/>
      <c r="C9" s="39"/>
      <c r="D9" s="39"/>
      <c r="E9" s="39"/>
      <c r="F9" s="32"/>
      <c r="G9" s="605"/>
      <c r="H9" s="604"/>
    </row>
    <row r="10" spans="1:8" x14ac:dyDescent="0.25">
      <c r="A10" s="597" t="s">
        <v>230</v>
      </c>
      <c r="B10" s="598"/>
      <c r="C10" s="598"/>
      <c r="D10" s="598"/>
      <c r="E10" s="598"/>
      <c r="F10" s="32"/>
      <c r="G10" s="605"/>
      <c r="H10" s="604"/>
    </row>
    <row r="11" spans="1:8" x14ac:dyDescent="0.25">
      <c r="A11" s="32"/>
      <c r="B11" s="32"/>
      <c r="C11" s="32"/>
      <c r="D11" s="32"/>
      <c r="E11" s="32"/>
      <c r="F11" s="32"/>
      <c r="G11" s="605"/>
      <c r="H11" s="604"/>
    </row>
    <row r="12" spans="1:8" x14ac:dyDescent="0.25">
      <c r="A12" s="40" t="s">
        <v>231</v>
      </c>
      <c r="B12" s="41"/>
      <c r="C12" s="32"/>
      <c r="D12" s="32"/>
      <c r="E12" s="32"/>
      <c r="F12" s="32"/>
      <c r="G12" s="605"/>
      <c r="H12" s="604"/>
    </row>
    <row r="13" spans="1:8" x14ac:dyDescent="0.25">
      <c r="A13" s="42" t="str">
        <f>CONCATENATE("the ",C5-1," Budget, Certificate Page:")</f>
        <v>the 2013 Budget, Certificate Page:</v>
      </c>
      <c r="B13" s="43"/>
      <c r="C13" s="32"/>
      <c r="D13" s="32"/>
      <c r="E13" s="32"/>
      <c r="F13" s="32"/>
      <c r="G13" s="605"/>
      <c r="H13" s="604"/>
    </row>
    <row r="14" spans="1:8" x14ac:dyDescent="0.25">
      <c r="A14" s="42" t="s">
        <v>242</v>
      </c>
      <c r="B14" s="43"/>
      <c r="C14" s="32"/>
      <c r="D14" s="32"/>
      <c r="E14" s="32"/>
      <c r="F14" s="32"/>
      <c r="G14" s="59"/>
      <c r="H14" s="445"/>
    </row>
    <row r="15" spans="1:8" x14ac:dyDescent="0.25">
      <c r="A15" s="32"/>
      <c r="B15" s="32"/>
      <c r="C15" s="32"/>
      <c r="D15" s="44">
        <f>C5-1</f>
        <v>2013</v>
      </c>
      <c r="E15" s="44">
        <f>C5-2</f>
        <v>2012</v>
      </c>
      <c r="G15" s="182" t="s">
        <v>289</v>
      </c>
      <c r="H15" s="139" t="s">
        <v>65</v>
      </c>
    </row>
    <row r="16" spans="1:8" x14ac:dyDescent="0.25">
      <c r="A16" s="35" t="s">
        <v>18</v>
      </c>
      <c r="B16" s="32"/>
      <c r="C16" s="45" t="s">
        <v>19</v>
      </c>
      <c r="D16" s="46" t="s">
        <v>241</v>
      </c>
      <c r="E16" s="46" t="s">
        <v>16</v>
      </c>
      <c r="G16" s="183" t="str">
        <f>CONCATENATE("",E15," Ad Valorem Tax")</f>
        <v>2012 Ad Valorem Tax</v>
      </c>
      <c r="H16" s="446">
        <v>0.05</v>
      </c>
    </row>
    <row r="17" spans="1:7" x14ac:dyDescent="0.25">
      <c r="A17" s="32"/>
      <c r="B17" s="47" t="s">
        <v>20</v>
      </c>
      <c r="C17" s="139" t="s">
        <v>168</v>
      </c>
      <c r="D17" s="49">
        <v>1767063</v>
      </c>
      <c r="E17" s="49">
        <v>430891</v>
      </c>
      <c r="G17" s="209">
        <f>IF(H16&gt;0,ROUND(E17-(E17*H16),0),0)</f>
        <v>409346</v>
      </c>
    </row>
    <row r="18" spans="1:7" x14ac:dyDescent="0.25">
      <c r="A18" s="32"/>
      <c r="B18" s="47" t="s">
        <v>378</v>
      </c>
      <c r="C18" s="139" t="s">
        <v>194</v>
      </c>
      <c r="D18" s="50">
        <v>125355</v>
      </c>
      <c r="E18" s="50">
        <v>65091</v>
      </c>
      <c r="G18" s="209">
        <f>IF(H16&gt;0,ROUND(E18-(E18*H16),0),0)</f>
        <v>61836</v>
      </c>
    </row>
    <row r="19" spans="1:7" x14ac:dyDescent="0.25">
      <c r="A19" s="32"/>
      <c r="B19" s="47" t="s">
        <v>290</v>
      </c>
      <c r="C19" s="139" t="s">
        <v>291</v>
      </c>
      <c r="D19" s="50">
        <v>84058</v>
      </c>
      <c r="E19" s="50">
        <v>60668</v>
      </c>
      <c r="G19" s="209">
        <f>IF(H16&gt;0,ROUND(E19-(E19*H16),0),0)</f>
        <v>57635</v>
      </c>
    </row>
    <row r="20" spans="1:7" x14ac:dyDescent="0.25">
      <c r="A20" s="35" t="s">
        <v>21</v>
      </c>
      <c r="B20" s="32"/>
      <c r="C20" s="32"/>
      <c r="D20" s="32"/>
      <c r="E20" s="51"/>
    </row>
    <row r="21" spans="1:7" x14ac:dyDescent="0.25">
      <c r="A21" s="32"/>
      <c r="B21" s="52"/>
      <c r="C21" s="333"/>
      <c r="D21" s="50"/>
      <c r="E21" s="50"/>
      <c r="G21" s="209">
        <f>IF(H16&gt;0,ROUND(E21-(E21*H16),0),0)</f>
        <v>0</v>
      </c>
    </row>
    <row r="22" spans="1:7" x14ac:dyDescent="0.25">
      <c r="A22" s="32"/>
      <c r="B22" s="52"/>
      <c r="C22" s="333"/>
      <c r="D22" s="50"/>
      <c r="E22" s="50"/>
      <c r="G22" s="209">
        <f>IF(H16&gt;0,ROUND(E22-(E22*H16),0),0)</f>
        <v>0</v>
      </c>
    </row>
    <row r="23" spans="1:7" x14ac:dyDescent="0.25">
      <c r="A23" s="32"/>
      <c r="B23" s="52"/>
      <c r="C23" s="333"/>
      <c r="D23" s="50"/>
      <c r="E23" s="50"/>
      <c r="G23" s="209">
        <f>IF(H16&gt;0,ROUND(E23-(E23*H16),0),0)</f>
        <v>0</v>
      </c>
    </row>
    <row r="24" spans="1:7" x14ac:dyDescent="0.25">
      <c r="A24" s="32"/>
      <c r="B24" s="52"/>
      <c r="C24" s="333"/>
      <c r="D24" s="50"/>
      <c r="E24" s="50"/>
      <c r="G24" s="209">
        <f>IF(H16&gt;0,ROUND(E24-(E24*H16),0),0)</f>
        <v>0</v>
      </c>
    </row>
    <row r="25" spans="1:7" x14ac:dyDescent="0.25">
      <c r="A25" s="32"/>
      <c r="B25" s="52"/>
      <c r="C25" s="333"/>
      <c r="D25" s="50"/>
      <c r="E25" s="50"/>
      <c r="G25" s="209">
        <f>IF(H16&gt;0,ROUND(E25-(E25*H16),0),0)</f>
        <v>0</v>
      </c>
    </row>
    <row r="26" spans="1:7" x14ac:dyDescent="0.25">
      <c r="A26" s="32"/>
      <c r="B26" s="52"/>
      <c r="C26" s="333"/>
      <c r="D26" s="50"/>
      <c r="E26" s="50"/>
      <c r="G26" s="209">
        <f>IF(H16&gt;0,ROUND(E26-(E26*H16),0),0)</f>
        <v>0</v>
      </c>
    </row>
    <row r="27" spans="1:7" x14ac:dyDescent="0.25">
      <c r="A27" s="32"/>
      <c r="B27" s="52"/>
      <c r="C27" s="333"/>
      <c r="D27" s="50"/>
      <c r="E27" s="50"/>
      <c r="G27" s="209">
        <f>IF(H16&gt;0,ROUND(E27-(E27*H16),0),0)</f>
        <v>0</v>
      </c>
    </row>
    <row r="28" spans="1:7" x14ac:dyDescent="0.25">
      <c r="A28" s="32"/>
      <c r="B28" s="52"/>
      <c r="C28" s="333"/>
      <c r="D28" s="50"/>
      <c r="E28" s="50"/>
      <c r="G28" s="209">
        <f>IF(H16&gt;0,ROUND(E28-(E28*H16),0),0)</f>
        <v>0</v>
      </c>
    </row>
    <row r="29" spans="1:7" x14ac:dyDescent="0.25">
      <c r="A29" s="32"/>
      <c r="B29" s="52"/>
      <c r="C29" s="333"/>
      <c r="D29" s="50"/>
      <c r="E29" s="50"/>
      <c r="G29" s="209">
        <f>IF(H16&gt;0,ROUND(E29-(E29*H16),0),0)</f>
        <v>0</v>
      </c>
    </row>
    <row r="30" spans="1:7" x14ac:dyDescent="0.25">
      <c r="A30" s="32"/>
      <c r="B30" s="52"/>
      <c r="C30" s="333"/>
      <c r="D30" s="50"/>
      <c r="E30" s="50"/>
      <c r="G30" s="209">
        <f>IF(H16&gt;0,ROUND(E30-(E30*H16),0),0)</f>
        <v>0</v>
      </c>
    </row>
    <row r="31" spans="1:7" x14ac:dyDescent="0.25">
      <c r="A31" s="53" t="str">
        <f>CONCATENATE("Total Tax Levy Funds for ",C5-1," Budgeted Year")</f>
        <v>Total Tax Levy Funds for 2013 Budgeted Year</v>
      </c>
      <c r="B31" s="54"/>
      <c r="C31" s="55"/>
      <c r="D31" s="56"/>
      <c r="E31" s="57">
        <f>SUM(E17:E30)</f>
        <v>556650</v>
      </c>
    </row>
    <row r="32" spans="1:7" x14ac:dyDescent="0.25">
      <c r="A32" s="58"/>
      <c r="B32" s="59"/>
      <c r="C32" s="59"/>
      <c r="D32" s="60"/>
      <c r="E32" s="51"/>
    </row>
    <row r="33" spans="1:5" x14ac:dyDescent="0.25">
      <c r="A33" s="35" t="s">
        <v>199</v>
      </c>
      <c r="B33" s="32"/>
      <c r="C33" s="32"/>
      <c r="D33" s="32"/>
      <c r="E33" s="32"/>
    </row>
    <row r="34" spans="1:5" x14ac:dyDescent="0.25">
      <c r="A34" s="32"/>
      <c r="B34" s="48" t="s">
        <v>144</v>
      </c>
      <c r="C34" s="32"/>
      <c r="D34" s="50">
        <v>79938</v>
      </c>
      <c r="E34" s="32"/>
    </row>
    <row r="35" spans="1:5" x14ac:dyDescent="0.35">
      <c r="A35" s="32"/>
      <c r="B35" s="3" t="s">
        <v>379</v>
      </c>
      <c r="C35" s="32"/>
      <c r="D35" s="50">
        <v>4104</v>
      </c>
      <c r="E35" s="32"/>
    </row>
    <row r="36" spans="1:5" x14ac:dyDescent="0.35">
      <c r="A36" s="32"/>
      <c r="B36" s="3" t="s">
        <v>380</v>
      </c>
      <c r="C36" s="32"/>
      <c r="D36" s="50">
        <v>11873</v>
      </c>
      <c r="E36" s="32"/>
    </row>
    <row r="37" spans="1:5" x14ac:dyDescent="0.35">
      <c r="A37" s="32"/>
      <c r="B37" s="3"/>
      <c r="C37" s="32"/>
      <c r="D37" s="50"/>
      <c r="E37" s="32"/>
    </row>
    <row r="38" spans="1:5" x14ac:dyDescent="0.35">
      <c r="A38" s="32"/>
      <c r="B38" s="3" t="s">
        <v>381</v>
      </c>
      <c r="C38" s="32"/>
      <c r="D38" s="50">
        <v>35713</v>
      </c>
      <c r="E38" s="32"/>
    </row>
    <row r="39" spans="1:5" x14ac:dyDescent="0.35">
      <c r="A39" s="32"/>
      <c r="B39" s="3" t="s">
        <v>382</v>
      </c>
      <c r="C39" s="32"/>
      <c r="D39" s="50">
        <v>240938</v>
      </c>
      <c r="E39" s="32"/>
    </row>
    <row r="40" spans="1:5" x14ac:dyDescent="0.35">
      <c r="A40" s="32"/>
      <c r="B40" s="3" t="s">
        <v>383</v>
      </c>
      <c r="C40" s="32"/>
      <c r="D40" s="50">
        <v>0</v>
      </c>
      <c r="E40" s="32"/>
    </row>
    <row r="41" spans="1:5" x14ac:dyDescent="0.35">
      <c r="A41" s="32"/>
      <c r="B41" s="3" t="s">
        <v>384</v>
      </c>
      <c r="C41" s="32"/>
      <c r="D41" s="50">
        <v>1069628</v>
      </c>
      <c r="E41" s="32"/>
    </row>
    <row r="42" spans="1:5" x14ac:dyDescent="0.35">
      <c r="A42" s="32"/>
      <c r="B42" s="3" t="s">
        <v>385</v>
      </c>
      <c r="C42" s="32"/>
      <c r="D42" s="50">
        <v>353166</v>
      </c>
      <c r="E42" s="32"/>
    </row>
    <row r="43" spans="1:5" x14ac:dyDescent="0.35">
      <c r="A43" s="32"/>
      <c r="B43" s="3"/>
      <c r="C43" s="32"/>
      <c r="D43" s="50"/>
      <c r="E43" s="32"/>
    </row>
    <row r="44" spans="1:5" x14ac:dyDescent="0.35">
      <c r="A44" s="32"/>
      <c r="B44" s="567" t="s">
        <v>386</v>
      </c>
      <c r="C44" s="32"/>
      <c r="D44" s="50">
        <v>1075221</v>
      </c>
      <c r="E44" s="32"/>
    </row>
    <row r="45" spans="1:5" x14ac:dyDescent="0.25">
      <c r="A45" s="32"/>
      <c r="B45" s="61"/>
      <c r="C45" s="32"/>
      <c r="D45" s="50"/>
      <c r="E45" s="32"/>
    </row>
    <row r="46" spans="1:5" x14ac:dyDescent="0.25">
      <c r="A46" s="32"/>
      <c r="B46" s="61"/>
      <c r="C46" s="32"/>
      <c r="D46" s="50"/>
      <c r="E46" s="32"/>
    </row>
    <row r="47" spans="1:5" x14ac:dyDescent="0.25">
      <c r="A47" s="32"/>
      <c r="B47" s="61"/>
      <c r="C47" s="32"/>
      <c r="D47" s="50"/>
      <c r="E47" s="32"/>
    </row>
    <row r="48" spans="1:5" x14ac:dyDescent="0.25">
      <c r="A48" s="32"/>
      <c r="B48" s="61"/>
      <c r="C48" s="32"/>
      <c r="D48" s="50"/>
      <c r="E48" s="32"/>
    </row>
    <row r="49" spans="1:5" x14ac:dyDescent="0.25">
      <c r="A49" s="32"/>
      <c r="B49" s="61"/>
      <c r="C49" s="32"/>
      <c r="D49" s="50"/>
      <c r="E49" s="32"/>
    </row>
    <row r="50" spans="1:5" x14ac:dyDescent="0.25">
      <c r="A50" s="32" t="s">
        <v>223</v>
      </c>
      <c r="B50" s="62"/>
      <c r="C50" s="32"/>
      <c r="D50" s="32"/>
      <c r="E50" s="32"/>
    </row>
    <row r="51" spans="1:5" x14ac:dyDescent="0.25">
      <c r="A51" s="32">
        <v>1</v>
      </c>
      <c r="B51" s="61"/>
      <c r="C51" s="32"/>
      <c r="D51" s="50"/>
      <c r="E51" s="32"/>
    </row>
    <row r="52" spans="1:5" x14ac:dyDescent="0.25">
      <c r="A52" s="32">
        <v>2</v>
      </c>
      <c r="B52" s="61"/>
      <c r="C52" s="32"/>
      <c r="D52" s="50"/>
      <c r="E52" s="32"/>
    </row>
    <row r="53" spans="1:5" x14ac:dyDescent="0.25">
      <c r="A53" s="32">
        <v>3</v>
      </c>
      <c r="B53" s="61"/>
      <c r="C53" s="32"/>
      <c r="D53" s="50"/>
      <c r="E53" s="32"/>
    </row>
    <row r="54" spans="1:5" x14ac:dyDescent="0.25">
      <c r="A54" s="32">
        <v>4</v>
      </c>
      <c r="B54" s="61"/>
      <c r="C54" s="32"/>
      <c r="D54" s="50"/>
      <c r="E54" s="32"/>
    </row>
    <row r="55" spans="1:5" x14ac:dyDescent="0.25">
      <c r="A55" s="53" t="str">
        <f>CONCATENATE("Total Expenditures for ",C5-1," Budgeted Year")</f>
        <v>Total Expenditures for 2013 Budgeted Year</v>
      </c>
      <c r="B55" s="63"/>
      <c r="C55" s="64"/>
      <c r="D55" s="65">
        <f>SUM(D17:D19,D21:D30,D34:D49,D51:D54)</f>
        <v>4847057</v>
      </c>
      <c r="E55" s="32"/>
    </row>
    <row r="56" spans="1:5" x14ac:dyDescent="0.25">
      <c r="A56" s="32" t="s">
        <v>224</v>
      </c>
      <c r="B56" s="66"/>
      <c r="C56" s="32"/>
      <c r="D56" s="32"/>
      <c r="E56" s="32"/>
    </row>
    <row r="57" spans="1:5" x14ac:dyDescent="0.35">
      <c r="A57" s="32">
        <v>1</v>
      </c>
      <c r="B57" s="567" t="s">
        <v>387</v>
      </c>
      <c r="C57" s="32"/>
      <c r="D57" s="32"/>
      <c r="E57" s="32"/>
    </row>
    <row r="58" spans="1:5" x14ac:dyDescent="0.35">
      <c r="A58" s="32">
        <v>2</v>
      </c>
      <c r="B58" s="567" t="s">
        <v>388</v>
      </c>
      <c r="C58" s="32"/>
      <c r="D58" s="32"/>
      <c r="E58" s="32"/>
    </row>
    <row r="59" spans="1:5" x14ac:dyDescent="0.35">
      <c r="A59" s="32">
        <v>3</v>
      </c>
      <c r="B59" s="567" t="s">
        <v>389</v>
      </c>
      <c r="C59" s="32"/>
      <c r="D59" s="32"/>
      <c r="E59" s="32"/>
    </row>
    <row r="60" spans="1:5" x14ac:dyDescent="0.35">
      <c r="A60" s="32">
        <v>4</v>
      </c>
      <c r="B60" s="567" t="s">
        <v>390</v>
      </c>
      <c r="C60" s="32"/>
      <c r="D60" s="32"/>
      <c r="E60" s="32"/>
    </row>
    <row r="61" spans="1:5" x14ac:dyDescent="0.35">
      <c r="A61" s="32">
        <v>5</v>
      </c>
      <c r="B61" s="567" t="s">
        <v>391</v>
      </c>
      <c r="C61" s="32"/>
      <c r="D61" s="32"/>
      <c r="E61" s="32"/>
    </row>
    <row r="62" spans="1:5" x14ac:dyDescent="0.25">
      <c r="A62" s="32" t="s">
        <v>225</v>
      </c>
      <c r="B62" s="62"/>
      <c r="C62" s="32"/>
      <c r="D62" s="32"/>
      <c r="E62" s="32"/>
    </row>
    <row r="63" spans="1:5" x14ac:dyDescent="0.35">
      <c r="A63" s="32">
        <v>1</v>
      </c>
      <c r="B63" s="567" t="s">
        <v>392</v>
      </c>
      <c r="C63" s="32"/>
      <c r="D63" s="32"/>
      <c r="E63" s="32"/>
    </row>
    <row r="64" spans="1:5" x14ac:dyDescent="0.25">
      <c r="A64" s="32">
        <v>2</v>
      </c>
      <c r="B64" s="61" t="s">
        <v>393</v>
      </c>
      <c r="C64" s="32"/>
      <c r="D64" s="32"/>
      <c r="E64" s="32"/>
    </row>
    <row r="65" spans="1:5" x14ac:dyDescent="0.25">
      <c r="A65" s="32">
        <v>3</v>
      </c>
      <c r="B65" s="61"/>
      <c r="C65" s="32"/>
      <c r="D65" s="32"/>
      <c r="E65" s="32"/>
    </row>
    <row r="66" spans="1:5" x14ac:dyDescent="0.25">
      <c r="A66" s="32">
        <v>4</v>
      </c>
      <c r="B66" s="61"/>
      <c r="C66" s="32"/>
      <c r="D66" s="32"/>
      <c r="E66" s="32"/>
    </row>
    <row r="67" spans="1:5" x14ac:dyDescent="0.25">
      <c r="A67" s="32">
        <v>5</v>
      </c>
      <c r="B67" s="61"/>
      <c r="C67" s="32"/>
      <c r="D67" s="32"/>
      <c r="E67" s="32"/>
    </row>
    <row r="68" spans="1:5" x14ac:dyDescent="0.25">
      <c r="A68" s="32" t="s">
        <v>226</v>
      </c>
      <c r="B68" s="62"/>
      <c r="C68" s="32"/>
      <c r="D68" s="32"/>
      <c r="E68" s="32"/>
    </row>
    <row r="69" spans="1:5" x14ac:dyDescent="0.25">
      <c r="A69" s="32">
        <v>1</v>
      </c>
      <c r="B69" s="61"/>
      <c r="C69" s="32"/>
      <c r="D69" s="32"/>
      <c r="E69" s="32"/>
    </row>
    <row r="70" spans="1:5" x14ac:dyDescent="0.25">
      <c r="A70" s="32">
        <v>2</v>
      </c>
      <c r="B70" s="61"/>
      <c r="C70" s="32"/>
      <c r="D70" s="32"/>
      <c r="E70" s="32"/>
    </row>
    <row r="71" spans="1:5" x14ac:dyDescent="0.25">
      <c r="A71" s="32">
        <v>3</v>
      </c>
      <c r="B71" s="61"/>
      <c r="C71" s="32"/>
      <c r="D71" s="32"/>
      <c r="E71" s="32"/>
    </row>
    <row r="72" spans="1:5" x14ac:dyDescent="0.25">
      <c r="A72" s="32">
        <v>4</v>
      </c>
      <c r="B72" s="61"/>
      <c r="C72" s="32"/>
      <c r="D72" s="32"/>
      <c r="E72" s="32"/>
    </row>
    <row r="73" spans="1:5" x14ac:dyDescent="0.25">
      <c r="A73" s="32">
        <v>5</v>
      </c>
      <c r="B73" s="61"/>
      <c r="C73" s="32"/>
      <c r="D73" s="32"/>
      <c r="E73" s="32"/>
    </row>
    <row r="74" spans="1:5" x14ac:dyDescent="0.25">
      <c r="A74" s="32" t="s">
        <v>227</v>
      </c>
      <c r="B74" s="62"/>
      <c r="C74" s="32"/>
      <c r="D74" s="32"/>
      <c r="E74" s="32"/>
    </row>
    <row r="75" spans="1:5" x14ac:dyDescent="0.25">
      <c r="A75" s="32">
        <v>1</v>
      </c>
      <c r="B75" s="61"/>
      <c r="C75" s="32"/>
      <c r="D75" s="32"/>
      <c r="E75" s="32"/>
    </row>
    <row r="76" spans="1:5" x14ac:dyDescent="0.25">
      <c r="A76" s="32">
        <v>2</v>
      </c>
      <c r="B76" s="61"/>
      <c r="C76" s="32"/>
      <c r="D76" s="32"/>
      <c r="E76" s="32"/>
    </row>
    <row r="77" spans="1:5" x14ac:dyDescent="0.25">
      <c r="A77" s="32">
        <v>3</v>
      </c>
      <c r="B77" s="61"/>
      <c r="C77" s="32"/>
      <c r="D77" s="32"/>
      <c r="E77" s="32"/>
    </row>
    <row r="78" spans="1:5" x14ac:dyDescent="0.25">
      <c r="A78" s="32">
        <v>4</v>
      </c>
      <c r="B78" s="61"/>
      <c r="C78" s="32"/>
      <c r="D78" s="32"/>
      <c r="E78" s="32"/>
    </row>
    <row r="79" spans="1:5" x14ac:dyDescent="0.25">
      <c r="A79" s="32">
        <v>5</v>
      </c>
      <c r="B79" s="61"/>
      <c r="C79" s="32"/>
      <c r="D79" s="32"/>
      <c r="E79" s="32"/>
    </row>
    <row r="80" spans="1:5" x14ac:dyDescent="0.25">
      <c r="A80" s="58"/>
      <c r="B80" s="59"/>
      <c r="C80" s="59"/>
      <c r="D80" s="59"/>
      <c r="E80" s="67"/>
    </row>
    <row r="81" spans="1:5" x14ac:dyDescent="0.25">
      <c r="A81" s="32"/>
      <c r="B81" s="32"/>
      <c r="C81" s="32"/>
      <c r="D81" s="32"/>
      <c r="E81" s="32"/>
    </row>
    <row r="82" spans="1:5" x14ac:dyDescent="0.25">
      <c r="A82" s="32"/>
      <c r="B82" s="32"/>
      <c r="C82" s="32"/>
      <c r="D82" s="68" t="str">
        <f>CONCATENATE("",C5-3," Tax Rate")</f>
        <v>2011 Tax Rate</v>
      </c>
      <c r="E82" s="32"/>
    </row>
    <row r="83" spans="1:5" x14ac:dyDescent="0.25">
      <c r="A83" s="42" t="str">
        <f>CONCATENATE("From the ",C5-1," Budget, Budget Summary Page")</f>
        <v>From the 2013 Budget, Budget Summary Page</v>
      </c>
      <c r="B83" s="43"/>
      <c r="C83" s="32"/>
      <c r="D83" s="69" t="str">
        <f>CONCATENATE("(",C5-2," Column)")</f>
        <v>(2012 Column)</v>
      </c>
      <c r="E83" s="32"/>
    </row>
    <row r="84" spans="1:5" x14ac:dyDescent="0.25">
      <c r="A84" s="32"/>
      <c r="B84" s="70" t="str">
        <f>B17</f>
        <v>General</v>
      </c>
      <c r="C84" s="32"/>
      <c r="D84" s="61">
        <v>41.085000000000001</v>
      </c>
      <c r="E84" s="32"/>
    </row>
    <row r="85" spans="1:5" x14ac:dyDescent="0.25">
      <c r="A85" s="32"/>
      <c r="B85" s="70" t="str">
        <f>B18</f>
        <v>Bond and Interest</v>
      </c>
      <c r="C85" s="32"/>
      <c r="D85" s="61">
        <v>6.4489999999999998</v>
      </c>
      <c r="E85" s="32"/>
    </row>
    <row r="86" spans="1:5" x14ac:dyDescent="0.25">
      <c r="A86" s="32"/>
      <c r="B86" s="70" t="str">
        <f>B19</f>
        <v>Library</v>
      </c>
      <c r="C86" s="32"/>
      <c r="D86" s="61">
        <v>5.9880000000000004</v>
      </c>
      <c r="E86" s="32"/>
    </row>
    <row r="87" spans="1:5" x14ac:dyDescent="0.25">
      <c r="A87" s="32"/>
      <c r="B87" s="70"/>
      <c r="C87" s="32"/>
      <c r="D87" s="61"/>
      <c r="E87" s="32"/>
    </row>
    <row r="88" spans="1:5" x14ac:dyDescent="0.25">
      <c r="A88" s="32"/>
      <c r="B88" s="70"/>
      <c r="C88" s="32"/>
      <c r="D88" s="61"/>
      <c r="E88" s="32"/>
    </row>
    <row r="89" spans="1:5" x14ac:dyDescent="0.25">
      <c r="A89" s="32"/>
      <c r="B89" s="70"/>
      <c r="C89" s="32"/>
      <c r="D89" s="61"/>
      <c r="E89" s="32"/>
    </row>
    <row r="90" spans="1:5" x14ac:dyDescent="0.25">
      <c r="A90" s="32"/>
      <c r="B90" s="70"/>
      <c r="C90" s="32"/>
      <c r="D90" s="61"/>
      <c r="E90" s="32"/>
    </row>
    <row r="91" spans="1:5" x14ac:dyDescent="0.25">
      <c r="A91" s="32"/>
      <c r="B91" s="70"/>
      <c r="C91" s="32"/>
      <c r="D91" s="61"/>
      <c r="E91" s="32"/>
    </row>
    <row r="92" spans="1:5" x14ac:dyDescent="0.25">
      <c r="A92" s="32"/>
      <c r="B92" s="70"/>
      <c r="C92" s="32"/>
      <c r="D92" s="61"/>
      <c r="E92" s="32"/>
    </row>
    <row r="93" spans="1:5" x14ac:dyDescent="0.25">
      <c r="A93" s="32"/>
      <c r="B93" s="70"/>
      <c r="C93" s="32"/>
      <c r="D93" s="61"/>
      <c r="E93" s="32"/>
    </row>
    <row r="94" spans="1:5" x14ac:dyDescent="0.25">
      <c r="A94" s="32"/>
      <c r="B94" s="70"/>
      <c r="C94" s="32"/>
      <c r="D94" s="61"/>
      <c r="E94" s="32"/>
    </row>
    <row r="95" spans="1:5" x14ac:dyDescent="0.25">
      <c r="A95" s="32"/>
      <c r="B95" s="70"/>
      <c r="C95" s="32"/>
      <c r="D95" s="61"/>
      <c r="E95" s="32"/>
    </row>
    <row r="96" spans="1:5" x14ac:dyDescent="0.25">
      <c r="A96" s="32"/>
      <c r="B96" s="70"/>
      <c r="C96" s="136"/>
      <c r="D96" s="61"/>
      <c r="E96" s="32"/>
    </row>
    <row r="97" spans="1:5" x14ac:dyDescent="0.25">
      <c r="A97" s="53" t="s">
        <v>22</v>
      </c>
      <c r="B97" s="54"/>
      <c r="C97" s="64"/>
      <c r="D97" s="71">
        <f>SUM(D84:D96)</f>
        <v>53.521999999999998</v>
      </c>
      <c r="E97" s="32"/>
    </row>
    <row r="98" spans="1:5" x14ac:dyDescent="0.25">
      <c r="A98" s="32"/>
      <c r="B98" s="32"/>
      <c r="C98" s="32"/>
      <c r="D98" s="32"/>
      <c r="E98" s="32"/>
    </row>
    <row r="99" spans="1:5" x14ac:dyDescent="0.25">
      <c r="A99" s="72" t="str">
        <f>CONCATENATE("Total Tax Levied (",C5-2," budget column)")</f>
        <v>Total Tax Levied (2012 budget column)</v>
      </c>
      <c r="B99" s="73"/>
      <c r="C99" s="54"/>
      <c r="D99" s="64"/>
      <c r="E99" s="50">
        <v>530923</v>
      </c>
    </row>
    <row r="100" spans="1:5" x14ac:dyDescent="0.25">
      <c r="A100" s="74" t="str">
        <f>CONCATENATE("Assessed Valuation  (",C5-2," budget column)")</f>
        <v>Assessed Valuation  (2012 budget column)</v>
      </c>
      <c r="B100" s="75"/>
      <c r="C100" s="55"/>
      <c r="D100" s="76"/>
      <c r="E100" s="50">
        <v>9919790</v>
      </c>
    </row>
    <row r="101" spans="1:5" x14ac:dyDescent="0.25">
      <c r="A101" s="58"/>
      <c r="B101" s="59"/>
      <c r="C101" s="59"/>
      <c r="D101" s="59"/>
      <c r="E101" s="67"/>
    </row>
    <row r="102" spans="1:5" x14ac:dyDescent="0.25">
      <c r="A102" s="77" t="str">
        <f>CONCATENATE("From the ",C5-1," Budget, Budget Summary Page")</f>
        <v>From the 2013 Budget, Budget Summary Page</v>
      </c>
      <c r="B102" s="78"/>
      <c r="C102" s="32"/>
      <c r="D102" s="79"/>
      <c r="E102" s="80"/>
    </row>
    <row r="103" spans="1:5" x14ac:dyDescent="0.25">
      <c r="A103" s="41" t="s">
        <v>0</v>
      </c>
      <c r="B103" s="41"/>
      <c r="C103" s="81"/>
      <c r="D103" s="82">
        <f>C5-3</f>
        <v>2011</v>
      </c>
      <c r="E103" s="83">
        <f>C5-2</f>
        <v>2012</v>
      </c>
    </row>
    <row r="104" spans="1:5" x14ac:dyDescent="0.25">
      <c r="A104" s="84" t="s">
        <v>195</v>
      </c>
      <c r="B104" s="84"/>
      <c r="C104" s="85"/>
      <c r="D104" s="86">
        <v>375000</v>
      </c>
      <c r="E104" s="86">
        <v>305000</v>
      </c>
    </row>
    <row r="105" spans="1:5" x14ac:dyDescent="0.25">
      <c r="A105" s="87" t="s">
        <v>196</v>
      </c>
      <c r="B105" s="87"/>
      <c r="C105" s="88"/>
      <c r="D105" s="86">
        <v>3712005</v>
      </c>
      <c r="E105" s="86">
        <v>3395502</v>
      </c>
    </row>
    <row r="106" spans="1:5" x14ac:dyDescent="0.25">
      <c r="A106" s="87" t="s">
        <v>197</v>
      </c>
      <c r="B106" s="87"/>
      <c r="C106" s="88"/>
      <c r="D106" s="86">
        <v>47946</v>
      </c>
      <c r="E106" s="86">
        <v>108698</v>
      </c>
    </row>
    <row r="107" spans="1:5" x14ac:dyDescent="0.25">
      <c r="A107" s="87" t="s">
        <v>198</v>
      </c>
      <c r="B107" s="87"/>
      <c r="C107" s="88"/>
      <c r="D107" s="86">
        <v>102937</v>
      </c>
      <c r="E107" s="86">
        <v>166938</v>
      </c>
    </row>
    <row r="108" spans="1:5" x14ac:dyDescent="0.25">
      <c r="A108" s="89"/>
      <c r="B108" s="89"/>
      <c r="C108" s="89"/>
      <c r="D108" s="89"/>
      <c r="E108" s="89"/>
    </row>
    <row r="109" spans="1:5" x14ac:dyDescent="0.25">
      <c r="A109" s="89"/>
      <c r="B109" s="89"/>
      <c r="C109" s="89"/>
      <c r="D109" s="89"/>
      <c r="E109" s="89"/>
    </row>
    <row r="110" spans="1:5" x14ac:dyDescent="0.25">
      <c r="A110" s="89"/>
      <c r="B110" s="89"/>
      <c r="C110" s="89"/>
      <c r="D110" s="89"/>
      <c r="E110" s="89"/>
    </row>
    <row r="111" spans="1:5" x14ac:dyDescent="0.25">
      <c r="A111" s="89"/>
      <c r="B111" s="89"/>
      <c r="C111" s="89"/>
      <c r="D111" s="89"/>
      <c r="E111" s="89"/>
    </row>
    <row r="112" spans="1:5" x14ac:dyDescent="0.25">
      <c r="A112" s="89"/>
      <c r="B112" s="89"/>
      <c r="C112" s="89"/>
      <c r="D112" s="89"/>
      <c r="E112" s="89"/>
    </row>
    <row r="113" spans="1:5" x14ac:dyDescent="0.25">
      <c r="A113" s="89"/>
      <c r="B113" s="89"/>
      <c r="C113" s="89"/>
      <c r="D113" s="89"/>
      <c r="E113" s="89"/>
    </row>
    <row r="114" spans="1:5" s="89" customFormat="1" ht="12.5" x14ac:dyDescent="0.25"/>
    <row r="115" spans="1:5" x14ac:dyDescent="0.25">
      <c r="A115" s="89"/>
      <c r="B115" s="89"/>
      <c r="C115" s="89"/>
      <c r="D115" s="89"/>
      <c r="E115" s="89"/>
    </row>
    <row r="116" spans="1:5" x14ac:dyDescent="0.25">
      <c r="A116" s="89"/>
      <c r="B116" s="89"/>
      <c r="C116" s="89"/>
      <c r="D116" s="89"/>
      <c r="E116" s="89"/>
    </row>
    <row r="117" spans="1:5" x14ac:dyDescent="0.25">
      <c r="A117" s="89"/>
      <c r="B117" s="89"/>
      <c r="C117" s="89"/>
      <c r="D117" s="89"/>
      <c r="E117" s="89"/>
    </row>
    <row r="118" spans="1:5" x14ac:dyDescent="0.25">
      <c r="A118" s="89"/>
      <c r="B118" s="89"/>
      <c r="C118" s="89"/>
      <c r="D118" s="89"/>
      <c r="E118" s="89"/>
    </row>
    <row r="119" spans="1:5" x14ac:dyDescent="0.25">
      <c r="A119" s="89"/>
      <c r="B119" s="89"/>
      <c r="C119" s="89"/>
      <c r="D119" s="89"/>
      <c r="E119" s="89"/>
    </row>
    <row r="120" spans="1:5" x14ac:dyDescent="0.25">
      <c r="A120" s="89"/>
      <c r="B120" s="89"/>
      <c r="C120" s="89"/>
      <c r="D120" s="89"/>
      <c r="E120" s="89"/>
    </row>
    <row r="121" spans="1:5" x14ac:dyDescent="0.25">
      <c r="A121" s="89"/>
      <c r="B121" s="89"/>
      <c r="C121" s="89"/>
      <c r="D121" s="89"/>
      <c r="E121" s="89"/>
    </row>
    <row r="122" spans="1:5" x14ac:dyDescent="0.25">
      <c r="A122" s="89"/>
      <c r="B122" s="89"/>
      <c r="C122" s="89"/>
      <c r="D122" s="89"/>
      <c r="E122" s="89"/>
    </row>
    <row r="123" spans="1:5" x14ac:dyDescent="0.25">
      <c r="A123" s="89"/>
      <c r="B123" s="89"/>
      <c r="C123" s="89"/>
      <c r="D123" s="89"/>
      <c r="E123" s="89"/>
    </row>
    <row r="124" spans="1:5" x14ac:dyDescent="0.25">
      <c r="A124" s="89"/>
      <c r="B124" s="89"/>
      <c r="C124" s="89"/>
      <c r="D124" s="89"/>
      <c r="E124" s="89"/>
    </row>
    <row r="125" spans="1:5" x14ac:dyDescent="0.25">
      <c r="A125" s="89"/>
      <c r="B125" s="89"/>
      <c r="C125" s="89"/>
      <c r="D125" s="89"/>
      <c r="E125" s="89"/>
    </row>
  </sheetData>
  <mergeCells count="3">
    <mergeCell ref="A10:E10"/>
    <mergeCell ref="A1:E1"/>
    <mergeCell ref="G8:H13"/>
  </mergeCells>
  <phoneticPr fontId="0" type="noConversion"/>
  <pageMargins left="0.5" right="0.5" top="1" bottom="0.5" header="0.5" footer="0.25"/>
  <pageSetup scale="75"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opLeftCell="A23" workbookViewId="0">
      <selection activeCell="J23" sqref="J23"/>
    </sheetView>
  </sheetViews>
  <sheetFormatPr defaultColWidth="8.9140625" defaultRowHeight="15.5" x14ac:dyDescent="0.25"/>
  <cols>
    <col min="1" max="1" width="11.58203125" style="28" customWidth="1"/>
    <col min="2" max="2" width="7.4140625" style="28" customWidth="1"/>
    <col min="3" max="3" width="11.58203125" style="28" customWidth="1"/>
    <col min="4" max="4" width="7.4140625" style="28" customWidth="1"/>
    <col min="5" max="5" width="11.58203125" style="28" customWidth="1"/>
    <col min="6" max="6" width="7.4140625" style="28" customWidth="1"/>
    <col min="7" max="7" width="11.58203125" style="28" customWidth="1"/>
    <col min="8" max="8" width="7.4140625" style="28" customWidth="1"/>
    <col min="9" max="9" width="11.58203125" style="28" customWidth="1"/>
    <col min="10" max="16384" width="8.9140625" style="28"/>
  </cols>
  <sheetData>
    <row r="1" spans="1:11" x14ac:dyDescent="0.25">
      <c r="A1" s="157" t="str">
        <f>inputPrYr!$D$2</f>
        <v>City of Eureka</v>
      </c>
      <c r="B1" s="271"/>
      <c r="C1" s="156"/>
      <c r="D1" s="156"/>
      <c r="E1" s="156"/>
      <c r="F1" s="158" t="s">
        <v>178</v>
      </c>
      <c r="G1" s="156"/>
      <c r="H1" s="156"/>
      <c r="I1" s="156"/>
      <c r="J1" s="156"/>
      <c r="K1" s="156">
        <f>inputPrYr!$C$5</f>
        <v>2014</v>
      </c>
    </row>
    <row r="2" spans="1:11" x14ac:dyDescent="0.25">
      <c r="A2" s="156"/>
      <c r="B2" s="156"/>
      <c r="C2" s="156"/>
      <c r="D2" s="156"/>
      <c r="E2" s="156"/>
      <c r="F2" s="272" t="str">
        <f>CONCATENATE("(Only the actual budget year for ",K1-2," is to be shown)")</f>
        <v>(Only the actual budget year for 2012 is to be shown)</v>
      </c>
      <c r="G2" s="156"/>
      <c r="H2" s="156"/>
      <c r="I2" s="156"/>
      <c r="J2" s="156"/>
      <c r="K2" s="156"/>
    </row>
    <row r="3" spans="1:11" x14ac:dyDescent="0.25">
      <c r="A3" s="156" t="s">
        <v>221</v>
      </c>
      <c r="B3" s="156"/>
      <c r="C3" s="156"/>
      <c r="D3" s="156"/>
      <c r="E3" s="156"/>
      <c r="F3" s="273"/>
      <c r="G3" s="156"/>
      <c r="H3" s="156"/>
      <c r="I3" s="156"/>
      <c r="J3" s="156"/>
      <c r="K3" s="156"/>
    </row>
    <row r="4" spans="1:11" x14ac:dyDescent="0.25">
      <c r="A4" s="156" t="s">
        <v>179</v>
      </c>
      <c r="B4" s="156"/>
      <c r="C4" s="156" t="s">
        <v>180</v>
      </c>
      <c r="D4" s="156"/>
      <c r="E4" s="156" t="s">
        <v>181</v>
      </c>
      <c r="F4" s="271"/>
      <c r="G4" s="156" t="s">
        <v>182</v>
      </c>
      <c r="H4" s="156"/>
      <c r="I4" s="156" t="s">
        <v>183</v>
      </c>
      <c r="J4" s="156"/>
      <c r="K4" s="156"/>
    </row>
    <row r="5" spans="1:11" x14ac:dyDescent="0.25">
      <c r="A5" s="658" t="str">
        <f>IF(inputPrYr!B57&gt;" ",(inputPrYr!B57)," ")</f>
        <v>Meter Deposit</v>
      </c>
      <c r="B5" s="659"/>
      <c r="C5" s="658" t="str">
        <f>IF(inputPrYr!B58&gt;" ",(inputPrYr!B58)," ")</f>
        <v xml:space="preserve">Water Reserve </v>
      </c>
      <c r="D5" s="659"/>
      <c r="E5" s="658" t="str">
        <f>IF(inputPrYr!B59&gt;" ",(inputPrYr!B59)," ")</f>
        <v>Eureka Pbl Bldg Comm P &amp; I</v>
      </c>
      <c r="F5" s="659"/>
      <c r="G5" s="658" t="str">
        <f>IF(inputPrYr!B60&gt;" ",(inputPrYr!B60)," ")</f>
        <v xml:space="preserve">Refuse Collections </v>
      </c>
      <c r="H5" s="659"/>
      <c r="I5" s="658" t="str">
        <f>IF(inputPrYr!B61&gt;" ",(inputPrYr!B61)," ")</f>
        <v xml:space="preserve">Sewer Reserve </v>
      </c>
      <c r="J5" s="659"/>
      <c r="K5" s="107"/>
    </row>
    <row r="6" spans="1:11" x14ac:dyDescent="0.25">
      <c r="A6" s="275" t="s">
        <v>184</v>
      </c>
      <c r="B6" s="276"/>
      <c r="C6" s="277" t="s">
        <v>184</v>
      </c>
      <c r="D6" s="278"/>
      <c r="E6" s="277" t="s">
        <v>184</v>
      </c>
      <c r="F6" s="274"/>
      <c r="G6" s="277" t="s">
        <v>184</v>
      </c>
      <c r="H6" s="279"/>
      <c r="I6" s="277" t="s">
        <v>184</v>
      </c>
      <c r="J6" s="156"/>
      <c r="K6" s="280" t="s">
        <v>22</v>
      </c>
    </row>
    <row r="7" spans="1:11" x14ac:dyDescent="0.25">
      <c r="A7" s="281" t="s">
        <v>12</v>
      </c>
      <c r="B7" s="282">
        <v>6095</v>
      </c>
      <c r="C7" s="283" t="s">
        <v>12</v>
      </c>
      <c r="D7" s="282">
        <v>69700</v>
      </c>
      <c r="E7" s="283" t="s">
        <v>12</v>
      </c>
      <c r="F7" s="282">
        <v>5</v>
      </c>
      <c r="G7" s="283" t="s">
        <v>12</v>
      </c>
      <c r="H7" s="282">
        <v>53294</v>
      </c>
      <c r="I7" s="283" t="s">
        <v>12</v>
      </c>
      <c r="J7" s="282">
        <v>52677</v>
      </c>
      <c r="K7" s="284">
        <f>SUM(B7+D7+F7+H7+J7)</f>
        <v>181771</v>
      </c>
    </row>
    <row r="8" spans="1:11" x14ac:dyDescent="0.25">
      <c r="A8" s="285" t="s">
        <v>167</v>
      </c>
      <c r="B8" s="286"/>
      <c r="C8" s="285" t="s">
        <v>167</v>
      </c>
      <c r="D8" s="287"/>
      <c r="E8" s="285" t="s">
        <v>167</v>
      </c>
      <c r="F8" s="271"/>
      <c r="G8" s="285" t="s">
        <v>167</v>
      </c>
      <c r="H8" s="156"/>
      <c r="I8" s="285" t="s">
        <v>167</v>
      </c>
      <c r="J8" s="156"/>
      <c r="K8" s="271"/>
    </row>
    <row r="9" spans="1:11" x14ac:dyDescent="0.25">
      <c r="A9" s="586" t="s">
        <v>494</v>
      </c>
      <c r="B9" s="282">
        <v>14105</v>
      </c>
      <c r="C9" s="586" t="s">
        <v>506</v>
      </c>
      <c r="D9" s="282"/>
      <c r="E9" s="586" t="s">
        <v>506</v>
      </c>
      <c r="F9" s="282"/>
      <c r="G9" s="586" t="s">
        <v>510</v>
      </c>
      <c r="H9" s="282"/>
      <c r="I9" s="586"/>
      <c r="J9" s="282"/>
      <c r="K9" s="271"/>
    </row>
    <row r="10" spans="1:11" x14ac:dyDescent="0.25">
      <c r="A10" s="288"/>
      <c r="B10" s="282"/>
      <c r="C10" s="587" t="s">
        <v>507</v>
      </c>
      <c r="D10" s="282">
        <v>20000</v>
      </c>
      <c r="E10" s="586" t="s">
        <v>509</v>
      </c>
      <c r="F10" s="282">
        <v>208000</v>
      </c>
      <c r="G10" s="586" t="s">
        <v>511</v>
      </c>
      <c r="H10" s="282">
        <v>223434</v>
      </c>
      <c r="I10" s="289"/>
      <c r="J10" s="282"/>
      <c r="K10" s="271"/>
    </row>
    <row r="11" spans="1:11" x14ac:dyDescent="0.25">
      <c r="A11" s="288"/>
      <c r="B11" s="282"/>
      <c r="C11" s="289"/>
      <c r="D11" s="282"/>
      <c r="E11" s="289"/>
      <c r="F11" s="282"/>
      <c r="G11" s="289"/>
      <c r="H11" s="282"/>
      <c r="I11" s="290"/>
      <c r="J11" s="282"/>
      <c r="K11" s="271"/>
    </row>
    <row r="12" spans="1:11" x14ac:dyDescent="0.25">
      <c r="A12" s="288"/>
      <c r="B12" s="282"/>
      <c r="C12" s="288"/>
      <c r="D12" s="282"/>
      <c r="E12" s="291"/>
      <c r="F12" s="282"/>
      <c r="G12" s="291"/>
      <c r="H12" s="282"/>
      <c r="I12" s="291"/>
      <c r="J12" s="282"/>
      <c r="K12" s="271"/>
    </row>
    <row r="13" spans="1:11" x14ac:dyDescent="0.25">
      <c r="A13" s="292"/>
      <c r="B13" s="282"/>
      <c r="C13" s="293"/>
      <c r="D13" s="282"/>
      <c r="E13" s="293"/>
      <c r="F13" s="282"/>
      <c r="G13" s="293"/>
      <c r="H13" s="282"/>
      <c r="I13" s="290"/>
      <c r="J13" s="282"/>
      <c r="K13" s="271"/>
    </row>
    <row r="14" spans="1:11" x14ac:dyDescent="0.25">
      <c r="A14" s="288"/>
      <c r="B14" s="282"/>
      <c r="C14" s="291"/>
      <c r="D14" s="282"/>
      <c r="E14" s="291"/>
      <c r="F14" s="282"/>
      <c r="G14" s="291"/>
      <c r="H14" s="282"/>
      <c r="I14" s="291"/>
      <c r="J14" s="282"/>
      <c r="K14" s="271"/>
    </row>
    <row r="15" spans="1:11" x14ac:dyDescent="0.25">
      <c r="A15" s="288"/>
      <c r="B15" s="282"/>
      <c r="C15" s="291"/>
      <c r="D15" s="282"/>
      <c r="E15" s="291"/>
      <c r="F15" s="282"/>
      <c r="G15" s="291"/>
      <c r="H15" s="282"/>
      <c r="I15" s="291"/>
      <c r="J15" s="282"/>
      <c r="K15" s="271"/>
    </row>
    <row r="16" spans="1:11" x14ac:dyDescent="0.25">
      <c r="A16" s="288"/>
      <c r="B16" s="282"/>
      <c r="C16" s="288"/>
      <c r="D16" s="282"/>
      <c r="E16" s="288"/>
      <c r="F16" s="282"/>
      <c r="G16" s="291"/>
      <c r="H16" s="282"/>
      <c r="I16" s="288"/>
      <c r="J16" s="282"/>
      <c r="K16" s="271"/>
    </row>
    <row r="17" spans="1:12" x14ac:dyDescent="0.25">
      <c r="A17" s="285" t="s">
        <v>57</v>
      </c>
      <c r="B17" s="284">
        <f>SUM(B9:B16)</f>
        <v>14105</v>
      </c>
      <c r="C17" s="285" t="s">
        <v>57</v>
      </c>
      <c r="D17" s="284">
        <f>SUM(D9:D16)</f>
        <v>20000</v>
      </c>
      <c r="E17" s="285" t="s">
        <v>57</v>
      </c>
      <c r="F17" s="329">
        <f>SUM(F9:F16)</f>
        <v>208000</v>
      </c>
      <c r="G17" s="285" t="s">
        <v>57</v>
      </c>
      <c r="H17" s="284">
        <f>SUM(H9:H16)</f>
        <v>223434</v>
      </c>
      <c r="I17" s="285" t="s">
        <v>57</v>
      </c>
      <c r="J17" s="284">
        <f>SUM(J9:J16)</f>
        <v>0</v>
      </c>
      <c r="K17" s="284">
        <f>SUM(B17+D17+F17+H17+J17)</f>
        <v>465539</v>
      </c>
    </row>
    <row r="18" spans="1:12" x14ac:dyDescent="0.25">
      <c r="A18" s="285" t="s">
        <v>58</v>
      </c>
      <c r="B18" s="284">
        <f>SUM(B7+B17)</f>
        <v>20200</v>
      </c>
      <c r="C18" s="285" t="s">
        <v>58</v>
      </c>
      <c r="D18" s="284">
        <f>SUM(D7+D17)</f>
        <v>89700</v>
      </c>
      <c r="E18" s="285" t="s">
        <v>58</v>
      </c>
      <c r="F18" s="284">
        <f>SUM(F7+F17)</f>
        <v>208005</v>
      </c>
      <c r="G18" s="285" t="s">
        <v>58</v>
      </c>
      <c r="H18" s="284">
        <f>SUM(H7+H17)</f>
        <v>276728</v>
      </c>
      <c r="I18" s="285" t="s">
        <v>58</v>
      </c>
      <c r="J18" s="284">
        <f>SUM(J7+J17)</f>
        <v>52677</v>
      </c>
      <c r="K18" s="284">
        <f>SUM(B18+D18+F18+H18+J18)</f>
        <v>647310</v>
      </c>
    </row>
    <row r="19" spans="1:12" x14ac:dyDescent="0.25">
      <c r="A19" s="285" t="s">
        <v>60</v>
      </c>
      <c r="B19" s="286"/>
      <c r="C19" s="285" t="s">
        <v>60</v>
      </c>
      <c r="D19" s="287"/>
      <c r="E19" s="285" t="s">
        <v>60</v>
      </c>
      <c r="F19" s="271"/>
      <c r="G19" s="285" t="s">
        <v>60</v>
      </c>
      <c r="H19" s="156"/>
      <c r="I19" s="285" t="s">
        <v>60</v>
      </c>
      <c r="J19" s="156"/>
      <c r="K19" s="271"/>
    </row>
    <row r="20" spans="1:12" x14ac:dyDescent="0.25">
      <c r="A20" s="586" t="s">
        <v>495</v>
      </c>
      <c r="B20" s="282">
        <v>13728</v>
      </c>
      <c r="C20" s="291" t="s">
        <v>508</v>
      </c>
      <c r="D20" s="282">
        <v>8642</v>
      </c>
      <c r="E20" s="588" t="s">
        <v>14</v>
      </c>
      <c r="F20" s="282"/>
      <c r="G20" s="586" t="s">
        <v>512</v>
      </c>
      <c r="H20" s="282"/>
      <c r="I20" s="291" t="s">
        <v>508</v>
      </c>
      <c r="J20" s="282">
        <v>9978</v>
      </c>
      <c r="K20" s="271"/>
    </row>
    <row r="21" spans="1:12" x14ac:dyDescent="0.25">
      <c r="A21" s="288"/>
      <c r="B21" s="282"/>
      <c r="C21" s="291"/>
      <c r="D21" s="282"/>
      <c r="E21" s="588" t="s">
        <v>479</v>
      </c>
      <c r="F21" s="282">
        <v>110000</v>
      </c>
      <c r="G21" s="586" t="s">
        <v>513</v>
      </c>
      <c r="H21" s="282">
        <v>222141</v>
      </c>
      <c r="I21" s="291"/>
      <c r="J21" s="282"/>
      <c r="K21" s="271"/>
    </row>
    <row r="22" spans="1:12" x14ac:dyDescent="0.25">
      <c r="A22" s="288"/>
      <c r="B22" s="282"/>
      <c r="C22" s="293"/>
      <c r="D22" s="282"/>
      <c r="E22" s="589" t="s">
        <v>480</v>
      </c>
      <c r="F22" s="282">
        <v>97533</v>
      </c>
      <c r="G22" s="293"/>
      <c r="H22" s="282"/>
      <c r="I22" s="290"/>
      <c r="J22" s="282"/>
      <c r="K22" s="271"/>
    </row>
    <row r="23" spans="1:12" x14ac:dyDescent="0.25">
      <c r="A23" s="288"/>
      <c r="B23" s="282"/>
      <c r="C23" s="291"/>
      <c r="D23" s="282"/>
      <c r="E23" s="291"/>
      <c r="F23" s="282"/>
      <c r="G23" s="291"/>
      <c r="H23" s="282"/>
      <c r="I23" s="291"/>
      <c r="J23" s="282"/>
      <c r="K23" s="271"/>
    </row>
    <row r="24" spans="1:12" x14ac:dyDescent="0.25">
      <c r="A24" s="288"/>
      <c r="B24" s="282"/>
      <c r="C24" s="293"/>
      <c r="D24" s="282"/>
      <c r="E24" s="293"/>
      <c r="F24" s="282"/>
      <c r="G24" s="293"/>
      <c r="H24" s="282"/>
      <c r="I24" s="290"/>
      <c r="J24" s="282"/>
      <c r="K24" s="271"/>
    </row>
    <row r="25" spans="1:12" x14ac:dyDescent="0.25">
      <c r="A25" s="288"/>
      <c r="B25" s="282"/>
      <c r="C25" s="291"/>
      <c r="D25" s="282"/>
      <c r="E25" s="291"/>
      <c r="F25" s="282"/>
      <c r="G25" s="291"/>
      <c r="H25" s="282"/>
      <c r="I25" s="291"/>
      <c r="J25" s="282"/>
      <c r="K25" s="271"/>
    </row>
    <row r="26" spans="1:12" x14ac:dyDescent="0.25">
      <c r="A26" s="288"/>
      <c r="B26" s="282"/>
      <c r="C26" s="291"/>
      <c r="D26" s="282"/>
      <c r="E26" s="291"/>
      <c r="F26" s="282"/>
      <c r="G26" s="291"/>
      <c r="H26" s="282"/>
      <c r="I26" s="291"/>
      <c r="J26" s="282"/>
      <c r="K26" s="271"/>
    </row>
    <row r="27" spans="1:12" x14ac:dyDescent="0.25">
      <c r="A27" s="288"/>
      <c r="B27" s="282"/>
      <c r="C27" s="288"/>
      <c r="D27" s="282"/>
      <c r="E27" s="288"/>
      <c r="F27" s="282"/>
      <c r="G27" s="291"/>
      <c r="H27" s="282"/>
      <c r="I27" s="291"/>
      <c r="J27" s="282"/>
      <c r="K27" s="271"/>
    </row>
    <row r="28" spans="1:12" x14ac:dyDescent="0.25">
      <c r="A28" s="285" t="s">
        <v>63</v>
      </c>
      <c r="B28" s="284">
        <f>SUM(B20:B27)</f>
        <v>13728</v>
      </c>
      <c r="C28" s="285" t="s">
        <v>63</v>
      </c>
      <c r="D28" s="284">
        <f>SUM(D20:D27)</f>
        <v>8642</v>
      </c>
      <c r="E28" s="285" t="s">
        <v>63</v>
      </c>
      <c r="F28" s="329">
        <f>SUM(F20:F27)</f>
        <v>207533</v>
      </c>
      <c r="G28" s="285" t="s">
        <v>63</v>
      </c>
      <c r="H28" s="329">
        <f>SUM(H20:H27)</f>
        <v>222141</v>
      </c>
      <c r="I28" s="285" t="s">
        <v>63</v>
      </c>
      <c r="J28" s="284">
        <f>SUM(J20:J27)</f>
        <v>9978</v>
      </c>
      <c r="K28" s="284">
        <f>SUM(B28+D28+F28+H28+J28)</f>
        <v>462022</v>
      </c>
    </row>
    <row r="29" spans="1:12" x14ac:dyDescent="0.25">
      <c r="A29" s="285" t="s">
        <v>185</v>
      </c>
      <c r="B29" s="284">
        <f>SUM(B18-B28)</f>
        <v>6472</v>
      </c>
      <c r="C29" s="285" t="s">
        <v>185</v>
      </c>
      <c r="D29" s="284">
        <f>SUM(D18-D28)</f>
        <v>81058</v>
      </c>
      <c r="E29" s="285" t="s">
        <v>185</v>
      </c>
      <c r="F29" s="284">
        <f>SUM(F18-F28)</f>
        <v>472</v>
      </c>
      <c r="G29" s="285" t="s">
        <v>185</v>
      </c>
      <c r="H29" s="284">
        <f>SUM(H18-H28)</f>
        <v>54587</v>
      </c>
      <c r="I29" s="285" t="s">
        <v>185</v>
      </c>
      <c r="J29" s="284">
        <f>SUM(J18-J28)</f>
        <v>42699</v>
      </c>
      <c r="K29" s="294">
        <f>SUM(B29+D29+F29+H29+J29)</f>
        <v>185288</v>
      </c>
      <c r="L29" s="28" t="s">
        <v>234</v>
      </c>
    </row>
    <row r="30" spans="1:12" x14ac:dyDescent="0.25">
      <c r="A30" s="285"/>
      <c r="B30" s="316" t="str">
        <f>IF(B29&lt;0,"See Tab B","")</f>
        <v/>
      </c>
      <c r="C30" s="285"/>
      <c r="D30" s="316" t="str">
        <f>IF(D29&lt;0,"See Tab B","")</f>
        <v/>
      </c>
      <c r="E30" s="285"/>
      <c r="F30" s="316" t="str">
        <f>IF(F29&lt;0,"See Tab B","")</f>
        <v/>
      </c>
      <c r="G30" s="156"/>
      <c r="H30" s="316" t="str">
        <f>IF(H29&lt;0,"See Tab B","")</f>
        <v/>
      </c>
      <c r="I30" s="156"/>
      <c r="J30" s="316" t="str">
        <f>IF(J29&lt;0,"See Tab B","")</f>
        <v/>
      </c>
      <c r="K30" s="294">
        <f>SUM(K7+K17-K28)</f>
        <v>185288</v>
      </c>
      <c r="L30" s="28" t="s">
        <v>234</v>
      </c>
    </row>
    <row r="31" spans="1:12" x14ac:dyDescent="0.25">
      <c r="A31" s="156"/>
      <c r="B31" s="161"/>
      <c r="C31" s="156"/>
      <c r="D31" s="271"/>
      <c r="E31" s="156"/>
      <c r="F31" s="156"/>
      <c r="G31" s="29" t="s">
        <v>235</v>
      </c>
      <c r="H31" s="29"/>
      <c r="I31" s="29"/>
      <c r="J31" s="29"/>
      <c r="K31" s="156"/>
    </row>
    <row r="32" spans="1:12" x14ac:dyDescent="0.25">
      <c r="A32" s="612" t="s">
        <v>375</v>
      </c>
      <c r="B32" s="594"/>
      <c r="C32" s="594"/>
      <c r="D32" s="594"/>
      <c r="E32" s="613"/>
      <c r="F32" s="613"/>
      <c r="G32" s="613"/>
      <c r="H32" s="613"/>
      <c r="I32" s="613"/>
      <c r="J32" s="613"/>
      <c r="K32" s="613"/>
    </row>
    <row r="33" spans="1:11" x14ac:dyDescent="0.25">
      <c r="A33" s="156"/>
      <c r="B33" s="161"/>
      <c r="C33" s="156"/>
      <c r="D33" s="156"/>
      <c r="E33" s="170" t="s">
        <v>66</v>
      </c>
      <c r="F33" s="585">
        <v>16</v>
      </c>
      <c r="G33" s="156"/>
      <c r="H33" s="156"/>
      <c r="I33" s="156"/>
      <c r="J33" s="156"/>
      <c r="K33" s="156"/>
    </row>
    <row r="34" spans="1:11" x14ac:dyDescent="0.25">
      <c r="B34" s="295"/>
    </row>
    <row r="35" spans="1:11" x14ac:dyDescent="0.25">
      <c r="B35" s="295"/>
    </row>
    <row r="36" spans="1:11" x14ac:dyDescent="0.25">
      <c r="B36" s="295"/>
    </row>
    <row r="37" spans="1:11" x14ac:dyDescent="0.25">
      <c r="B37" s="295"/>
    </row>
    <row r="38" spans="1:11" x14ac:dyDescent="0.25">
      <c r="B38" s="295"/>
    </row>
    <row r="39" spans="1:11" x14ac:dyDescent="0.25">
      <c r="B39" s="295"/>
    </row>
    <row r="40" spans="1:11" x14ac:dyDescent="0.25">
      <c r="B40" s="295"/>
    </row>
    <row r="41" spans="1:11" x14ac:dyDescent="0.25">
      <c r="B41" s="295"/>
    </row>
  </sheetData>
  <mergeCells count="6">
    <mergeCell ref="A32:K32"/>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opLeftCell="A23" workbookViewId="0">
      <selection activeCell="F29" sqref="F29"/>
    </sheetView>
  </sheetViews>
  <sheetFormatPr defaultColWidth="8.9140625" defaultRowHeight="15.5" x14ac:dyDescent="0.25"/>
  <cols>
    <col min="1" max="1" width="11.58203125" style="28" customWidth="1"/>
    <col min="2" max="2" width="7.4140625" style="28" customWidth="1"/>
    <col min="3" max="3" width="11.58203125" style="28" customWidth="1"/>
    <col min="4" max="4" width="7.4140625" style="28" customWidth="1"/>
    <col min="5" max="5" width="11.58203125" style="28" customWidth="1"/>
    <col min="6" max="6" width="7.4140625" style="28" customWidth="1"/>
    <col min="7" max="7" width="11.58203125" style="28" customWidth="1"/>
    <col min="8" max="8" width="7.4140625" style="28" customWidth="1"/>
    <col min="9" max="9" width="11.58203125" style="28" customWidth="1"/>
    <col min="10" max="16384" width="8.9140625" style="28"/>
  </cols>
  <sheetData>
    <row r="1" spans="1:11" x14ac:dyDescent="0.25">
      <c r="A1" s="157" t="str">
        <f>inputPrYr!$D$2</f>
        <v>City of Eureka</v>
      </c>
      <c r="B1" s="271"/>
      <c r="C1" s="156"/>
      <c r="D1" s="156"/>
      <c r="E1" s="156"/>
      <c r="F1" s="158" t="s">
        <v>186</v>
      </c>
      <c r="G1" s="156"/>
      <c r="H1" s="156"/>
      <c r="I1" s="156"/>
      <c r="J1" s="156"/>
      <c r="K1" s="156">
        <f>inputPrYr!$C$5</f>
        <v>2014</v>
      </c>
    </row>
    <row r="2" spans="1:11" x14ac:dyDescent="0.25">
      <c r="A2" s="156"/>
      <c r="B2" s="156"/>
      <c r="C2" s="156"/>
      <c r="D2" s="156"/>
      <c r="E2" s="156"/>
      <c r="F2" s="272" t="str">
        <f>CONCATENATE("(Only the actual budget year for ",K1-2," is to be shown)")</f>
        <v>(Only the actual budget year for 2012 is to be shown)</v>
      </c>
      <c r="G2" s="156"/>
      <c r="H2" s="156"/>
      <c r="I2" s="156"/>
      <c r="J2" s="156"/>
      <c r="K2" s="156"/>
    </row>
    <row r="3" spans="1:11" x14ac:dyDescent="0.25">
      <c r="A3" s="156" t="s">
        <v>220</v>
      </c>
      <c r="B3" s="156"/>
      <c r="C3" s="156"/>
      <c r="D3" s="156"/>
      <c r="E3" s="156"/>
      <c r="F3" s="271"/>
      <c r="G3" s="156"/>
      <c r="H3" s="156"/>
      <c r="I3" s="156"/>
      <c r="J3" s="156"/>
      <c r="K3" s="156"/>
    </row>
    <row r="4" spans="1:11" x14ac:dyDescent="0.25">
      <c r="A4" s="156" t="s">
        <v>179</v>
      </c>
      <c r="B4" s="156"/>
      <c r="C4" s="156" t="s">
        <v>180</v>
      </c>
      <c r="D4" s="156"/>
      <c r="E4" s="156" t="s">
        <v>181</v>
      </c>
      <c r="F4" s="271"/>
      <c r="G4" s="156" t="s">
        <v>182</v>
      </c>
      <c r="H4" s="156"/>
      <c r="I4" s="156" t="s">
        <v>183</v>
      </c>
      <c r="J4" s="156"/>
      <c r="K4" s="156"/>
    </row>
    <row r="5" spans="1:11" x14ac:dyDescent="0.25">
      <c r="A5" s="658" t="str">
        <f>IF(inputPrYr!B63&gt;" ",(inputPrYr!B63)," ")</f>
        <v>Revolving Ln Improvement</v>
      </c>
      <c r="B5" s="659"/>
      <c r="C5" s="658" t="str">
        <f>IF(inputPrYr!B64&gt;" ",(inputPrYr!B64)," ")</f>
        <v>CDBG Project</v>
      </c>
      <c r="D5" s="659"/>
      <c r="E5" s="658" t="str">
        <f>IF(inputPrYr!B65&gt;" ",(inputPrYr!B65)," ")</f>
        <v xml:space="preserve"> </v>
      </c>
      <c r="F5" s="659"/>
      <c r="G5" s="658" t="str">
        <f>IF(inputPrYr!B66&gt;" ",(inputPrYr!B66)," ")</f>
        <v xml:space="preserve"> </v>
      </c>
      <c r="H5" s="659"/>
      <c r="I5" s="658" t="str">
        <f>IF(inputPrYr!B67&gt;" ",(inputPrYr!B67)," ")</f>
        <v xml:space="preserve"> </v>
      </c>
      <c r="J5" s="659"/>
      <c r="K5" s="107"/>
    </row>
    <row r="6" spans="1:11" x14ac:dyDescent="0.25">
      <c r="A6" s="275" t="s">
        <v>184</v>
      </c>
      <c r="B6" s="276"/>
      <c r="C6" s="277" t="s">
        <v>184</v>
      </c>
      <c r="D6" s="278"/>
      <c r="E6" s="277" t="s">
        <v>184</v>
      </c>
      <c r="F6" s="274"/>
      <c r="G6" s="277" t="s">
        <v>184</v>
      </c>
      <c r="H6" s="279"/>
      <c r="I6" s="277" t="s">
        <v>184</v>
      </c>
      <c r="J6" s="156"/>
      <c r="K6" s="280" t="s">
        <v>22</v>
      </c>
    </row>
    <row r="7" spans="1:11" x14ac:dyDescent="0.25">
      <c r="A7" s="281" t="s">
        <v>12</v>
      </c>
      <c r="B7" s="282">
        <v>-9673</v>
      </c>
      <c r="C7" s="283" t="s">
        <v>12</v>
      </c>
      <c r="D7" s="282">
        <v>22307</v>
      </c>
      <c r="E7" s="283" t="s">
        <v>12</v>
      </c>
      <c r="F7" s="282"/>
      <c r="G7" s="283" t="s">
        <v>12</v>
      </c>
      <c r="H7" s="282"/>
      <c r="I7" s="283" t="s">
        <v>12</v>
      </c>
      <c r="J7" s="282"/>
      <c r="K7" s="284">
        <f>SUM(B7+D7+F7+H7+J7)</f>
        <v>12634</v>
      </c>
    </row>
    <row r="8" spans="1:11" x14ac:dyDescent="0.25">
      <c r="A8" s="285" t="s">
        <v>167</v>
      </c>
      <c r="B8" s="286"/>
      <c r="C8" s="285" t="s">
        <v>167</v>
      </c>
      <c r="D8" s="287"/>
      <c r="E8" s="285" t="s">
        <v>167</v>
      </c>
      <c r="F8" s="271"/>
      <c r="G8" s="285" t="s">
        <v>167</v>
      </c>
      <c r="H8" s="156"/>
      <c r="I8" s="285" t="s">
        <v>167</v>
      </c>
      <c r="J8" s="156"/>
      <c r="K8" s="271"/>
    </row>
    <row r="9" spans="1:11" x14ac:dyDescent="0.25">
      <c r="A9" s="288" t="s">
        <v>514</v>
      </c>
      <c r="B9" s="282">
        <v>9671</v>
      </c>
      <c r="C9" s="288" t="s">
        <v>515</v>
      </c>
      <c r="D9" s="282">
        <v>181933</v>
      </c>
      <c r="E9" s="288"/>
      <c r="F9" s="282"/>
      <c r="G9" s="288"/>
      <c r="H9" s="282"/>
      <c r="I9" s="288"/>
      <c r="J9" s="282"/>
      <c r="K9" s="271"/>
    </row>
    <row r="10" spans="1:11" x14ac:dyDescent="0.25">
      <c r="A10" s="288"/>
      <c r="B10" s="282"/>
      <c r="C10" s="288" t="s">
        <v>445</v>
      </c>
      <c r="D10" s="282">
        <v>3300</v>
      </c>
      <c r="E10" s="288"/>
      <c r="F10" s="282"/>
      <c r="G10" s="288"/>
      <c r="H10" s="282"/>
      <c r="I10" s="288"/>
      <c r="J10" s="282"/>
      <c r="K10" s="271"/>
    </row>
    <row r="11" spans="1:11" x14ac:dyDescent="0.25">
      <c r="A11" s="288"/>
      <c r="B11" s="282"/>
      <c r="C11" s="289"/>
      <c r="D11" s="282"/>
      <c r="E11" s="289"/>
      <c r="F11" s="282"/>
      <c r="G11" s="289"/>
      <c r="H11" s="282"/>
      <c r="I11" s="290"/>
      <c r="J11" s="282"/>
      <c r="K11" s="271"/>
    </row>
    <row r="12" spans="1:11" x14ac:dyDescent="0.25">
      <c r="A12" s="288"/>
      <c r="B12" s="282"/>
      <c r="C12" s="288"/>
      <c r="D12" s="282"/>
      <c r="E12" s="291"/>
      <c r="F12" s="282"/>
      <c r="G12" s="291"/>
      <c r="H12" s="282"/>
      <c r="I12" s="291"/>
      <c r="J12" s="282"/>
      <c r="K12" s="271"/>
    </row>
    <row r="13" spans="1:11" x14ac:dyDescent="0.25">
      <c r="A13" s="292"/>
      <c r="B13" s="282"/>
      <c r="C13" s="293"/>
      <c r="D13" s="282"/>
      <c r="E13" s="293"/>
      <c r="F13" s="282"/>
      <c r="G13" s="293"/>
      <c r="H13" s="282"/>
      <c r="I13" s="290"/>
      <c r="J13" s="282"/>
      <c r="K13" s="271"/>
    </row>
    <row r="14" spans="1:11" x14ac:dyDescent="0.25">
      <c r="A14" s="288"/>
      <c r="B14" s="282"/>
      <c r="C14" s="291"/>
      <c r="D14" s="282"/>
      <c r="E14" s="291"/>
      <c r="F14" s="282"/>
      <c r="G14" s="291"/>
      <c r="H14" s="282"/>
      <c r="I14" s="291"/>
      <c r="J14" s="282"/>
      <c r="K14" s="271"/>
    </row>
    <row r="15" spans="1:11" x14ac:dyDescent="0.25">
      <c r="A15" s="288"/>
      <c r="B15" s="282"/>
      <c r="C15" s="291"/>
      <c r="D15" s="282"/>
      <c r="E15" s="291"/>
      <c r="F15" s="282"/>
      <c r="G15" s="291"/>
      <c r="H15" s="282"/>
      <c r="I15" s="291"/>
      <c r="J15" s="282"/>
      <c r="K15" s="271"/>
    </row>
    <row r="16" spans="1:11" x14ac:dyDescent="0.25">
      <c r="A16" s="288"/>
      <c r="B16" s="282"/>
      <c r="C16" s="288"/>
      <c r="D16" s="282"/>
      <c r="E16" s="288"/>
      <c r="F16" s="282"/>
      <c r="G16" s="291"/>
      <c r="H16" s="282"/>
      <c r="I16" s="288"/>
      <c r="J16" s="282"/>
      <c r="K16" s="271"/>
    </row>
    <row r="17" spans="1:12" x14ac:dyDescent="0.25">
      <c r="A17" s="285" t="s">
        <v>57</v>
      </c>
      <c r="B17" s="284">
        <f>SUM(B9:B16)</f>
        <v>9671</v>
      </c>
      <c r="C17" s="285" t="s">
        <v>57</v>
      </c>
      <c r="D17" s="284">
        <f>SUM(D9:D16)</f>
        <v>185233</v>
      </c>
      <c r="E17" s="285" t="s">
        <v>57</v>
      </c>
      <c r="F17" s="329">
        <f>SUM(F9:F16)</f>
        <v>0</v>
      </c>
      <c r="G17" s="285" t="s">
        <v>57</v>
      </c>
      <c r="H17" s="284">
        <f>SUM(H9:H16)</f>
        <v>0</v>
      </c>
      <c r="I17" s="285" t="s">
        <v>57</v>
      </c>
      <c r="J17" s="284">
        <f>SUM(J9:J16)</f>
        <v>0</v>
      </c>
      <c r="K17" s="284">
        <f>SUM(B17+D17+F17+H17+J17)</f>
        <v>194904</v>
      </c>
    </row>
    <row r="18" spans="1:12" x14ac:dyDescent="0.25">
      <c r="A18" s="285" t="s">
        <v>58</v>
      </c>
      <c r="B18" s="284">
        <f>SUM(B7+B17)</f>
        <v>-2</v>
      </c>
      <c r="C18" s="285" t="s">
        <v>58</v>
      </c>
      <c r="D18" s="284">
        <f>SUM(D7+D17)</f>
        <v>207540</v>
      </c>
      <c r="E18" s="285" t="s">
        <v>58</v>
      </c>
      <c r="F18" s="284">
        <f>SUM(F7+F17)</f>
        <v>0</v>
      </c>
      <c r="G18" s="285" t="s">
        <v>58</v>
      </c>
      <c r="H18" s="284">
        <f>SUM(H7+H17)</f>
        <v>0</v>
      </c>
      <c r="I18" s="285" t="s">
        <v>58</v>
      </c>
      <c r="J18" s="284">
        <f>SUM(J7+J17)</f>
        <v>0</v>
      </c>
      <c r="K18" s="284">
        <f>SUM(B18+D18+F18+H18+J18)</f>
        <v>207538</v>
      </c>
    </row>
    <row r="19" spans="1:12" x14ac:dyDescent="0.25">
      <c r="A19" s="285" t="s">
        <v>60</v>
      </c>
      <c r="B19" s="286"/>
      <c r="C19" s="285" t="s">
        <v>60</v>
      </c>
      <c r="D19" s="287"/>
      <c r="E19" s="285" t="s">
        <v>60</v>
      </c>
      <c r="F19" s="271"/>
      <c r="G19" s="285" t="s">
        <v>60</v>
      </c>
      <c r="H19" s="156"/>
      <c r="I19" s="285" t="s">
        <v>60</v>
      </c>
      <c r="J19" s="156"/>
      <c r="K19" s="271"/>
    </row>
    <row r="20" spans="1:12" x14ac:dyDescent="0.25">
      <c r="A20" s="288"/>
      <c r="B20" s="282"/>
      <c r="C20" s="291" t="s">
        <v>508</v>
      </c>
      <c r="D20" s="282">
        <v>242219</v>
      </c>
      <c r="E20" s="291"/>
      <c r="F20" s="282"/>
      <c r="G20" s="291"/>
      <c r="H20" s="282"/>
      <c r="I20" s="291"/>
      <c r="J20" s="282"/>
      <c r="K20" s="271"/>
    </row>
    <row r="21" spans="1:12" x14ac:dyDescent="0.25">
      <c r="A21" s="288"/>
      <c r="B21" s="282"/>
      <c r="C21" s="291"/>
      <c r="D21" s="282"/>
      <c r="E21" s="291"/>
      <c r="F21" s="282"/>
      <c r="G21" s="291"/>
      <c r="H21" s="282"/>
      <c r="I21" s="291"/>
      <c r="J21" s="282"/>
      <c r="K21" s="271"/>
    </row>
    <row r="22" spans="1:12" x14ac:dyDescent="0.25">
      <c r="A22" s="288"/>
      <c r="B22" s="282"/>
      <c r="C22" s="293"/>
      <c r="D22" s="282"/>
      <c r="E22" s="293"/>
      <c r="F22" s="282"/>
      <c r="G22" s="293"/>
      <c r="H22" s="282"/>
      <c r="I22" s="290"/>
      <c r="J22" s="282"/>
      <c r="K22" s="271"/>
    </row>
    <row r="23" spans="1:12" x14ac:dyDescent="0.25">
      <c r="A23" s="288"/>
      <c r="B23" s="282"/>
      <c r="C23" s="291"/>
      <c r="D23" s="282"/>
      <c r="E23" s="291"/>
      <c r="F23" s="282"/>
      <c r="G23" s="291"/>
      <c r="H23" s="282"/>
      <c r="I23" s="291"/>
      <c r="J23" s="282"/>
      <c r="K23" s="271"/>
    </row>
    <row r="24" spans="1:12" x14ac:dyDescent="0.25">
      <c r="A24" s="288"/>
      <c r="B24" s="282"/>
      <c r="C24" s="293"/>
      <c r="D24" s="282"/>
      <c r="E24" s="293"/>
      <c r="F24" s="282"/>
      <c r="G24" s="293"/>
      <c r="H24" s="282"/>
      <c r="I24" s="290"/>
      <c r="J24" s="282"/>
      <c r="K24" s="271"/>
    </row>
    <row r="25" spans="1:12" x14ac:dyDescent="0.25">
      <c r="A25" s="288"/>
      <c r="B25" s="282"/>
      <c r="C25" s="291"/>
      <c r="D25" s="282"/>
      <c r="E25" s="291"/>
      <c r="F25" s="282"/>
      <c r="G25" s="291"/>
      <c r="H25" s="282"/>
      <c r="I25" s="291"/>
      <c r="J25" s="282"/>
      <c r="K25" s="271"/>
    </row>
    <row r="26" spans="1:12" x14ac:dyDescent="0.25">
      <c r="A26" s="288"/>
      <c r="B26" s="282"/>
      <c r="C26" s="291"/>
      <c r="D26" s="282"/>
      <c r="E26" s="291"/>
      <c r="F26" s="282"/>
      <c r="G26" s="291"/>
      <c r="H26" s="282"/>
      <c r="I26" s="291"/>
      <c r="J26" s="282"/>
      <c r="K26" s="271"/>
    </row>
    <row r="27" spans="1:12" x14ac:dyDescent="0.25">
      <c r="A27" s="288"/>
      <c r="B27" s="282"/>
      <c r="C27" s="288"/>
      <c r="D27" s="282"/>
      <c r="E27" s="288"/>
      <c r="F27" s="282"/>
      <c r="G27" s="291"/>
      <c r="H27" s="282"/>
      <c r="I27" s="291"/>
      <c r="J27" s="282"/>
      <c r="K27" s="271"/>
    </row>
    <row r="28" spans="1:12" x14ac:dyDescent="0.25">
      <c r="A28" s="285" t="s">
        <v>63</v>
      </c>
      <c r="B28" s="284">
        <f>SUM(B20:B27)</f>
        <v>0</v>
      </c>
      <c r="C28" s="285" t="s">
        <v>63</v>
      </c>
      <c r="D28" s="284">
        <f>SUM(D20:D27)</f>
        <v>242219</v>
      </c>
      <c r="E28" s="285" t="s">
        <v>63</v>
      </c>
      <c r="F28" s="329">
        <f>SUM(F20:F27)</f>
        <v>0</v>
      </c>
      <c r="G28" s="285" t="s">
        <v>63</v>
      </c>
      <c r="H28" s="329">
        <f>SUM(H20:H27)</f>
        <v>0</v>
      </c>
      <c r="I28" s="285" t="s">
        <v>63</v>
      </c>
      <c r="J28" s="284">
        <f>SUM(J20:J27)</f>
        <v>0</v>
      </c>
      <c r="K28" s="284">
        <f>SUM(B28+D28+F28+H28+J28)</f>
        <v>242219</v>
      </c>
    </row>
    <row r="29" spans="1:12" x14ac:dyDescent="0.25">
      <c r="A29" s="285" t="s">
        <v>185</v>
      </c>
      <c r="B29" s="284">
        <f>SUM(B18-B28)</f>
        <v>-2</v>
      </c>
      <c r="C29" s="285" t="s">
        <v>185</v>
      </c>
      <c r="D29" s="284">
        <f>SUM(D18-D28)</f>
        <v>-34679</v>
      </c>
      <c r="E29" s="285" t="s">
        <v>185</v>
      </c>
      <c r="F29" s="284">
        <f>SUM(F18-F28)</f>
        <v>0</v>
      </c>
      <c r="G29" s="285" t="s">
        <v>185</v>
      </c>
      <c r="H29" s="284">
        <f>SUM(H18-H28)</f>
        <v>0</v>
      </c>
      <c r="I29" s="285" t="s">
        <v>185</v>
      </c>
      <c r="J29" s="284">
        <f>SUM(J18-J28)</f>
        <v>0</v>
      </c>
      <c r="K29" s="294">
        <f>SUM(B29+D29+F29+H29+J29)</f>
        <v>-34681</v>
      </c>
      <c r="L29" s="28" t="s">
        <v>234</v>
      </c>
    </row>
    <row r="30" spans="1:12" x14ac:dyDescent="0.25">
      <c r="A30" s="285"/>
      <c r="B30" s="316" t="str">
        <f>IF(B29&lt;0,"See Tab B","")</f>
        <v>See Tab B</v>
      </c>
      <c r="C30" s="285"/>
      <c r="D30" s="316" t="str">
        <f>IF(D29&lt;0,"See Tab B","")</f>
        <v>See Tab B</v>
      </c>
      <c r="E30" s="285"/>
      <c r="F30" s="316" t="str">
        <f>IF(F29&lt;0,"See Tab B","")</f>
        <v/>
      </c>
      <c r="G30" s="156"/>
      <c r="H30" s="316" t="str">
        <f>IF(H29&lt;0,"See Tab B","")</f>
        <v/>
      </c>
      <c r="I30" s="156"/>
      <c r="J30" s="316" t="str">
        <f>IF(J29&lt;0,"See Tab B","")</f>
        <v/>
      </c>
      <c r="K30" s="294">
        <f>SUM(K7+K17-K28)</f>
        <v>-34681</v>
      </c>
      <c r="L30" s="28" t="s">
        <v>234</v>
      </c>
    </row>
    <row r="31" spans="1:12" x14ac:dyDescent="0.25">
      <c r="A31" s="156"/>
      <c r="B31" s="161"/>
      <c r="C31" s="156"/>
      <c r="D31" s="271"/>
      <c r="E31" s="156"/>
      <c r="F31" s="156"/>
      <c r="G31" s="29" t="s">
        <v>235</v>
      </c>
      <c r="H31" s="29"/>
      <c r="I31" s="29"/>
      <c r="J31" s="29"/>
      <c r="K31" s="156"/>
    </row>
    <row r="32" spans="1:12" x14ac:dyDescent="0.25">
      <c r="A32" s="612" t="s">
        <v>375</v>
      </c>
      <c r="B32" s="594"/>
      <c r="C32" s="594"/>
      <c r="D32" s="594"/>
      <c r="E32" s="613"/>
      <c r="F32" s="613"/>
      <c r="G32" s="613"/>
      <c r="H32" s="613"/>
      <c r="I32" s="613"/>
      <c r="J32" s="613"/>
      <c r="K32" s="613"/>
    </row>
    <row r="33" spans="1:11" x14ac:dyDescent="0.25">
      <c r="A33" s="156"/>
      <c r="B33" s="161"/>
      <c r="C33" s="156"/>
      <c r="D33" s="156"/>
      <c r="E33" s="170" t="s">
        <v>66</v>
      </c>
      <c r="F33" s="585">
        <v>17</v>
      </c>
      <c r="G33" s="156"/>
      <c r="H33" s="156"/>
      <c r="I33" s="156"/>
      <c r="J33" s="156"/>
      <c r="K33" s="156"/>
    </row>
    <row r="34" spans="1:11" x14ac:dyDescent="0.25">
      <c r="B34" s="295"/>
    </row>
    <row r="35" spans="1:11" x14ac:dyDescent="0.25">
      <c r="B35" s="295"/>
    </row>
    <row r="36" spans="1:11" x14ac:dyDescent="0.25">
      <c r="B36" s="295"/>
    </row>
    <row r="37" spans="1:11" x14ac:dyDescent="0.25">
      <c r="B37" s="295"/>
    </row>
    <row r="38" spans="1:11" x14ac:dyDescent="0.25">
      <c r="B38" s="295"/>
    </row>
    <row r="39" spans="1:11" x14ac:dyDescent="0.25">
      <c r="B39" s="295"/>
    </row>
    <row r="40" spans="1:11" x14ac:dyDescent="0.25">
      <c r="B40" s="295"/>
    </row>
    <row r="41" spans="1:11" x14ac:dyDescent="0.25">
      <c r="B41" s="295"/>
    </row>
  </sheetData>
  <mergeCells count="6">
    <mergeCell ref="A32:K32"/>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tabSelected="1" zoomScale="75" workbookViewId="0">
      <selection activeCell="A43" sqref="A43"/>
    </sheetView>
  </sheetViews>
  <sheetFormatPr defaultColWidth="8.9140625" defaultRowHeight="15.5" x14ac:dyDescent="0.25"/>
  <cols>
    <col min="1" max="1" width="20.6640625" style="28" customWidth="1"/>
    <col min="2" max="2" width="15.6640625" style="28" customWidth="1"/>
    <col min="3" max="3" width="10.6640625" style="28" customWidth="1"/>
    <col min="4" max="4" width="15.6640625" style="28" customWidth="1"/>
    <col min="5" max="5" width="10.6640625" style="28" customWidth="1"/>
    <col min="6" max="6" width="15.6640625" style="28" customWidth="1"/>
    <col min="7" max="7" width="12.6640625" style="28" customWidth="1"/>
    <col min="8" max="8" width="10.6640625" style="28" customWidth="1"/>
    <col min="9" max="9" width="8.9140625" style="28"/>
    <col min="10" max="10" width="12.4140625" style="28" customWidth="1"/>
    <col min="11" max="11" width="12.33203125" style="28" customWidth="1"/>
    <col min="12" max="12" width="10.58203125" style="28" customWidth="1"/>
    <col min="13" max="13" width="12.08203125" style="28" customWidth="1"/>
    <col min="14" max="16384" width="8.9140625" style="28"/>
  </cols>
  <sheetData>
    <row r="1" spans="1:9" x14ac:dyDescent="0.25">
      <c r="A1" s="620" t="s">
        <v>108</v>
      </c>
      <c r="B1" s="620"/>
      <c r="C1" s="620"/>
      <c r="D1" s="620"/>
      <c r="E1" s="620"/>
      <c r="F1" s="620"/>
      <c r="G1" s="620"/>
      <c r="H1" s="620"/>
      <c r="I1" s="296"/>
    </row>
    <row r="2" spans="1:9" ht="18" customHeight="1" x14ac:dyDescent="0.25">
      <c r="A2" s="32"/>
      <c r="B2" s="32"/>
      <c r="C2" s="32"/>
      <c r="D2" s="32"/>
      <c r="E2" s="32"/>
      <c r="F2" s="32"/>
      <c r="G2" s="32"/>
      <c r="H2" s="32">
        <f>inputPrYr!$C$5</f>
        <v>2014</v>
      </c>
    </row>
    <row r="3" spans="1:9" ht="18" customHeight="1" x14ac:dyDescent="0.25">
      <c r="A3" s="611" t="s">
        <v>67</v>
      </c>
      <c r="B3" s="611"/>
      <c r="C3" s="611"/>
      <c r="D3" s="611"/>
      <c r="E3" s="611"/>
      <c r="F3" s="611"/>
      <c r="G3" s="611"/>
      <c r="H3" s="611"/>
    </row>
    <row r="4" spans="1:9" x14ac:dyDescent="0.25">
      <c r="A4" s="609" t="str">
        <f>inputPrYr!D2</f>
        <v>City of Eureka</v>
      </c>
      <c r="B4" s="609"/>
      <c r="C4" s="609"/>
      <c r="D4" s="609"/>
      <c r="E4" s="609"/>
      <c r="F4" s="609"/>
      <c r="G4" s="609"/>
      <c r="H4" s="609"/>
    </row>
    <row r="5" spans="1:9" ht="18" customHeight="1" x14ac:dyDescent="0.35">
      <c r="A5" s="667" t="str">
        <f>CONCATENATE("will meet on ",inputBudSum!B7," at ",inputBudSum!B9," at ",inputBudSum!B11," for the purpose of hearing and")</f>
        <v>will meet on August 12, 2013 at 7:00 PM at Memorial Hall for the purpose of hearing and</v>
      </c>
      <c r="B5" s="667"/>
      <c r="C5" s="667"/>
      <c r="D5" s="667"/>
      <c r="E5" s="667"/>
      <c r="F5" s="667"/>
      <c r="G5" s="667"/>
      <c r="H5" s="667"/>
    </row>
    <row r="6" spans="1:9" ht="16.5" customHeight="1" x14ac:dyDescent="0.25">
      <c r="A6" s="611" t="s">
        <v>259</v>
      </c>
      <c r="B6" s="611"/>
      <c r="C6" s="611"/>
      <c r="D6" s="611"/>
      <c r="E6" s="611"/>
      <c r="F6" s="611"/>
      <c r="G6" s="611"/>
      <c r="H6" s="611"/>
    </row>
    <row r="7" spans="1:9" ht="16.5" customHeight="1" x14ac:dyDescent="0.25">
      <c r="A7" s="666" t="str">
        <f>CONCATENATE("Detailed budget information is available at ",inputBudSum!B14," and will be available at this hearing.")</f>
        <v>Detailed budget information is available at Memorial Hall and will be available at this hearing.</v>
      </c>
      <c r="B7" s="666"/>
      <c r="C7" s="666"/>
      <c r="D7" s="666"/>
      <c r="E7" s="666"/>
      <c r="F7" s="666"/>
      <c r="G7" s="666"/>
      <c r="H7" s="666"/>
    </row>
    <row r="8" spans="1:9" x14ac:dyDescent="0.25">
      <c r="A8" s="38" t="s">
        <v>109</v>
      </c>
      <c r="B8" s="39"/>
      <c r="C8" s="39"/>
      <c r="D8" s="39"/>
      <c r="E8" s="39"/>
      <c r="F8" s="39"/>
      <c r="G8" s="39"/>
      <c r="H8" s="39"/>
    </row>
    <row r="9" spans="1:9" x14ac:dyDescent="0.25">
      <c r="A9" s="121" t="str">
        <f>CONCATENATE("Proposed Budget ",H2," Expenditures and Amount of ",H2-1," Ad Valorem Tax establish the maximum limits of the ",H2," budget.")</f>
        <v>Proposed Budget 2014 Expenditures and Amount of 2013 Ad Valorem Tax establish the maximum limits of the 2014 budget.</v>
      </c>
      <c r="B9" s="39"/>
      <c r="C9" s="39"/>
      <c r="D9" s="39"/>
      <c r="E9" s="39"/>
      <c r="F9" s="39"/>
      <c r="G9" s="39"/>
      <c r="H9" s="39"/>
    </row>
    <row r="10" spans="1:9" x14ac:dyDescent="0.25">
      <c r="A10" s="121" t="s">
        <v>171</v>
      </c>
      <c r="B10" s="39"/>
      <c r="C10" s="39"/>
      <c r="D10" s="39"/>
      <c r="E10" s="39"/>
      <c r="F10" s="39"/>
      <c r="G10" s="39"/>
      <c r="H10" s="39"/>
    </row>
    <row r="11" spans="1:9" x14ac:dyDescent="0.25">
      <c r="A11" s="32"/>
      <c r="B11" s="265"/>
      <c r="C11" s="265"/>
      <c r="D11" s="265"/>
      <c r="E11" s="265"/>
      <c r="F11" s="265"/>
      <c r="G11" s="265"/>
      <c r="H11" s="265"/>
    </row>
    <row r="12" spans="1:9" x14ac:dyDescent="0.25">
      <c r="A12" s="32"/>
      <c r="B12" s="297" t="str">
        <f>CONCATENATE("Prior Year Actual for ",H2-2,"")</f>
        <v>Prior Year Actual for 2012</v>
      </c>
      <c r="C12" s="124"/>
      <c r="D12" s="297" t="str">
        <f>CONCATENATE("Current Year Estimate for ",H2-1,"")</f>
        <v>Current Year Estimate for 2013</v>
      </c>
      <c r="E12" s="124"/>
      <c r="F12" s="122" t="str">
        <f>CONCATENATE("Proposed Budget Year for ",H2,"")</f>
        <v>Proposed Budget Year for 2014</v>
      </c>
      <c r="G12" s="123"/>
      <c r="H12" s="124"/>
    </row>
    <row r="13" spans="1:9" ht="21" customHeight="1" x14ac:dyDescent="0.35">
      <c r="A13" s="32"/>
      <c r="B13" s="258"/>
      <c r="C13" s="127" t="s">
        <v>68</v>
      </c>
      <c r="D13" s="127"/>
      <c r="E13" s="127" t="s">
        <v>68</v>
      </c>
      <c r="F13" s="436" t="s">
        <v>5</v>
      </c>
      <c r="G13" s="127" t="str">
        <f>CONCATENATE("Amount of ",H2-1,"")</f>
        <v>Amount of 2013</v>
      </c>
      <c r="H13" s="127" t="s">
        <v>222</v>
      </c>
    </row>
    <row r="14" spans="1:9" x14ac:dyDescent="0.35">
      <c r="A14" s="47" t="s">
        <v>69</v>
      </c>
      <c r="B14" s="131" t="s">
        <v>70</v>
      </c>
      <c r="C14" s="131" t="s">
        <v>71</v>
      </c>
      <c r="D14" s="131" t="s">
        <v>70</v>
      </c>
      <c r="E14" s="131" t="s">
        <v>71</v>
      </c>
      <c r="F14" s="437" t="s">
        <v>272</v>
      </c>
      <c r="G14" s="132" t="s">
        <v>51</v>
      </c>
      <c r="H14" s="131" t="s">
        <v>71</v>
      </c>
    </row>
    <row r="15" spans="1:9" x14ac:dyDescent="0.25">
      <c r="A15" s="70" t="str">
        <f>inputPrYr!B17</f>
        <v>General</v>
      </c>
      <c r="B15" s="70">
        <f>IF(general!$C$110&lt;&gt;0,general!$C$110,"  ")</f>
        <v>1440606</v>
      </c>
      <c r="C15" s="298">
        <f>IF(inputPrYr!D84&gt;0,inputPrYr!D84,"  ")</f>
        <v>41.085000000000001</v>
      </c>
      <c r="D15" s="70">
        <f>IF(general!$D$110&lt;&gt;0,general!$D$110,"  ")</f>
        <v>1511003</v>
      </c>
      <c r="E15" s="298">
        <f>IF(inputOth!D21&gt;0,inputOth!D21,"  ")</f>
        <v>42.548999999999999</v>
      </c>
      <c r="F15" s="70">
        <f>IF(general!$E$110&lt;&gt;0,general!$E$110,"  ")</f>
        <v>1760868</v>
      </c>
      <c r="G15" s="70">
        <f>IF(general!$E$117&lt;&gt;0,general!$E$117,"  ")</f>
        <v>445505</v>
      </c>
      <c r="H15" s="298">
        <f>IF(general!E117&gt;0,ROUND(G15/$F$34*1000,3),"")</f>
        <v>42.896999999999998</v>
      </c>
    </row>
    <row r="16" spans="1:9" x14ac:dyDescent="0.25">
      <c r="A16" s="70" t="str">
        <f>inputPrYr!B18</f>
        <v>Bond and Interest</v>
      </c>
      <c r="B16" s="70">
        <f>IF('Bond &amp; Int -library'!C33&lt;&gt;0,'Bond &amp; Int -library'!C33,"  ")</f>
        <v>82838</v>
      </c>
      <c r="C16" s="298">
        <f>IF(inputPrYr!D85&gt;0,inputPrYr!D85,"  ")</f>
        <v>6.4489999999999998</v>
      </c>
      <c r="D16" s="70">
        <f>IF('Bond &amp; Int -library'!D33&lt;&gt;0,'Bond &amp; Int -library'!D33,"  ")</f>
        <v>83583</v>
      </c>
      <c r="E16" s="298">
        <f>IF(inputOth!D22&gt;0,inputOth!D22,"  ")</f>
        <v>6.4279999999999999</v>
      </c>
      <c r="F16" s="70">
        <f>IF('Bond &amp; Int -library'!E33&lt;&gt;0,'Bond &amp; Int -library'!E33,"  ")</f>
        <v>117284</v>
      </c>
      <c r="G16" s="70">
        <f>IF('Bond &amp; Int -library'!E40&lt;&gt;0,'Bond &amp; Int -library'!E40,"  ")</f>
        <v>63050</v>
      </c>
      <c r="H16" s="298">
        <f>IF('Bond &amp; Int -library'!E40&gt;0,ROUND(G16/$F$34*1000,3),"  ")</f>
        <v>6.0709999999999997</v>
      </c>
    </row>
    <row r="17" spans="1:13" x14ac:dyDescent="0.25">
      <c r="A17" s="70" t="str">
        <f>IF(inputPrYr!$B19&gt;"  ",(inputPrYr!$B19),"  ")</f>
        <v>Library</v>
      </c>
      <c r="B17" s="70">
        <f>IF('Bond &amp; Int -library'!C73&lt;&gt;0,'Bond &amp; Int -library'!C73,"  ")</f>
        <v>77010</v>
      </c>
      <c r="C17" s="298">
        <f>IF(inputPrYr!D86&gt;0,inputPrYr!D86,"  ")</f>
        <v>5.9880000000000004</v>
      </c>
      <c r="D17" s="70">
        <f>IF('Bond &amp; Int -library'!D73&lt;&gt;0,'Bond &amp; Int -library'!D73,"  ")</f>
        <v>81206</v>
      </c>
      <c r="E17" s="298">
        <f>IF(inputOth!D23&gt;0,inputOth!D23,"  ")</f>
        <v>5.9909999999999997</v>
      </c>
      <c r="F17" s="70">
        <f>IF('Bond &amp; Int -library'!E73&lt;&gt;0,'Bond &amp; Int -library'!E73,"  ")</f>
        <v>85384</v>
      </c>
      <c r="G17" s="70">
        <f>IF('Bond &amp; Int -library'!E80&lt;&gt;0,'Bond &amp; Int -library'!E80,"  ")</f>
        <v>62313</v>
      </c>
      <c r="H17" s="298">
        <f>IF('Bond &amp; Int -library'!E80&lt;&gt;0,ROUND(G17/$F$34*1000,3),"  ")</f>
        <v>6</v>
      </c>
    </row>
    <row r="18" spans="1:13" x14ac:dyDescent="0.25">
      <c r="A18" s="70" t="str">
        <f>IF(inputPrYr!$B34&gt;"  ",(inputPrYr!$B34),"  ")</f>
        <v>Special Highway</v>
      </c>
      <c r="B18" s="70">
        <f>IF('Sp Hiway &amp; Sp Parks'!$C$30&gt;0,'Sp Hiway &amp; Sp Parks'!$C$30,"  ")</f>
        <v>81139</v>
      </c>
      <c r="C18" s="48"/>
      <c r="D18" s="70">
        <f>IF('Sp Hiway &amp; Sp Parks'!$D$30&gt;0,'Sp Hiway &amp; Sp Parks'!$D$30,"  ")</f>
        <v>72993</v>
      </c>
      <c r="E18" s="48"/>
      <c r="F18" s="70">
        <f>IF('Sp Hiway &amp; Sp Parks'!$E$30&gt;0,'Sp Hiway &amp; Sp Parks'!$E$30,"  ")</f>
        <v>68150</v>
      </c>
      <c r="G18" s="70"/>
      <c r="H18" s="298"/>
    </row>
    <row r="19" spans="1:13" x14ac:dyDescent="0.25">
      <c r="A19" s="70" t="str">
        <f>IF(inputPrYr!$B35&gt;"  ",(inputPrYr!$B35),"  ")</f>
        <v>Special Parks &amp; Recreation</v>
      </c>
      <c r="B19" s="70">
        <f>IF('Sp Hiway &amp; Sp Parks'!$C$61&gt;0,'Sp Hiway &amp; Sp Parks'!$C$61,"  ")</f>
        <v>4972</v>
      </c>
      <c r="C19" s="48"/>
      <c r="D19" s="70">
        <f>IF('Sp Hiway &amp; Sp Parks'!$D$61&gt;0,'Sp Hiway &amp; Sp Parks'!$D$61,"  ")</f>
        <v>2877</v>
      </c>
      <c r="E19" s="48"/>
      <c r="F19" s="70">
        <f>IF('Sp Hiway &amp; Sp Parks'!$E$61&gt;0,'Sp Hiway &amp; Sp Parks'!$E$61,"  ")</f>
        <v>7148</v>
      </c>
      <c r="G19" s="70"/>
      <c r="H19" s="298"/>
    </row>
    <row r="20" spans="1:13" x14ac:dyDescent="0.25">
      <c r="A20" s="70" t="str">
        <f>IF(inputPrYr!$B36&gt;"  ",(inputPrYr!$B36),"  ")</f>
        <v>Promotion</v>
      </c>
      <c r="B20" s="70">
        <f>IF(Promotion!$C$28&gt;0,Promotion!$C$28,"  ")</f>
        <v>9027</v>
      </c>
      <c r="C20" s="48"/>
      <c r="D20" s="70">
        <f>IF(Promotion!$D$28&gt;0,Promotion!$D$28,"  ")</f>
        <v>6678</v>
      </c>
      <c r="E20" s="48"/>
      <c r="F20" s="70">
        <f>IF(Promotion!$E$28&gt;0,Promotion!$E$28,"  ")</f>
        <v>8232</v>
      </c>
      <c r="G20" s="70"/>
      <c r="H20" s="298"/>
    </row>
    <row r="21" spans="1:13" x14ac:dyDescent="0.25">
      <c r="A21" s="70" t="str">
        <f>IF(inputPrYr!$B38&gt;"  ",(inputPrYr!$B38),"  ")</f>
        <v>Water Revolving Loan</v>
      </c>
      <c r="B21" s="70">
        <f>IF('Wtr Revolve &amp; Sewer Revolve'!$C$28&gt;0,'Wtr Revolve &amp; Sewer Revolve'!$C$28,"  ")</f>
        <v>33202</v>
      </c>
      <c r="C21" s="48"/>
      <c r="D21" s="70">
        <f>IF('Wtr Revolve &amp; Sewer Revolve'!$D$28&gt;0,'Wtr Revolve &amp; Sewer Revolve'!$D$28,"  ")</f>
        <v>33363</v>
      </c>
      <c r="E21" s="48"/>
      <c r="F21" s="70">
        <f>IF('Wtr Revolve &amp; Sewer Revolve'!$E$28&gt;0,'Wtr Revolve &amp; Sewer Revolve'!$E$28,"  ")</f>
        <v>35872</v>
      </c>
      <c r="G21" s="48"/>
      <c r="H21" s="48"/>
    </row>
    <row r="22" spans="1:13" x14ac:dyDescent="0.25">
      <c r="A22" s="70" t="str">
        <f>IF(inputPrYr!$B39&gt;"  ",(inputPrYr!$B39),"  ")</f>
        <v>Sewer Revolving Loan</v>
      </c>
      <c r="B22" s="70">
        <f>IF('Wtr Revolve &amp; Sewer Revolve'!$C$59&gt;0,'Wtr Revolve &amp; Sewer Revolve'!$C$59,"  ")</f>
        <v>240540</v>
      </c>
      <c r="C22" s="48"/>
      <c r="D22" s="70">
        <f>IF('Wtr Revolve &amp; Sewer Revolve'!$D$59&gt;0,'Wtr Revolve &amp; Sewer Revolve'!$D$59,"  ")</f>
        <v>240540</v>
      </c>
      <c r="E22" s="48"/>
      <c r="F22" s="70">
        <f>IF('Wtr Revolve &amp; Sewer Revolve'!$E$59&gt;0,'Wtr Revolve &amp; Sewer Revolve'!$E$59,"  ")</f>
        <v>240938</v>
      </c>
      <c r="G22" s="48"/>
      <c r="H22" s="48"/>
    </row>
    <row r="23" spans="1:13" x14ac:dyDescent="0.25">
      <c r="A23" s="70" t="str">
        <f>IF(inputPrYr!$B40&gt;"  ",(inputPrYr!$B40),"  ")</f>
        <v>Employee Health Benefits</v>
      </c>
      <c r="B23" s="70">
        <f>IF('Employ Ben &amp; sales Tax'!$C$28&gt;0,'Employ Ben &amp; sales Tax'!$C$28,"  ")</f>
        <v>24000</v>
      </c>
      <c r="C23" s="48"/>
      <c r="D23" s="70" t="str">
        <f>IF('Employ Ben &amp; sales Tax'!$D$28&gt;0,'Employ Ben &amp; sales Tax'!$D$28,"  ")</f>
        <v xml:space="preserve">  </v>
      </c>
      <c r="E23" s="48"/>
      <c r="F23" s="70">
        <f>IF('Employ Ben &amp; sales Tax'!$E$28&gt;0,'Employ Ben &amp; sales Tax'!$E$28,"  ")</f>
        <v>10474</v>
      </c>
      <c r="G23" s="48"/>
      <c r="H23" s="48"/>
    </row>
    <row r="24" spans="1:13" x14ac:dyDescent="0.25">
      <c r="A24" s="70" t="str">
        <f>IF(inputPrYr!$B41&gt;"  ",(inputPrYr!$B41),"  ")</f>
        <v>Sales Tax Revenue</v>
      </c>
      <c r="B24" s="70">
        <f>IF('Employ Ben &amp; sales Tax'!$C$59&gt;0,'Employ Ben &amp; sales Tax'!$C$59,"  ")</f>
        <v>208000</v>
      </c>
      <c r="C24" s="48"/>
      <c r="D24" s="70">
        <f>IF('Employ Ben &amp; sales Tax'!$D$59&gt;0,'Employ Ben &amp; sales Tax'!$D$59,"  ")</f>
        <v>203408</v>
      </c>
      <c r="E24" s="48"/>
      <c r="F24" s="70">
        <f>IF('Employ Ben &amp; sales Tax'!$E$59&gt;0,'Employ Ben &amp; sales Tax'!$E$59,"  ")</f>
        <v>1163512</v>
      </c>
      <c r="G24" s="48"/>
      <c r="H24" s="48"/>
    </row>
    <row r="25" spans="1:13" x14ac:dyDescent="0.25">
      <c r="A25" s="70" t="str">
        <f>IF(inputPrYr!$B42&gt;"  ",(inputPrYr!$B42),"  ")</f>
        <v>Sewer Utility</v>
      </c>
      <c r="B25" s="70">
        <f>IF(Sewer!$C$30&gt;0,Sewer!$C$30,"  ")</f>
        <v>334773</v>
      </c>
      <c r="C25" s="48"/>
      <c r="D25" s="70">
        <f>IF(Sewer!$D$30&gt;0,Sewer!$D$30,"  ")</f>
        <v>343524</v>
      </c>
      <c r="E25" s="48"/>
      <c r="F25" s="70">
        <f>IF(Sewer!$E$30&gt;0,Sewer!$E$30,"  ")</f>
        <v>402862</v>
      </c>
      <c r="G25" s="48"/>
      <c r="H25" s="48"/>
    </row>
    <row r="26" spans="1:13" x14ac:dyDescent="0.25">
      <c r="A26" s="70" t="str">
        <f>IF(inputPrYr!$B44&gt;"  ",(inputPrYr!$B44),"  ")</f>
        <v>Water Utility</v>
      </c>
      <c r="B26" s="70">
        <f>IF(Water!$C$32&gt;0,Water!$C$32,"  ")</f>
        <v>927402</v>
      </c>
      <c r="C26" s="48"/>
      <c r="D26" s="70">
        <f>IF(Water!$D$32&gt;0,Water!$D$32,"  ")</f>
        <v>893566</v>
      </c>
      <c r="E26" s="48"/>
      <c r="F26" s="70">
        <f>IF(Water!$E$32&gt;0,Water!$E$32,"  ")</f>
        <v>1034117</v>
      </c>
      <c r="G26" s="48"/>
      <c r="H26" s="48"/>
    </row>
    <row r="27" spans="1:13" x14ac:dyDescent="0.35">
      <c r="A27" s="70" t="str">
        <f>IF(inputPrYr!$B57&gt;"  ",(NonBudA!$A3),"  ")</f>
        <v>Non-Budgeted Funds-A</v>
      </c>
      <c r="B27" s="70">
        <f>IF(NonBudA!$K$28&gt;0,NonBudA!$K$28,"  ")</f>
        <v>462022</v>
      </c>
      <c r="C27" s="48"/>
      <c r="D27" s="70"/>
      <c r="E27" s="48"/>
      <c r="F27" s="70"/>
      <c r="G27" s="48"/>
      <c r="H27" s="48"/>
      <c r="J27" s="397" t="str">
        <f>CONCATENATE("",H2," Tax Levy Fund Expenditures Must Be")</f>
        <v>2014 Tax Levy Fund Expenditures Must Be</v>
      </c>
      <c r="K27" s="398"/>
      <c r="L27" s="398"/>
      <c r="M27" s="395"/>
    </row>
    <row r="28" spans="1:13" ht="16" thickBot="1" x14ac:dyDescent="0.4">
      <c r="A28" s="70" t="str">
        <f>IF(inputPrYr!$B63&gt;"  ",(NonBudB!$A3),"  ")</f>
        <v>Non-Budgeted Funds-B</v>
      </c>
      <c r="B28" s="70">
        <f>IF(NonBudB!$K$28&gt;0,NonBudB!$K$28,"  ")</f>
        <v>242219</v>
      </c>
      <c r="C28" s="48"/>
      <c r="D28" s="70"/>
      <c r="E28" s="48"/>
      <c r="F28" s="70"/>
      <c r="G28" s="48"/>
      <c r="H28" s="48"/>
      <c r="J28" s="397" t="e">
        <f>IF(M28&gt;0,"Increased By:","")</f>
        <v>#REF!</v>
      </c>
      <c r="K28" s="398"/>
      <c r="L28" s="398"/>
      <c r="M28" s="442" t="e">
        <f>IF(M33&lt;0,M33*-1,0)</f>
        <v>#REF!</v>
      </c>
    </row>
    <row r="29" spans="1:13" x14ac:dyDescent="0.3">
      <c r="A29" s="126" t="s">
        <v>280</v>
      </c>
      <c r="B29" s="432">
        <f>SUM(B15:B28)</f>
        <v>4167750</v>
      </c>
      <c r="C29" s="433">
        <f>SUM(C15:C17)</f>
        <v>53.521999999999998</v>
      </c>
      <c r="D29" s="432">
        <f>SUM(D15:D28)</f>
        <v>3472741</v>
      </c>
      <c r="E29" s="433">
        <f>SUM(E15:E17)</f>
        <v>54.967999999999996</v>
      </c>
      <c r="F29" s="432">
        <f>SUM(F15:F28)</f>
        <v>4934841</v>
      </c>
      <c r="G29" s="432">
        <f>SUM(G15:G28)</f>
        <v>570868</v>
      </c>
      <c r="H29" s="433">
        <f>SUM(H15:H17)</f>
        <v>54.967999999999996</v>
      </c>
      <c r="J29" s="661" t="str">
        <f>CONCATENATE("Impact On Keeping The Same Mill Rate As For ",H2-1,"")</f>
        <v>Impact On Keeping The Same Mill Rate As For 2013</v>
      </c>
      <c r="K29" s="664"/>
      <c r="L29" s="664"/>
      <c r="M29" s="665"/>
    </row>
    <row r="30" spans="1:13" x14ac:dyDescent="0.35">
      <c r="A30" s="35" t="s">
        <v>72</v>
      </c>
      <c r="B30" s="386">
        <f>transfers!D26</f>
        <v>881900</v>
      </c>
      <c r="C30" s="431"/>
      <c r="D30" s="386">
        <f>transfers!E26</f>
        <v>897312</v>
      </c>
      <c r="E30" s="311"/>
      <c r="F30" s="386">
        <f>transfers!F26</f>
        <v>858049</v>
      </c>
      <c r="G30" s="429"/>
      <c r="H30" s="311"/>
      <c r="I30" s="403"/>
      <c r="J30" s="394"/>
      <c r="K30" s="390"/>
      <c r="L30" s="390"/>
      <c r="M30" s="395"/>
    </row>
    <row r="31" spans="1:13" ht="16" thickBot="1" x14ac:dyDescent="0.4">
      <c r="A31" s="35" t="s">
        <v>73</v>
      </c>
      <c r="B31" s="308">
        <f>B29-B30</f>
        <v>3285850</v>
      </c>
      <c r="C31" s="32"/>
      <c r="D31" s="308">
        <f>D29-D30</f>
        <v>2575429</v>
      </c>
      <c r="E31" s="32"/>
      <c r="F31" s="308">
        <f>F29-F30</f>
        <v>4076792</v>
      </c>
      <c r="G31" s="32"/>
      <c r="H31" s="32"/>
      <c r="J31" s="394" t="str">
        <f>CONCATENATE("",H2," Ad Valorem Tax Revenue:")</f>
        <v>2014 Ad Valorem Tax Revenue:</v>
      </c>
      <c r="K31" s="390"/>
      <c r="L31" s="390"/>
      <c r="M31" s="391">
        <f>G29</f>
        <v>570868</v>
      </c>
    </row>
    <row r="32" spans="1:13" ht="16" thickTop="1" x14ac:dyDescent="0.35">
      <c r="A32" s="35" t="s">
        <v>74</v>
      </c>
      <c r="B32" s="386">
        <f>inputPrYr!$E$99</f>
        <v>530923</v>
      </c>
      <c r="C32" s="180"/>
      <c r="D32" s="386">
        <f>inputPrYr!$E$31</f>
        <v>556650</v>
      </c>
      <c r="E32" s="180"/>
      <c r="F32" s="299" t="s">
        <v>39</v>
      </c>
      <c r="G32" s="32"/>
      <c r="H32" s="32"/>
      <c r="J32" s="394" t="str">
        <f>CONCATENATE("",H2-1," Ad Valorem Tax Revenue:")</f>
        <v>2013 Ad Valorem Tax Revenue:</v>
      </c>
      <c r="K32" s="390"/>
      <c r="L32" s="390"/>
      <c r="M32" s="402" t="e">
        <f>ROUND(F34*#REF!/1000,0)</f>
        <v>#REF!</v>
      </c>
    </row>
    <row r="33" spans="1:13" x14ac:dyDescent="0.35">
      <c r="A33" s="35" t="s">
        <v>75</v>
      </c>
      <c r="B33" s="182"/>
      <c r="C33" s="32"/>
      <c r="D33" s="387"/>
      <c r="E33" s="184"/>
      <c r="F33" s="135"/>
      <c r="G33" s="32"/>
      <c r="H33" s="32"/>
      <c r="J33" s="399" t="s">
        <v>273</v>
      </c>
      <c r="K33" s="400"/>
      <c r="L33" s="400"/>
      <c r="M33" s="392" t="e">
        <f>SUM(M31-M32)</f>
        <v>#REF!</v>
      </c>
    </row>
    <row r="34" spans="1:13" x14ac:dyDescent="0.35">
      <c r="A34" s="35" t="s">
        <v>76</v>
      </c>
      <c r="B34" s="386">
        <f>inputPrYr!$E$100</f>
        <v>9919790</v>
      </c>
      <c r="C34" s="59"/>
      <c r="D34" s="386">
        <f>inputOth!$E$36</f>
        <v>10127002</v>
      </c>
      <c r="E34" s="59"/>
      <c r="F34" s="386">
        <f>inputOth!$E$7</f>
        <v>10385454</v>
      </c>
      <c r="G34" s="32"/>
      <c r="H34" s="32"/>
      <c r="J34" s="393"/>
      <c r="K34" s="393"/>
      <c r="L34" s="393"/>
      <c r="M34" s="401"/>
    </row>
    <row r="35" spans="1:13" x14ac:dyDescent="0.3">
      <c r="A35" s="35" t="s">
        <v>77</v>
      </c>
      <c r="B35" s="32"/>
      <c r="C35" s="32"/>
      <c r="D35" s="32"/>
      <c r="E35" s="32"/>
      <c r="F35" s="32"/>
      <c r="G35" s="32"/>
      <c r="H35" s="32"/>
      <c r="J35" s="661" t="s">
        <v>274</v>
      </c>
      <c r="K35" s="662"/>
      <c r="L35" s="662"/>
      <c r="M35" s="663"/>
    </row>
    <row r="36" spans="1:13" x14ac:dyDescent="0.35">
      <c r="A36" s="35" t="s">
        <v>78</v>
      </c>
      <c r="B36" s="300">
        <f>$H$2-3</f>
        <v>2011</v>
      </c>
      <c r="C36" s="32"/>
      <c r="D36" s="300">
        <f>$H$2-2</f>
        <v>2012</v>
      </c>
      <c r="E36" s="32"/>
      <c r="F36" s="300">
        <f>$H$2-1</f>
        <v>2013</v>
      </c>
      <c r="G36" s="32"/>
      <c r="H36" s="32"/>
      <c r="J36" s="394"/>
      <c r="K36" s="390"/>
      <c r="L36" s="390"/>
      <c r="M36" s="395"/>
    </row>
    <row r="37" spans="1:13" ht="13.5" customHeight="1" x14ac:dyDescent="0.35">
      <c r="A37" s="35" t="s">
        <v>79</v>
      </c>
      <c r="B37" s="222">
        <f>inputPrYr!$D$104</f>
        <v>375000</v>
      </c>
      <c r="C37" s="155"/>
      <c r="D37" s="222">
        <f>inputPrYr!$E$104</f>
        <v>305000</v>
      </c>
      <c r="E37" s="155"/>
      <c r="F37" s="222">
        <f>debt!$G$20</f>
        <v>230000</v>
      </c>
      <c r="G37" s="32"/>
      <c r="H37" s="32"/>
      <c r="J37" s="394" t="str">
        <f>CONCATENATE("Current ",H2," Estimated Mill Rate:")</f>
        <v>Current 2014 Estimated Mill Rate:</v>
      </c>
      <c r="K37" s="390"/>
      <c r="L37" s="390"/>
      <c r="M37" s="396">
        <f>H29</f>
        <v>54.967999999999996</v>
      </c>
    </row>
    <row r="38" spans="1:13" x14ac:dyDescent="0.35">
      <c r="A38" s="35" t="s">
        <v>80</v>
      </c>
      <c r="B38" s="386">
        <f>inputPrYr!$D$105</f>
        <v>3712005</v>
      </c>
      <c r="C38" s="155"/>
      <c r="D38" s="386">
        <f>inputPrYr!$E$105</f>
        <v>3395502</v>
      </c>
      <c r="E38" s="155"/>
      <c r="F38" s="222">
        <f>debt!$G$32</f>
        <v>3060119</v>
      </c>
      <c r="G38" s="32"/>
      <c r="H38" s="32"/>
      <c r="J38" s="394" t="str">
        <f>CONCATENATE("Desired ",H2," Mill Rate:")</f>
        <v>Desired 2014 Mill Rate:</v>
      </c>
      <c r="K38" s="390"/>
      <c r="L38" s="390"/>
      <c r="M38" s="389">
        <v>0</v>
      </c>
    </row>
    <row r="39" spans="1:13" ht="18.75" customHeight="1" x14ac:dyDescent="0.35">
      <c r="A39" s="32" t="s">
        <v>98</v>
      </c>
      <c r="B39" s="386">
        <f>inputPrYr!$D$106</f>
        <v>47946</v>
      </c>
      <c r="C39" s="155"/>
      <c r="D39" s="386">
        <f>inputPrYr!$E$106</f>
        <v>108698</v>
      </c>
      <c r="E39" s="155"/>
      <c r="F39" s="222">
        <f>debt!$G$42</f>
        <v>104181</v>
      </c>
      <c r="G39" s="32"/>
      <c r="H39" s="32"/>
      <c r="J39" s="394" t="str">
        <f>CONCATENATE("",H2," Ad Valorem Tax:")</f>
        <v>2014 Ad Valorem Tax:</v>
      </c>
      <c r="K39" s="390"/>
      <c r="L39" s="390"/>
      <c r="M39" s="402">
        <f>ROUND(F34*M38/1000,0)</f>
        <v>0</v>
      </c>
    </row>
    <row r="40" spans="1:13" ht="18.75" customHeight="1" x14ac:dyDescent="0.35">
      <c r="A40" s="35" t="s">
        <v>172</v>
      </c>
      <c r="B40" s="386">
        <f>inputPrYr!$D$107</f>
        <v>102937</v>
      </c>
      <c r="C40" s="155"/>
      <c r="D40" s="386">
        <f>inputPrYr!$E$107</f>
        <v>166938</v>
      </c>
      <c r="E40" s="155"/>
      <c r="F40" s="222">
        <f>lpform!$G$28</f>
        <v>133063</v>
      </c>
      <c r="G40" s="32"/>
      <c r="H40" s="32"/>
      <c r="J40" s="399" t="str">
        <f>CONCATENATE("",H2," Tax Levy Fund Exp. Changed By:")</f>
        <v>2014 Tax Levy Fund Exp. Changed By:</v>
      </c>
      <c r="K40" s="400"/>
      <c r="L40" s="400"/>
      <c r="M40" s="392">
        <f>IF(M38=0,0,(M39-G29))</f>
        <v>0</v>
      </c>
    </row>
    <row r="41" spans="1:13" ht="18.75" customHeight="1" thickBot="1" x14ac:dyDescent="0.3">
      <c r="A41" s="35" t="s">
        <v>81</v>
      </c>
      <c r="B41" s="438">
        <f>SUM(B37:B40)</f>
        <v>4237888</v>
      </c>
      <c r="C41" s="155"/>
      <c r="D41" s="438">
        <f>SUM(D37:D40)</f>
        <v>3976138</v>
      </c>
      <c r="E41" s="155"/>
      <c r="F41" s="438">
        <f>SUM(F37:F40)</f>
        <v>3527363</v>
      </c>
      <c r="G41" s="32"/>
      <c r="H41" s="32"/>
    </row>
    <row r="42" spans="1:13" ht="18.75" customHeight="1" thickTop="1" x14ac:dyDescent="0.25">
      <c r="A42" s="35" t="s">
        <v>82</v>
      </c>
      <c r="B42" s="32"/>
      <c r="C42" s="32"/>
      <c r="D42" s="32"/>
      <c r="E42" s="32"/>
      <c r="F42" s="32"/>
      <c r="G42" s="32"/>
      <c r="H42" s="32"/>
    </row>
    <row r="43" spans="1:13" x14ac:dyDescent="0.25">
      <c r="A43" s="32" t="s">
        <v>376</v>
      </c>
      <c r="B43" s="32"/>
      <c r="C43" s="32"/>
      <c r="D43" s="32"/>
      <c r="E43" s="32"/>
      <c r="F43" s="32"/>
      <c r="G43" s="32"/>
      <c r="H43" s="32"/>
    </row>
    <row r="44" spans="1:13" x14ac:dyDescent="0.25">
      <c r="A44" s="660"/>
      <c r="B44" s="660"/>
      <c r="C44" s="59"/>
      <c r="D44" s="32"/>
      <c r="E44" s="32"/>
      <c r="F44" s="32"/>
      <c r="G44" s="32"/>
      <c r="H44" s="32"/>
    </row>
    <row r="45" spans="1:13" x14ac:dyDescent="0.25">
      <c r="A45" s="152" t="s">
        <v>200</v>
      </c>
      <c r="B45" s="459" t="str">
        <f>inputBudSum!B5</f>
        <v>City Clerk</v>
      </c>
      <c r="C45" s="32"/>
      <c r="D45" s="32"/>
      <c r="E45" s="32"/>
      <c r="F45" s="32"/>
      <c r="G45" s="32"/>
      <c r="H45" s="32"/>
    </row>
    <row r="46" spans="1:13" x14ac:dyDescent="0.25">
      <c r="A46" s="612" t="s">
        <v>375</v>
      </c>
      <c r="B46" s="594"/>
      <c r="C46" s="594"/>
      <c r="D46" s="594"/>
      <c r="E46" s="594"/>
      <c r="F46" s="594"/>
      <c r="G46" s="594"/>
      <c r="H46" s="594"/>
      <c r="I46" s="89"/>
      <c r="J46" s="89"/>
      <c r="K46" s="89"/>
    </row>
    <row r="47" spans="1:13" x14ac:dyDescent="0.25">
      <c r="A47" s="32"/>
      <c r="B47" s="32"/>
      <c r="C47" s="119" t="s">
        <v>59</v>
      </c>
      <c r="D47" s="260">
        <v>18</v>
      </c>
      <c r="E47" s="32"/>
      <c r="F47" s="32"/>
      <c r="G47" s="32"/>
      <c r="H47" s="32"/>
    </row>
  </sheetData>
  <mergeCells count="10">
    <mergeCell ref="A44:B44"/>
    <mergeCell ref="J35:M35"/>
    <mergeCell ref="J29:M29"/>
    <mergeCell ref="A46:H46"/>
    <mergeCell ref="A1:H1"/>
    <mergeCell ref="A4:H4"/>
    <mergeCell ref="A6:H6"/>
    <mergeCell ref="A7:H7"/>
    <mergeCell ref="A3:H3"/>
    <mergeCell ref="A5:H5"/>
  </mergeCells>
  <phoneticPr fontId="0" type="noConversion"/>
  <pageMargins left="1" right="0.5" top="1" bottom="0.5" header="0.5" footer="0.5"/>
  <pageSetup scale="66" orientation="portrait" blackAndWhite="1" horizontalDpi="120" verticalDpi="144"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opLeftCell="A4" workbookViewId="0">
      <selection activeCell="H19" sqref="H19"/>
    </sheetView>
  </sheetViews>
  <sheetFormatPr defaultColWidth="8.9140625" defaultRowHeight="12.5" x14ac:dyDescent="0.25"/>
  <cols>
    <col min="1" max="1" width="10.08203125" style="89" customWidth="1"/>
    <col min="2" max="2" width="16.33203125" style="89" customWidth="1"/>
    <col min="3" max="3" width="11.6640625" style="89" customWidth="1"/>
    <col min="4" max="4" width="12.6640625" style="89" customWidth="1"/>
    <col min="5" max="5" width="11.6640625" style="89" customWidth="1"/>
    <col min="6" max="16384" width="8.9140625" style="89"/>
  </cols>
  <sheetData>
    <row r="1" spans="1:6" ht="15.5" x14ac:dyDescent="0.25">
      <c r="A1" s="180" t="str">
        <f>inputPrYr!D2</f>
        <v>City of Eureka</v>
      </c>
      <c r="B1" s="32"/>
      <c r="C1" s="32"/>
      <c r="D1" s="32"/>
      <c r="E1" s="32"/>
      <c r="F1" s="32">
        <f>inputPrYr!C5</f>
        <v>2014</v>
      </c>
    </row>
    <row r="2" spans="1:6" ht="15.5" x14ac:dyDescent="0.25">
      <c r="A2" s="32"/>
      <c r="B2" s="32"/>
      <c r="C2" s="32"/>
      <c r="D2" s="32"/>
      <c r="E2" s="32"/>
      <c r="F2" s="32"/>
    </row>
    <row r="3" spans="1:6" ht="15.5" x14ac:dyDescent="0.25">
      <c r="A3" s="32"/>
      <c r="B3" s="624" t="str">
        <f>CONCATENATE("",F1," Neighborhood Revitalization Rebate")</f>
        <v>2014 Neighborhood Revitalization Rebate</v>
      </c>
      <c r="C3" s="669"/>
      <c r="D3" s="669"/>
      <c r="E3" s="669"/>
      <c r="F3" s="32"/>
    </row>
    <row r="4" spans="1:6" ht="15.5" x14ac:dyDescent="0.25">
      <c r="A4" s="32"/>
      <c r="B4" s="32"/>
      <c r="C4" s="32"/>
      <c r="D4" s="32"/>
      <c r="E4" s="32"/>
      <c r="F4" s="32"/>
    </row>
    <row r="5" spans="1:6" ht="51.75" customHeight="1" x14ac:dyDescent="0.25">
      <c r="A5" s="32"/>
      <c r="B5" s="302" t="str">
        <f>CONCATENATE("Budgeted Funds         for ",F1,"")</f>
        <v>Budgeted Funds         for 2014</v>
      </c>
      <c r="C5" s="302" t="str">
        <f>CONCATENATE("",F1-1," Ad Valorem before Rebate**")</f>
        <v>2013 Ad Valorem before Rebate**</v>
      </c>
      <c r="D5" s="303" t="str">
        <f>CONCATENATE("",F1-1," Mil Rate before Rebate")</f>
        <v>2013 Mil Rate before Rebate</v>
      </c>
      <c r="E5" s="304" t="str">
        <f>CONCATENATE("Estimate ",F1," NR Rebate")</f>
        <v>Estimate 2014 NR Rebate</v>
      </c>
      <c r="F5" s="81"/>
    </row>
    <row r="6" spans="1:6" ht="15.5" x14ac:dyDescent="0.25">
      <c r="A6" s="32"/>
      <c r="B6" s="47" t="str">
        <f>inputPrYr!B17</f>
        <v>General</v>
      </c>
      <c r="C6" s="305">
        <v>445505</v>
      </c>
      <c r="D6" s="306">
        <f>IF(C6&gt;0,C6/$D$24,"")</f>
        <v>42.897017309017016</v>
      </c>
      <c r="E6" s="222">
        <f t="shared" ref="E6:E17" si="0">IF(C6&gt;0,ROUND(D6*$D$28,0),"")</f>
        <v>2858</v>
      </c>
      <c r="F6" s="81"/>
    </row>
    <row r="7" spans="1:6" ht="15.5" x14ac:dyDescent="0.25">
      <c r="A7" s="32"/>
      <c r="B7" s="47" t="str">
        <f>inputPrYr!B18</f>
        <v>Bond and Interest</v>
      </c>
      <c r="C7" s="305">
        <v>63050</v>
      </c>
      <c r="D7" s="306">
        <f t="shared" ref="D7:D17" si="1">IF(C7&gt;0,C7/$D$24,"")</f>
        <v>6.070991215213124</v>
      </c>
      <c r="E7" s="222">
        <f t="shared" si="0"/>
        <v>404</v>
      </c>
      <c r="F7" s="81"/>
    </row>
    <row r="8" spans="1:6" ht="15.5" x14ac:dyDescent="0.25">
      <c r="A8" s="32"/>
      <c r="B8" s="70" t="str">
        <f>inputPrYr!B19</f>
        <v>Library</v>
      </c>
      <c r="C8" s="305">
        <v>62313</v>
      </c>
      <c r="D8" s="306">
        <f t="shared" si="1"/>
        <v>6.0000265756316482</v>
      </c>
      <c r="E8" s="222">
        <f t="shared" si="0"/>
        <v>400</v>
      </c>
      <c r="F8" s="81"/>
    </row>
    <row r="9" spans="1:6" ht="15.5" x14ac:dyDescent="0.25">
      <c r="A9" s="32"/>
      <c r="B9" s="70"/>
      <c r="C9" s="305"/>
      <c r="D9" s="306" t="str">
        <f t="shared" si="1"/>
        <v/>
      </c>
      <c r="E9" s="222" t="str">
        <f t="shared" si="0"/>
        <v/>
      </c>
      <c r="F9" s="81"/>
    </row>
    <row r="10" spans="1:6" ht="15.5" x14ac:dyDescent="0.25">
      <c r="A10" s="32"/>
      <c r="B10" s="70"/>
      <c r="C10" s="305"/>
      <c r="D10" s="306" t="str">
        <f t="shared" si="1"/>
        <v/>
      </c>
      <c r="E10" s="222" t="str">
        <f t="shared" si="0"/>
        <v/>
      </c>
      <c r="F10" s="81"/>
    </row>
    <row r="11" spans="1:6" ht="15.5" x14ac:dyDescent="0.25">
      <c r="A11" s="32"/>
      <c r="B11" s="70"/>
      <c r="C11" s="305"/>
      <c r="D11" s="306" t="str">
        <f t="shared" si="1"/>
        <v/>
      </c>
      <c r="E11" s="222" t="str">
        <f t="shared" si="0"/>
        <v/>
      </c>
      <c r="F11" s="81"/>
    </row>
    <row r="12" spans="1:6" ht="15.5" x14ac:dyDescent="0.25">
      <c r="A12" s="32"/>
      <c r="B12" s="70"/>
      <c r="C12" s="307"/>
      <c r="D12" s="306" t="str">
        <f t="shared" si="1"/>
        <v/>
      </c>
      <c r="E12" s="222" t="str">
        <f t="shared" si="0"/>
        <v/>
      </c>
      <c r="F12" s="81"/>
    </row>
    <row r="13" spans="1:6" ht="15.5" x14ac:dyDescent="0.25">
      <c r="A13" s="32"/>
      <c r="B13" s="70"/>
      <c r="C13" s="307"/>
      <c r="D13" s="306" t="str">
        <f t="shared" si="1"/>
        <v/>
      </c>
      <c r="E13" s="222" t="str">
        <f t="shared" si="0"/>
        <v/>
      </c>
      <c r="F13" s="81"/>
    </row>
    <row r="14" spans="1:6" ht="15.5" x14ac:dyDescent="0.25">
      <c r="A14" s="32"/>
      <c r="B14" s="70"/>
      <c r="C14" s="307"/>
      <c r="D14" s="306" t="str">
        <f t="shared" si="1"/>
        <v/>
      </c>
      <c r="E14" s="222" t="str">
        <f t="shared" si="0"/>
        <v/>
      </c>
      <c r="F14" s="81"/>
    </row>
    <row r="15" spans="1:6" ht="15.5" x14ac:dyDescent="0.25">
      <c r="A15" s="32"/>
      <c r="B15" s="70"/>
      <c r="C15" s="307"/>
      <c r="D15" s="306" t="str">
        <f t="shared" si="1"/>
        <v/>
      </c>
      <c r="E15" s="222" t="str">
        <f t="shared" si="0"/>
        <v/>
      </c>
      <c r="F15" s="81"/>
    </row>
    <row r="16" spans="1:6" ht="15.5" x14ac:dyDescent="0.25">
      <c r="A16" s="32"/>
      <c r="B16" s="70"/>
      <c r="C16" s="307"/>
      <c r="D16" s="306" t="str">
        <f t="shared" si="1"/>
        <v/>
      </c>
      <c r="E16" s="222" t="str">
        <f t="shared" si="0"/>
        <v/>
      </c>
      <c r="F16" s="81"/>
    </row>
    <row r="17" spans="1:6" ht="15.5" x14ac:dyDescent="0.25">
      <c r="A17" s="32"/>
      <c r="B17" s="70"/>
      <c r="C17" s="307"/>
      <c r="D17" s="306" t="str">
        <f t="shared" si="1"/>
        <v/>
      </c>
      <c r="E17" s="222" t="str">
        <f t="shared" si="0"/>
        <v/>
      </c>
      <c r="F17" s="81"/>
    </row>
    <row r="18" spans="1:6" ht="15.5" x14ac:dyDescent="0.25">
      <c r="A18" s="32"/>
      <c r="B18" s="70"/>
      <c r="C18" s="307"/>
      <c r="D18" s="306" t="str">
        <f>IF(C18&gt;0,C18/$D$24,"")</f>
        <v/>
      </c>
      <c r="E18" s="222" t="str">
        <f>IF(C18&gt;0,ROUND(D18*$D$28,0),"")</f>
        <v/>
      </c>
      <c r="F18" s="81"/>
    </row>
    <row r="19" spans="1:6" ht="16" thickBot="1" x14ac:dyDescent="0.3">
      <c r="A19" s="32"/>
      <c r="B19" s="48" t="s">
        <v>45</v>
      </c>
      <c r="C19" s="308">
        <f>SUM(C6:C18)</f>
        <v>570868</v>
      </c>
      <c r="D19" s="309">
        <f>SUM(D6:D17)</f>
        <v>54.968035099861794</v>
      </c>
      <c r="E19" s="308">
        <f>SUM(E6:E17)</f>
        <v>3662</v>
      </c>
      <c r="F19" s="81"/>
    </row>
    <row r="20" spans="1:6" ht="16" thickTop="1" x14ac:dyDescent="0.25">
      <c r="A20" s="32"/>
      <c r="B20" s="32"/>
      <c r="C20" s="32"/>
      <c r="D20" s="32"/>
      <c r="E20" s="32"/>
      <c r="F20" s="81"/>
    </row>
    <row r="21" spans="1:6" ht="15.5" x14ac:dyDescent="0.25">
      <c r="A21" s="32"/>
      <c r="B21" s="32"/>
      <c r="C21" s="32"/>
      <c r="D21" s="32"/>
      <c r="E21" s="32"/>
      <c r="F21" s="81"/>
    </row>
    <row r="22" spans="1:6" ht="15.5" x14ac:dyDescent="0.25">
      <c r="A22" s="670" t="str">
        <f>CONCATENATE("",F1-1," July 1 Valuation:")</f>
        <v>2013 July 1 Valuation:</v>
      </c>
      <c r="B22" s="650"/>
      <c r="C22" s="670"/>
      <c r="D22" s="301">
        <f>inputOth!E7</f>
        <v>10385454</v>
      </c>
      <c r="E22" s="32"/>
      <c r="F22" s="81"/>
    </row>
    <row r="23" spans="1:6" ht="15.5" x14ac:dyDescent="0.25">
      <c r="A23" s="32"/>
      <c r="B23" s="32"/>
      <c r="C23" s="32"/>
      <c r="D23" s="32"/>
      <c r="E23" s="32"/>
      <c r="F23" s="81"/>
    </row>
    <row r="24" spans="1:6" ht="15.5" x14ac:dyDescent="0.25">
      <c r="A24" s="32"/>
      <c r="B24" s="670" t="s">
        <v>236</v>
      </c>
      <c r="C24" s="670"/>
      <c r="D24" s="310">
        <f>IF(D22&gt;0,(D22*0.001),"")</f>
        <v>10385.454</v>
      </c>
      <c r="E24" s="32"/>
      <c r="F24" s="81"/>
    </row>
    <row r="25" spans="1:6" ht="15.5" x14ac:dyDescent="0.25">
      <c r="A25" s="32"/>
      <c r="B25" s="119"/>
      <c r="C25" s="119"/>
      <c r="D25" s="311"/>
      <c r="E25" s="32"/>
      <c r="F25" s="81"/>
    </row>
    <row r="26" spans="1:6" ht="15.5" x14ac:dyDescent="0.25">
      <c r="A26" s="668" t="s">
        <v>237</v>
      </c>
      <c r="B26" s="613"/>
      <c r="C26" s="613"/>
      <c r="D26" s="312">
        <f>inputOth!E17</f>
        <v>66624</v>
      </c>
      <c r="E26" s="51"/>
      <c r="F26" s="51"/>
    </row>
    <row r="27" spans="1:6" x14ac:dyDescent="0.25">
      <c r="A27" s="51"/>
      <c r="B27" s="51"/>
      <c r="C27" s="51"/>
      <c r="D27" s="313"/>
      <c r="E27" s="51"/>
      <c r="F27" s="51"/>
    </row>
    <row r="28" spans="1:6" ht="15.5" x14ac:dyDescent="0.25">
      <c r="A28" s="51"/>
      <c r="B28" s="668" t="s">
        <v>238</v>
      </c>
      <c r="C28" s="650"/>
      <c r="D28" s="314">
        <f>IF(D26&gt;0,(D26*0.001),"")</f>
        <v>66.623999999999995</v>
      </c>
      <c r="E28" s="51"/>
      <c r="F28" s="51"/>
    </row>
    <row r="29" spans="1:6" x14ac:dyDescent="0.25">
      <c r="A29" s="51"/>
      <c r="B29" s="51"/>
      <c r="C29" s="51"/>
      <c r="D29" s="51"/>
      <c r="E29" s="51"/>
      <c r="F29" s="51"/>
    </row>
    <row r="30" spans="1:6" x14ac:dyDescent="0.25">
      <c r="A30" s="51"/>
      <c r="B30" s="51"/>
      <c r="C30" s="51"/>
      <c r="D30" s="51"/>
      <c r="E30" s="51"/>
      <c r="F30" s="51"/>
    </row>
    <row r="31" spans="1:6" x14ac:dyDescent="0.25">
      <c r="A31" s="51"/>
      <c r="B31" s="51"/>
      <c r="C31" s="51"/>
      <c r="D31" s="51"/>
      <c r="E31" s="51"/>
      <c r="F31" s="51"/>
    </row>
    <row r="32" spans="1:6" ht="15.5" x14ac:dyDescent="0.35">
      <c r="A32" s="325" t="str">
        <f>CONCATENATE("**This information comes from the ",F1," Budget Summary page.  See instructions tab #13 for completing")</f>
        <v>**This information comes from the 2014 Budget Summary page.  See instructions tab #13 for completing</v>
      </c>
      <c r="B32" s="51"/>
      <c r="C32" s="51"/>
      <c r="D32" s="51"/>
      <c r="E32" s="51"/>
      <c r="F32" s="51"/>
    </row>
    <row r="33" spans="1:6" ht="15.5" x14ac:dyDescent="0.35">
      <c r="A33" s="325" t="s">
        <v>260</v>
      </c>
      <c r="B33" s="51"/>
      <c r="C33" s="51"/>
      <c r="D33" s="51"/>
      <c r="E33" s="51"/>
      <c r="F33" s="51"/>
    </row>
    <row r="34" spans="1:6" ht="15.5" x14ac:dyDescent="0.35">
      <c r="A34" s="325"/>
      <c r="B34" s="51"/>
      <c r="C34" s="51"/>
      <c r="D34" s="51"/>
      <c r="E34" s="51"/>
      <c r="F34" s="51"/>
    </row>
    <row r="35" spans="1:6" ht="15.5" x14ac:dyDescent="0.35">
      <c r="A35" s="325"/>
      <c r="B35" s="51"/>
      <c r="C35" s="51"/>
      <c r="D35" s="51"/>
      <c r="E35" s="51"/>
      <c r="F35" s="51"/>
    </row>
    <row r="36" spans="1:6" ht="15.5" x14ac:dyDescent="0.35">
      <c r="A36" s="325"/>
      <c r="B36" s="51"/>
      <c r="C36" s="51"/>
      <c r="D36" s="51"/>
      <c r="E36" s="51"/>
      <c r="F36" s="51"/>
    </row>
    <row r="37" spans="1:6" ht="15.5" x14ac:dyDescent="0.35">
      <c r="A37" s="325"/>
      <c r="B37" s="51"/>
      <c r="C37" s="51"/>
      <c r="D37" s="51"/>
      <c r="E37" s="51"/>
      <c r="F37" s="51"/>
    </row>
    <row r="38" spans="1:6" x14ac:dyDescent="0.25">
      <c r="A38" s="51"/>
      <c r="B38" s="51"/>
      <c r="C38" s="51"/>
      <c r="D38" s="51"/>
      <c r="E38" s="51"/>
      <c r="F38" s="51"/>
    </row>
    <row r="39" spans="1:6" ht="15.5" x14ac:dyDescent="0.25">
      <c r="A39" s="51"/>
      <c r="B39" s="170" t="s">
        <v>66</v>
      </c>
      <c r="C39" s="260">
        <v>19</v>
      </c>
      <c r="D39" s="51"/>
      <c r="E39" s="51"/>
      <c r="F39" s="51"/>
    </row>
    <row r="40" spans="1:6" ht="15.5" x14ac:dyDescent="0.25">
      <c r="A40" s="81"/>
      <c r="B40" s="32"/>
      <c r="C40" s="32"/>
      <c r="D40" s="315"/>
      <c r="E40" s="81"/>
      <c r="F40" s="81"/>
    </row>
  </sheetData>
  <mergeCells count="5">
    <mergeCell ref="B28:C28"/>
    <mergeCell ref="B3:E3"/>
    <mergeCell ref="A22:C22"/>
    <mergeCell ref="B24:C24"/>
    <mergeCell ref="A26:C26"/>
  </mergeCells>
  <phoneticPr fontId="9" type="noConversion"/>
  <pageMargins left="0.75" right="0.75" top="1" bottom="1" header="0.5" footer="0.5"/>
  <pageSetup scale="93" orientation="portrait" blackAndWhite="1"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9" workbookViewId="0">
      <selection activeCell="B10" sqref="B10"/>
    </sheetView>
  </sheetViews>
  <sheetFormatPr defaultRowHeight="12.5" x14ac:dyDescent="0.25"/>
  <cols>
    <col min="1" max="1" width="13.6640625" customWidth="1"/>
    <col min="2" max="2" width="16.08203125" customWidth="1"/>
  </cols>
  <sheetData>
    <row r="1" spans="1:10" x14ac:dyDescent="0.25">
      <c r="J1" s="449" t="s">
        <v>293</v>
      </c>
    </row>
    <row r="2" spans="1:10" ht="54" customHeight="1" x14ac:dyDescent="0.25">
      <c r="A2" s="606" t="s">
        <v>249</v>
      </c>
      <c r="B2" s="607"/>
      <c r="C2" s="607"/>
      <c r="D2" s="607"/>
      <c r="E2" s="607"/>
      <c r="F2" s="607"/>
      <c r="J2" s="449" t="s">
        <v>294</v>
      </c>
    </row>
    <row r="3" spans="1:10" ht="15.5" x14ac:dyDescent="0.35">
      <c r="A3" s="1" t="s">
        <v>295</v>
      </c>
      <c r="B3" s="450" t="s">
        <v>376</v>
      </c>
      <c r="C3" s="450"/>
      <c r="J3" s="449" t="s">
        <v>296</v>
      </c>
    </row>
    <row r="4" spans="1:10" ht="15.5" x14ac:dyDescent="0.35">
      <c r="A4" s="1"/>
      <c r="B4" s="451"/>
      <c r="J4" s="449" t="s">
        <v>297</v>
      </c>
    </row>
    <row r="5" spans="1:10" ht="15.5" x14ac:dyDescent="0.35">
      <c r="A5" s="1" t="s">
        <v>275</v>
      </c>
      <c r="B5" s="450" t="s">
        <v>174</v>
      </c>
      <c r="J5" s="449" t="s">
        <v>298</v>
      </c>
    </row>
    <row r="6" spans="1:10" ht="16" x14ac:dyDescent="0.4">
      <c r="A6" s="319"/>
      <c r="B6" s="319"/>
      <c r="C6" s="319"/>
      <c r="D6" s="320" t="s">
        <v>299</v>
      </c>
      <c r="E6" s="319"/>
      <c r="F6" s="319"/>
      <c r="J6" s="449" t="s">
        <v>300</v>
      </c>
    </row>
    <row r="7" spans="1:10" ht="16" x14ac:dyDescent="0.4">
      <c r="A7" s="320" t="s">
        <v>250</v>
      </c>
      <c r="B7" s="450" t="s">
        <v>516</v>
      </c>
      <c r="C7" s="321"/>
      <c r="D7" s="320" t="str">
        <f ca="1">IF(B7="","",CONCATENATE("Latest date for notice to be published in your newspaper: ",G18," ",G22,", ",G23))</f>
        <v>Latest date for notice to be published in your newspaper: August 2, 2013</v>
      </c>
      <c r="E7" s="319"/>
      <c r="F7" s="319"/>
      <c r="J7" s="449" t="s">
        <v>301</v>
      </c>
    </row>
    <row r="8" spans="1:10" ht="16" x14ac:dyDescent="0.4">
      <c r="A8" s="320"/>
      <c r="B8" s="322"/>
      <c r="C8" s="323"/>
      <c r="D8" s="320"/>
      <c r="E8" s="319"/>
      <c r="F8" s="319"/>
      <c r="J8" s="449" t="s">
        <v>302</v>
      </c>
    </row>
    <row r="9" spans="1:10" ht="16" x14ac:dyDescent="0.4">
      <c r="A9" s="320" t="s">
        <v>251</v>
      </c>
      <c r="B9" s="450" t="s">
        <v>517</v>
      </c>
      <c r="C9" s="324"/>
      <c r="D9" s="320"/>
      <c r="E9" s="319"/>
      <c r="F9" s="319"/>
      <c r="J9" s="449" t="s">
        <v>303</v>
      </c>
    </row>
    <row r="10" spans="1:10" ht="16" x14ac:dyDescent="0.4">
      <c r="A10" s="320"/>
      <c r="B10" s="320"/>
      <c r="C10" s="320"/>
      <c r="D10" s="320"/>
      <c r="E10" s="319"/>
      <c r="F10" s="319"/>
      <c r="J10" s="449" t="s">
        <v>304</v>
      </c>
    </row>
    <row r="11" spans="1:10" ht="16" x14ac:dyDescent="0.4">
      <c r="A11" s="320" t="s">
        <v>252</v>
      </c>
      <c r="B11" s="452" t="s">
        <v>394</v>
      </c>
      <c r="C11" s="452"/>
      <c r="D11" s="452"/>
      <c r="E11" s="453"/>
      <c r="F11" s="319"/>
      <c r="J11" s="449" t="s">
        <v>305</v>
      </c>
    </row>
    <row r="12" spans="1:10" ht="16" x14ac:dyDescent="0.4">
      <c r="A12" s="320"/>
      <c r="B12" s="320"/>
      <c r="C12" s="320"/>
      <c r="D12" s="320"/>
      <c r="E12" s="319"/>
      <c r="F12" s="319"/>
      <c r="J12" s="449" t="s">
        <v>306</v>
      </c>
    </row>
    <row r="13" spans="1:10" ht="16" x14ac:dyDescent="0.4">
      <c r="A13" s="320"/>
      <c r="B13" s="320"/>
      <c r="C13" s="320"/>
      <c r="D13" s="320"/>
      <c r="E13" s="319"/>
      <c r="F13" s="319"/>
    </row>
    <row r="14" spans="1:10" ht="16" x14ac:dyDescent="0.4">
      <c r="A14" s="320" t="s">
        <v>253</v>
      </c>
      <c r="B14" s="452" t="s">
        <v>394</v>
      </c>
      <c r="C14" s="452"/>
      <c r="D14" s="452"/>
      <c r="E14" s="453"/>
      <c r="F14" s="319"/>
    </row>
    <row r="17" spans="1:7" ht="16" x14ac:dyDescent="0.4">
      <c r="A17" s="608" t="s">
        <v>254</v>
      </c>
      <c r="B17" s="608"/>
      <c r="C17" s="320"/>
      <c r="D17" s="320"/>
      <c r="E17" s="320"/>
      <c r="F17" s="319"/>
    </row>
    <row r="18" spans="1:7" ht="16" x14ac:dyDescent="0.4">
      <c r="A18" s="320"/>
      <c r="B18" s="320"/>
      <c r="C18" s="320"/>
      <c r="D18" s="320"/>
      <c r="E18" s="320"/>
      <c r="F18" s="319"/>
      <c r="G18" s="449" t="str">
        <f ca="1">IF(B7="","",INDIRECT(G19))</f>
        <v>August</v>
      </c>
    </row>
    <row r="19" spans="1:7" ht="16" x14ac:dyDescent="0.4">
      <c r="A19" s="320" t="s">
        <v>275</v>
      </c>
      <c r="B19" s="320" t="s">
        <v>276</v>
      </c>
      <c r="C19" s="320"/>
      <c r="D19" s="320"/>
      <c r="E19" s="320"/>
      <c r="F19" s="319"/>
      <c r="G19" s="454" t="str">
        <f>IF(B7="","",CONCATENATE("J",G21))</f>
        <v>J8</v>
      </c>
    </row>
    <row r="20" spans="1:7" ht="16" x14ac:dyDescent="0.4">
      <c r="A20" s="320"/>
      <c r="B20" s="320"/>
      <c r="C20" s="320"/>
      <c r="D20" s="320"/>
      <c r="E20" s="320"/>
      <c r="F20" s="319"/>
      <c r="G20" s="455">
        <f>B7-10</f>
        <v>41488</v>
      </c>
    </row>
    <row r="21" spans="1:7" ht="15.5" x14ac:dyDescent="0.25">
      <c r="A21" s="320" t="s">
        <v>250</v>
      </c>
      <c r="B21" s="322" t="s">
        <v>255</v>
      </c>
      <c r="C21" s="320"/>
      <c r="D21" s="320"/>
      <c r="E21" s="320"/>
      <c r="G21" s="456">
        <f>IF(B7="","",MONTH(G20))</f>
        <v>8</v>
      </c>
    </row>
    <row r="22" spans="1:7" ht="15.5" x14ac:dyDescent="0.25">
      <c r="A22" s="320"/>
      <c r="B22" s="320"/>
      <c r="C22" s="320"/>
      <c r="D22" s="320"/>
      <c r="E22" s="320"/>
      <c r="G22" s="457">
        <f>IF(B7="","",DAY(G20))</f>
        <v>2</v>
      </c>
    </row>
    <row r="23" spans="1:7" ht="15.5" x14ac:dyDescent="0.25">
      <c r="A23" s="320" t="s">
        <v>251</v>
      </c>
      <c r="B23" s="320" t="s">
        <v>256</v>
      </c>
      <c r="C23" s="320"/>
      <c r="D23" s="320"/>
      <c r="E23" s="320"/>
      <c r="G23" s="458">
        <f>IF(B7="","",YEAR(G20))</f>
        <v>2013</v>
      </c>
    </row>
    <row r="24" spans="1:7" ht="15.5" x14ac:dyDescent="0.25">
      <c r="A24" s="320"/>
      <c r="B24" s="320"/>
      <c r="C24" s="320"/>
      <c r="D24" s="320"/>
      <c r="E24" s="320"/>
    </row>
    <row r="25" spans="1:7" ht="15.5" x14ac:dyDescent="0.25">
      <c r="A25" s="320" t="s">
        <v>252</v>
      </c>
      <c r="B25" s="320" t="s">
        <v>257</v>
      </c>
      <c r="C25" s="320"/>
      <c r="D25" s="320"/>
      <c r="E25" s="320"/>
    </row>
    <row r="26" spans="1:7" ht="15.5" x14ac:dyDescent="0.25">
      <c r="A26" s="320"/>
      <c r="B26" s="320"/>
      <c r="C26" s="320"/>
      <c r="D26" s="320"/>
      <c r="E26" s="320"/>
    </row>
    <row r="27" spans="1:7" ht="15.5" x14ac:dyDescent="0.25">
      <c r="A27" s="320" t="s">
        <v>253</v>
      </c>
      <c r="B27" s="320" t="s">
        <v>257</v>
      </c>
      <c r="C27" s="320"/>
      <c r="D27" s="320"/>
      <c r="E27" s="320"/>
    </row>
  </sheetData>
  <mergeCells count="2">
    <mergeCell ref="A2:F2"/>
    <mergeCell ref="A17:B17"/>
  </mergeCells>
  <pageMargins left="0.7" right="0.7" top="0.75" bottom="0.75" header="0.3" footer="0.3"/>
  <pageSetup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1"/>
  <sheetViews>
    <sheetView topLeftCell="A34" workbookViewId="0">
      <selection activeCell="D37" sqref="D37"/>
    </sheetView>
  </sheetViews>
  <sheetFormatPr defaultColWidth="8.9140625" defaultRowHeight="15.5" x14ac:dyDescent="0.25"/>
  <cols>
    <col min="1" max="1" width="12" style="89" customWidth="1"/>
    <col min="2" max="2" width="24.33203125" style="30" customWidth="1"/>
    <col min="3" max="3" width="10.6640625" style="30" customWidth="1"/>
    <col min="4" max="4" width="5.6640625" style="30" customWidth="1"/>
    <col min="5" max="5" width="14" style="30" customWidth="1"/>
    <col min="6" max="6" width="13.33203125" style="30" customWidth="1"/>
    <col min="7" max="7" width="12.33203125" style="30" customWidth="1"/>
    <col min="8" max="16384" width="8.9140625" style="89"/>
  </cols>
  <sheetData>
    <row r="1" spans="2:9" x14ac:dyDescent="0.25">
      <c r="B1" s="32"/>
      <c r="C1" s="32"/>
      <c r="D1" s="31" t="s">
        <v>106</v>
      </c>
      <c r="E1" s="32"/>
      <c r="F1" s="32"/>
      <c r="G1" s="119"/>
      <c r="I1" s="28">
        <f>inputPrYr!C5</f>
        <v>2014</v>
      </c>
    </row>
    <row r="2" spans="2:9" x14ac:dyDescent="0.25">
      <c r="B2" s="611" t="str">
        <f>CONCATENATE("To the Clerk of ",(inputPrYr!D3),", State of Kansas")</f>
        <v>To the Clerk of Greenwood County, State of Kansas</v>
      </c>
      <c r="C2" s="594"/>
      <c r="D2" s="594"/>
      <c r="E2" s="594"/>
      <c r="F2" s="594"/>
      <c r="G2" s="594"/>
    </row>
    <row r="3" spans="2:9" x14ac:dyDescent="0.25">
      <c r="B3" s="121" t="s">
        <v>266</v>
      </c>
      <c r="C3" s="39"/>
      <c r="D3" s="39"/>
      <c r="E3" s="39"/>
      <c r="F3" s="39"/>
      <c r="G3" s="39"/>
    </row>
    <row r="4" spans="2:9" ht="15" x14ac:dyDescent="0.25">
      <c r="B4" s="609" t="str">
        <f>(inputPrYr!D2)</f>
        <v>City of Eureka</v>
      </c>
      <c r="C4" s="610"/>
      <c r="D4" s="610"/>
      <c r="E4" s="610"/>
      <c r="F4" s="610"/>
      <c r="G4" s="610"/>
    </row>
    <row r="5" spans="2:9" x14ac:dyDescent="0.25">
      <c r="B5" s="121" t="s">
        <v>25</v>
      </c>
      <c r="C5" s="39"/>
      <c r="D5" s="39"/>
      <c r="E5" s="39"/>
      <c r="F5" s="39"/>
      <c r="G5" s="39"/>
    </row>
    <row r="6" spans="2:9" x14ac:dyDescent="0.25">
      <c r="B6" s="121" t="s">
        <v>26</v>
      </c>
      <c r="C6" s="39"/>
      <c r="D6" s="39"/>
      <c r="E6" s="39"/>
      <c r="F6" s="39"/>
      <c r="G6" s="39"/>
    </row>
    <row r="7" spans="2:9" x14ac:dyDescent="0.25">
      <c r="B7" s="121" t="str">
        <f>CONCATENATE("maximum expenditures for the various funds for the year ",I1,"; and")</f>
        <v>maximum expenditures for the various funds for the year 2014; and</v>
      </c>
      <c r="C7" s="39"/>
      <c r="D7" s="39"/>
      <c r="E7" s="39"/>
      <c r="F7" s="39"/>
      <c r="G7" s="39"/>
    </row>
    <row r="8" spans="2:9" x14ac:dyDescent="0.25">
      <c r="B8" s="121" t="str">
        <f>CONCATENATE("(3) the Amounts(s) of ",I1-1," Ad Valorem Tax are within statutory limitations.")</f>
        <v>(3) the Amounts(s) of 2013 Ad Valorem Tax are within statutory limitations.</v>
      </c>
      <c r="C8" s="39"/>
      <c r="D8" s="39"/>
      <c r="E8" s="39"/>
      <c r="F8" s="39"/>
      <c r="G8" s="39"/>
    </row>
    <row r="9" spans="2:9" x14ac:dyDescent="0.25">
      <c r="B9" s="32"/>
      <c r="C9" s="32"/>
      <c r="D9" s="32"/>
      <c r="E9" s="122" t="str">
        <f>CONCATENATE("",I1," Adopted Budget")</f>
        <v>2014 Adopted Budget</v>
      </c>
      <c r="F9" s="123"/>
      <c r="G9" s="124"/>
    </row>
    <row r="10" spans="2:9" ht="21" customHeight="1" x14ac:dyDescent="0.25">
      <c r="B10" s="32"/>
      <c r="C10" s="32"/>
      <c r="D10" s="125"/>
      <c r="E10" s="126" t="s">
        <v>27</v>
      </c>
      <c r="F10" s="127" t="str">
        <f>CONCATENATE("Amount of ",I1-1,"")</f>
        <v>Amount of 2013</v>
      </c>
      <c r="G10" s="127" t="s">
        <v>28</v>
      </c>
    </row>
    <row r="11" spans="2:9" x14ac:dyDescent="0.25">
      <c r="B11" s="35"/>
      <c r="C11" s="32"/>
      <c r="D11" s="127" t="s">
        <v>29</v>
      </c>
      <c r="E11" s="383" t="s">
        <v>5</v>
      </c>
      <c r="F11" s="129" t="s">
        <v>202</v>
      </c>
      <c r="G11" s="128" t="s">
        <v>30</v>
      </c>
    </row>
    <row r="12" spans="2:9" x14ac:dyDescent="0.25">
      <c r="B12" s="130" t="s">
        <v>31</v>
      </c>
      <c r="C12" s="54"/>
      <c r="D12" s="131" t="s">
        <v>32</v>
      </c>
      <c r="E12" s="384" t="s">
        <v>272</v>
      </c>
      <c r="F12" s="132" t="s">
        <v>203</v>
      </c>
      <c r="G12" s="131" t="s">
        <v>33</v>
      </c>
    </row>
    <row r="13" spans="2:9" x14ac:dyDescent="0.25">
      <c r="B13" s="133" t="str">
        <f>CONCATENATE("Computation to Determine Limit for ",I1,"")</f>
        <v>Computation to Determine Limit for 2014</v>
      </c>
      <c r="C13" s="76"/>
      <c r="D13" s="134">
        <v>2</v>
      </c>
      <c r="E13" s="135"/>
      <c r="F13" s="135"/>
      <c r="G13" s="135"/>
    </row>
    <row r="14" spans="2:9" x14ac:dyDescent="0.25">
      <c r="B14" s="133" t="s">
        <v>365</v>
      </c>
      <c r="C14" s="54"/>
      <c r="D14" s="131">
        <v>3</v>
      </c>
      <c r="E14" s="128"/>
      <c r="F14" s="128"/>
      <c r="G14" s="128"/>
    </row>
    <row r="15" spans="2:9" x14ac:dyDescent="0.25">
      <c r="B15" s="133" t="s">
        <v>169</v>
      </c>
      <c r="C15" s="54"/>
      <c r="D15" s="131">
        <v>4</v>
      </c>
      <c r="E15" s="128"/>
      <c r="F15" s="128"/>
      <c r="G15" s="128"/>
    </row>
    <row r="16" spans="2:9" x14ac:dyDescent="0.25">
      <c r="B16" s="133" t="s">
        <v>34</v>
      </c>
      <c r="C16" s="76"/>
      <c r="D16" s="134">
        <v>5</v>
      </c>
      <c r="E16" s="136"/>
      <c r="F16" s="136"/>
      <c r="G16" s="136"/>
    </row>
    <row r="17" spans="2:10" x14ac:dyDescent="0.25">
      <c r="B17" s="133" t="s">
        <v>35</v>
      </c>
      <c r="C17" s="76"/>
      <c r="D17" s="134">
        <v>6</v>
      </c>
      <c r="E17" s="136"/>
      <c r="F17" s="136"/>
      <c r="G17" s="136"/>
    </row>
    <row r="18" spans="2:10" x14ac:dyDescent="0.25">
      <c r="B18" s="263" t="str">
        <f>IF(inputPrYr!D19="","","Computation to Determine State Library Grant")</f>
        <v>Computation to Determine State Library Grant</v>
      </c>
      <c r="C18" s="76"/>
      <c r="D18" s="144">
        <f>IF(inputPrYr!D19="","",'Library Grant'!F40)</f>
        <v>7</v>
      </c>
      <c r="E18" s="136"/>
      <c r="F18" s="136"/>
      <c r="G18" s="136"/>
    </row>
    <row r="19" spans="2:10" x14ac:dyDescent="0.25">
      <c r="B19" s="137" t="s">
        <v>36</v>
      </c>
      <c r="C19" s="138" t="s">
        <v>37</v>
      </c>
      <c r="D19" s="139"/>
      <c r="E19" s="140"/>
      <c r="F19" s="140"/>
      <c r="G19" s="140"/>
    </row>
    <row r="20" spans="2:10" x14ac:dyDescent="0.25">
      <c r="B20" s="47" t="s">
        <v>20</v>
      </c>
      <c r="C20" s="141" t="str">
        <f>IF(inputPrYr!C17&gt;0,(inputPrYr!C17),"  ")</f>
        <v>12-101a</v>
      </c>
      <c r="D20" s="134">
        <f>general!C59</f>
        <v>8</v>
      </c>
      <c r="E20" s="550">
        <f>IF(general!$E$110&lt;&gt;0,general!$E$110,"  ")</f>
        <v>1760868</v>
      </c>
      <c r="F20" s="551">
        <f>IF(general!$E$117&lt;&gt;0,general!$E$117,0)</f>
        <v>445505</v>
      </c>
      <c r="G20" s="552" t="str">
        <f>IF($G$59=0,"",ROUND(F20/$G$59*1000,3))</f>
        <v/>
      </c>
    </row>
    <row r="21" spans="2:10" x14ac:dyDescent="0.25">
      <c r="B21" s="47" t="s">
        <v>14</v>
      </c>
      <c r="C21" s="141" t="str">
        <f>IF(inputPrYr!C18&gt;0,(inputPrYr!C18),"  ")</f>
        <v>10-113</v>
      </c>
      <c r="D21" s="134">
        <f>IF('Bond &amp; Int -library'!C82&gt;0,'Bond &amp; Int -library'!C82,"  ")</f>
        <v>9</v>
      </c>
      <c r="E21" s="550">
        <f>IF('Bond &amp; Int -library'!E33&lt;&gt;0,'Bond &amp; Int -library'!E33,"  ")</f>
        <v>117284</v>
      </c>
      <c r="F21" s="551">
        <f>IF('Bond &amp; Int -library'!E40&lt;&gt;0,'Bond &amp; Int -library'!E40,0)</f>
        <v>63050</v>
      </c>
      <c r="G21" s="552" t="str">
        <f t="shared" ref="G21:G32" si="0">IF($G$59=0,"",ROUND(F21/$G$59*1000,3))</f>
        <v/>
      </c>
    </row>
    <row r="22" spans="2:10" x14ac:dyDescent="0.25">
      <c r="B22" s="70" t="str">
        <f>IF(inputPrYr!$B19&gt;"  ",(inputPrYr!$B19),"  ")</f>
        <v>Library</v>
      </c>
      <c r="C22" s="141" t="str">
        <f>IF(inputPrYr!C19&gt;0,(inputPrYr!C19),"  ")</f>
        <v>12-1220</v>
      </c>
      <c r="D22" s="134">
        <f>IF('Bond &amp; Int -library'!C82&gt;0,'Bond &amp; Int -library'!C82,"  ")</f>
        <v>9</v>
      </c>
      <c r="E22" s="550">
        <f>IF('Bond &amp; Int -library'!E73&lt;&gt;0,'Bond &amp; Int -library'!E73,"  ")</f>
        <v>85384</v>
      </c>
      <c r="F22" s="551">
        <f>IF('Bond &amp; Int -library'!E80&lt;&gt;0,'Bond &amp; Int -library'!E80,0)</f>
        <v>62313</v>
      </c>
      <c r="G22" s="552" t="str">
        <f t="shared" si="0"/>
        <v/>
      </c>
      <c r="I22" s="430"/>
      <c r="J22" s="430"/>
    </row>
    <row r="23" spans="2:10" x14ac:dyDescent="0.25">
      <c r="B23" s="70" t="str">
        <f>IF(inputPrYr!$B21&gt;"  ",(inputPrYr!$B21),"  ")</f>
        <v xml:space="preserve">  </v>
      </c>
      <c r="C23" s="141" t="str">
        <f>IF(inputPrYr!C21&gt;0,(inputPrYr!C21),"  ")</f>
        <v xml:space="preserve">  </v>
      </c>
      <c r="D23" s="134"/>
      <c r="E23" s="550"/>
      <c r="F23" s="551"/>
      <c r="G23" s="552" t="str">
        <f t="shared" si="0"/>
        <v/>
      </c>
      <c r="I23" s="430"/>
      <c r="J23" s="430"/>
    </row>
    <row r="24" spans="2:10" x14ac:dyDescent="0.25">
      <c r="B24" s="70" t="str">
        <f>IF(inputPrYr!$B22&gt;"  ",(inputPrYr!$B22),"  ")</f>
        <v xml:space="preserve">  </v>
      </c>
      <c r="C24" s="141" t="str">
        <f>IF(inputPrYr!C22&gt;0,(inputPrYr!C22),"  ")</f>
        <v xml:space="preserve">  </v>
      </c>
      <c r="D24" s="134"/>
      <c r="E24" s="550"/>
      <c r="F24" s="551"/>
      <c r="G24" s="552" t="str">
        <f t="shared" si="0"/>
        <v/>
      </c>
      <c r="I24" s="430"/>
      <c r="J24" s="430"/>
    </row>
    <row r="25" spans="2:10" x14ac:dyDescent="0.25">
      <c r="B25" s="70" t="str">
        <f>IF(inputPrYr!$B23&gt;"  ",(inputPrYr!$B23),"  ")</f>
        <v xml:space="preserve">  </v>
      </c>
      <c r="C25" s="141" t="str">
        <f>IF(inputPrYr!C23&gt;0,(inputPrYr!C23),"  ")</f>
        <v xml:space="preserve">  </v>
      </c>
      <c r="D25" s="134"/>
      <c r="E25" s="550"/>
      <c r="F25" s="551"/>
      <c r="G25" s="552" t="str">
        <f t="shared" si="0"/>
        <v/>
      </c>
      <c r="I25" s="430"/>
      <c r="J25" s="430"/>
    </row>
    <row r="26" spans="2:10" x14ac:dyDescent="0.25">
      <c r="B26" s="70" t="str">
        <f>IF(inputPrYr!$B24&gt;"  ",(inputPrYr!$B24),"  ")</f>
        <v xml:space="preserve">  </v>
      </c>
      <c r="C26" s="141" t="str">
        <f>IF(inputPrYr!C24&gt;0,(inputPrYr!C24),"  ")</f>
        <v xml:space="preserve">  </v>
      </c>
      <c r="D26" s="134"/>
      <c r="E26" s="550"/>
      <c r="F26" s="551"/>
      <c r="G26" s="552" t="str">
        <f t="shared" si="0"/>
        <v/>
      </c>
      <c r="I26" s="430"/>
      <c r="J26" s="430"/>
    </row>
    <row r="27" spans="2:10" x14ac:dyDescent="0.25">
      <c r="B27" s="70" t="str">
        <f>IF(inputPrYr!$B25&gt;"  ",(inputPrYr!$B25),"  ")</f>
        <v xml:space="preserve">  </v>
      </c>
      <c r="C27" s="141" t="str">
        <f>IF(inputPrYr!C25&gt;0,(inputPrYr!C25),"  ")</f>
        <v xml:space="preserve">  </v>
      </c>
      <c r="D27" s="134"/>
      <c r="E27" s="550"/>
      <c r="F27" s="551"/>
      <c r="G27" s="552" t="str">
        <f t="shared" si="0"/>
        <v/>
      </c>
      <c r="I27" s="430"/>
      <c r="J27" s="430"/>
    </row>
    <row r="28" spans="2:10" x14ac:dyDescent="0.25">
      <c r="B28" s="70" t="str">
        <f>IF(inputPrYr!$B26&gt;"  ",(inputPrYr!$B26),"  ")</f>
        <v xml:space="preserve">  </v>
      </c>
      <c r="C28" s="141" t="str">
        <f>IF(inputPrYr!C26&gt;0,(inputPrYr!C26),"  ")</f>
        <v xml:space="preserve">  </v>
      </c>
      <c r="D28" s="134"/>
      <c r="E28" s="550"/>
      <c r="F28" s="551"/>
      <c r="G28" s="552" t="str">
        <f t="shared" si="0"/>
        <v/>
      </c>
      <c r="I28" s="430"/>
      <c r="J28" s="430"/>
    </row>
    <row r="29" spans="2:10" x14ac:dyDescent="0.25">
      <c r="B29" s="70" t="str">
        <f>IF(inputPrYr!$B27&gt;"  ",(inputPrYr!$B27),"  ")</f>
        <v xml:space="preserve">  </v>
      </c>
      <c r="C29" s="141" t="str">
        <f>IF(inputPrYr!C27&gt;0,(inputPrYr!C27),"  ")</f>
        <v xml:space="preserve">  </v>
      </c>
      <c r="D29" s="134"/>
      <c r="E29" s="550"/>
      <c r="F29" s="551"/>
      <c r="G29" s="552" t="str">
        <f t="shared" si="0"/>
        <v/>
      </c>
      <c r="I29" s="430"/>
      <c r="J29" s="430"/>
    </row>
    <row r="30" spans="2:10" x14ac:dyDescent="0.25">
      <c r="B30" s="70" t="str">
        <f>IF(inputPrYr!$B28&gt;"  ",(inputPrYr!$B28),"  ")</f>
        <v xml:space="preserve">  </v>
      </c>
      <c r="C30" s="141" t="str">
        <f>IF(inputPrYr!C28&gt;0,(inputPrYr!C28),"  ")</f>
        <v xml:space="preserve">  </v>
      </c>
      <c r="D30" s="134"/>
      <c r="E30" s="550"/>
      <c r="F30" s="551"/>
      <c r="G30" s="552" t="str">
        <f t="shared" si="0"/>
        <v/>
      </c>
      <c r="I30" s="430"/>
      <c r="J30" s="430"/>
    </row>
    <row r="31" spans="2:10" x14ac:dyDescent="0.25">
      <c r="B31" s="70" t="str">
        <f>IF(inputPrYr!$B29&gt;"  ",(inputPrYr!$B29),"  ")</f>
        <v xml:space="preserve">  </v>
      </c>
      <c r="C31" s="141" t="str">
        <f>IF(inputPrYr!C29&gt;0,(inputPrYr!C29),"  ")</f>
        <v xml:space="preserve">  </v>
      </c>
      <c r="D31" s="134"/>
      <c r="E31" s="550"/>
      <c r="F31" s="551"/>
      <c r="G31" s="552" t="str">
        <f t="shared" si="0"/>
        <v/>
      </c>
      <c r="I31" s="430"/>
      <c r="J31" s="430"/>
    </row>
    <row r="32" spans="2:10" x14ac:dyDescent="0.25">
      <c r="B32" s="70" t="str">
        <f>IF(inputPrYr!B30&gt;"  ",(inputPrYr!B30),"  ")</f>
        <v xml:space="preserve">  </v>
      </c>
      <c r="C32" s="141" t="str">
        <f>IF(inputPrYr!C30&gt;0,(inputPrYr!C30),"  ")</f>
        <v xml:space="preserve">  </v>
      </c>
      <c r="D32" s="134"/>
      <c r="E32" s="550"/>
      <c r="F32" s="551"/>
      <c r="G32" s="552" t="str">
        <f t="shared" si="0"/>
        <v/>
      </c>
      <c r="I32" s="428"/>
    </row>
    <row r="33" spans="2:7" x14ac:dyDescent="0.25">
      <c r="B33" s="142" t="str">
        <f>IF(inputPrYr!$B34&gt;"  ",(inputPrYr!$B34),"  ")</f>
        <v>Special Highway</v>
      </c>
      <c r="C33" s="143"/>
      <c r="D33" s="144">
        <f>IF('Sp Hiway &amp; Sp Parks'!C67&gt;0,'Sp Hiway &amp; Sp Parks'!C67,"  ")</f>
        <v>10</v>
      </c>
      <c r="E33" s="550">
        <f>IF('Sp Hiway &amp; Sp Parks'!$E$30&gt;0,'Sp Hiway &amp; Sp Parks'!$E$30,"  ")</f>
        <v>68150</v>
      </c>
      <c r="F33" s="550"/>
      <c r="G33" s="553"/>
    </row>
    <row r="34" spans="2:7" x14ac:dyDescent="0.25">
      <c r="B34" s="142" t="str">
        <f>IF(inputPrYr!$B35&gt;"  ",(inputPrYr!$B35),"  ")</f>
        <v>Special Parks &amp; Recreation</v>
      </c>
      <c r="C34" s="143"/>
      <c r="D34" s="144">
        <f>IF('Sp Hiway &amp; Sp Parks'!C67&gt;0,'Sp Hiway &amp; Sp Parks'!C67,"  ")</f>
        <v>10</v>
      </c>
      <c r="E34" s="550">
        <f>IF('Sp Hiway &amp; Sp Parks'!$E$61&gt;0,'Sp Hiway &amp; Sp Parks'!$E$61,"  ")</f>
        <v>7148</v>
      </c>
      <c r="F34" s="550"/>
      <c r="G34" s="553"/>
    </row>
    <row r="35" spans="2:7" x14ac:dyDescent="0.25">
      <c r="B35" s="142" t="str">
        <f>IF(inputPrYr!$B36&gt;"  ",(inputPrYr!$B36),"  ")</f>
        <v>Promotion</v>
      </c>
      <c r="C35" s="145"/>
      <c r="D35" s="144">
        <f>IF(Promotion!C65&gt;0,Promotion!C65,"  ")</f>
        <v>11</v>
      </c>
      <c r="E35" s="550">
        <f>IF(Promotion!$E$28&gt;0,Promotion!$E$28,"  ")</f>
        <v>8232</v>
      </c>
      <c r="F35" s="550"/>
      <c r="G35" s="553"/>
    </row>
    <row r="36" spans="2:7" x14ac:dyDescent="0.25">
      <c r="B36" s="142" t="str">
        <f>IF(inputPrYr!$B37&gt;"  ",(inputPrYr!$B37),"  ")</f>
        <v xml:space="preserve">  </v>
      </c>
      <c r="C36" s="143"/>
      <c r="D36" s="144"/>
      <c r="E36" s="550" t="str">
        <f>IF(Promotion!$E$59&gt;0,Promotion!$E$59,"  ")</f>
        <v xml:space="preserve">  </v>
      </c>
      <c r="F36" s="550"/>
      <c r="G36" s="553"/>
    </row>
    <row r="37" spans="2:7" x14ac:dyDescent="0.25">
      <c r="B37" s="142" t="str">
        <f>IF(inputPrYr!$B38&gt;"  ",(inputPrYr!$B38),"  ")</f>
        <v>Water Revolving Loan</v>
      </c>
      <c r="C37" s="145"/>
      <c r="D37" s="144">
        <f>IF('Wtr Revolve &amp; Sewer Revolve'!C65&gt;0,'Wtr Revolve &amp; Sewer Revolve'!C65,"  ")</f>
        <v>12</v>
      </c>
      <c r="E37" s="550">
        <f>IF('Wtr Revolve &amp; Sewer Revolve'!$E$28&gt;0,'Wtr Revolve &amp; Sewer Revolve'!$E$28,"  ")</f>
        <v>35872</v>
      </c>
      <c r="F37" s="550"/>
      <c r="G37" s="553"/>
    </row>
    <row r="38" spans="2:7" x14ac:dyDescent="0.25">
      <c r="B38" s="142" t="str">
        <f>IF(inputPrYr!$B39&gt;"  ",(inputPrYr!$B39),"  ")</f>
        <v>Sewer Revolving Loan</v>
      </c>
      <c r="C38" s="146"/>
      <c r="D38" s="144">
        <f>IF('Wtr Revolve &amp; Sewer Revolve'!C65&gt;0,'Wtr Revolve &amp; Sewer Revolve'!C65,"  ")</f>
        <v>12</v>
      </c>
      <c r="E38" s="550">
        <f>IF('Wtr Revolve &amp; Sewer Revolve'!$E$59&gt;0,'Wtr Revolve &amp; Sewer Revolve'!$E$59,"  ")</f>
        <v>240938</v>
      </c>
      <c r="F38" s="550"/>
      <c r="G38" s="553"/>
    </row>
    <row r="39" spans="2:7" x14ac:dyDescent="0.25">
      <c r="B39" s="142" t="str">
        <f>IF(inputPrYr!$B40&gt;"  ",(inputPrYr!$B40),"  ")</f>
        <v>Employee Health Benefits</v>
      </c>
      <c r="C39" s="146"/>
      <c r="D39" s="144">
        <f>IF('Employ Ben &amp; sales Tax'!C65&gt;0,'Employ Ben &amp; sales Tax'!C65,"  ")</f>
        <v>13</v>
      </c>
      <c r="E39" s="550">
        <f>IF('Employ Ben &amp; sales Tax'!$E$28&gt;0,'Employ Ben &amp; sales Tax'!$E$28,"  ")</f>
        <v>10474</v>
      </c>
      <c r="F39" s="550"/>
      <c r="G39" s="553"/>
    </row>
    <row r="40" spans="2:7" x14ac:dyDescent="0.25">
      <c r="B40" s="142" t="str">
        <f>IF(inputPrYr!$B41&gt;"  ",(inputPrYr!$B41),"  ")</f>
        <v>Sales Tax Revenue</v>
      </c>
      <c r="C40" s="146"/>
      <c r="D40" s="144">
        <f>IF('Employ Ben &amp; sales Tax'!C65&gt;0,'Employ Ben &amp; sales Tax'!C65,"  ")</f>
        <v>13</v>
      </c>
      <c r="E40" s="550">
        <f>IF('Employ Ben &amp; sales Tax'!$E$59&gt;0,'Employ Ben &amp; sales Tax'!$E$59,"  ")</f>
        <v>1163512</v>
      </c>
      <c r="F40" s="550"/>
      <c r="G40" s="553"/>
    </row>
    <row r="41" spans="2:7" x14ac:dyDescent="0.25">
      <c r="B41" s="142" t="str">
        <f>IF(inputPrYr!$B42&gt;"  ",(inputPrYr!$B42),"  ")</f>
        <v>Sewer Utility</v>
      </c>
      <c r="C41" s="143"/>
      <c r="D41" s="144">
        <f>IF(Sewer!C67&gt;0,Sewer!C67,"  ")</f>
        <v>14</v>
      </c>
      <c r="E41" s="550">
        <f>IF(Sewer!$E$30&gt;0,Sewer!$E$30,"  ")</f>
        <v>402862</v>
      </c>
      <c r="F41" s="550"/>
      <c r="G41" s="553"/>
    </row>
    <row r="42" spans="2:7" x14ac:dyDescent="0.25">
      <c r="B42" s="142" t="str">
        <f>IF(inputPrYr!$B43&gt;"  ",(inputPrYr!$B43),"  ")</f>
        <v xml:space="preserve">  </v>
      </c>
      <c r="C42" s="143"/>
      <c r="D42" s="144"/>
      <c r="E42" s="550" t="str">
        <f>IF(Sewer!$E$61&gt;0,Sewer!$E$61,"  ")</f>
        <v xml:space="preserve">  </v>
      </c>
      <c r="F42" s="550"/>
      <c r="G42" s="553"/>
    </row>
    <row r="43" spans="2:7" x14ac:dyDescent="0.25">
      <c r="B43" s="142" t="str">
        <f>IF(inputPrYr!$B44&gt;"  ",(inputPrYr!$B44),"  ")</f>
        <v>Water Utility</v>
      </c>
      <c r="C43" s="143"/>
      <c r="D43" s="144">
        <f>IF(Water!C69&gt;0,Water!C69,"  ")</f>
        <v>15</v>
      </c>
      <c r="E43" s="550">
        <f>IF(Water!$E$32&gt;0,Water!$E$32,"  ")</f>
        <v>1034117</v>
      </c>
      <c r="F43" s="550"/>
      <c r="G43" s="553"/>
    </row>
    <row r="44" spans="2:7" x14ac:dyDescent="0.25">
      <c r="B44" s="142" t="str">
        <f>IF(inputPrYr!$B45&gt;"  ",(inputPrYr!$B45),"  ")</f>
        <v xml:space="preserve">  </v>
      </c>
      <c r="C44" s="143"/>
      <c r="D44" s="144"/>
      <c r="E44" s="550"/>
      <c r="F44" s="550"/>
      <c r="G44" s="553"/>
    </row>
    <row r="45" spans="2:7" x14ac:dyDescent="0.25">
      <c r="B45" s="142" t="str">
        <f>IF(inputPrYr!$B46&gt;"  ",(inputPrYr!$B46),"  ")</f>
        <v xml:space="preserve">  </v>
      </c>
      <c r="C45" s="143"/>
      <c r="D45" s="144"/>
      <c r="E45" s="550"/>
      <c r="F45" s="550"/>
      <c r="G45" s="553"/>
    </row>
    <row r="46" spans="2:7" x14ac:dyDescent="0.25">
      <c r="B46" s="142" t="str">
        <f>IF(inputPrYr!$B47&gt;"  ",(inputPrYr!$B47),"  ")</f>
        <v xml:space="preserve">  </v>
      </c>
      <c r="C46" s="143"/>
      <c r="D46" s="144"/>
      <c r="E46" s="550"/>
      <c r="F46" s="550"/>
      <c r="G46" s="553"/>
    </row>
    <row r="47" spans="2:7" x14ac:dyDescent="0.25">
      <c r="B47" s="142" t="str">
        <f>IF(inputPrYr!$B48&gt;"  ",(inputPrYr!$B48),"  ")</f>
        <v xml:space="preserve">  </v>
      </c>
      <c r="C47" s="145"/>
      <c r="D47" s="144"/>
      <c r="E47" s="550"/>
      <c r="F47" s="550"/>
      <c r="G47" s="553"/>
    </row>
    <row r="48" spans="2:7" x14ac:dyDescent="0.25">
      <c r="B48" s="142" t="str">
        <f>IF(inputPrYr!$B49&gt;"  ",(inputPrYr!$B49),"  ")</f>
        <v xml:space="preserve">  </v>
      </c>
      <c r="C48" s="146"/>
      <c r="D48" s="144"/>
      <c r="E48" s="550"/>
      <c r="F48" s="550"/>
      <c r="G48" s="553"/>
    </row>
    <row r="49" spans="2:7" x14ac:dyDescent="0.25">
      <c r="B49" s="142" t="str">
        <f>IF(inputPrYr!$B51&gt;"  ",(inputPrYr!$B51),"  ")</f>
        <v xml:space="preserve">  </v>
      </c>
      <c r="C49" s="143"/>
      <c r="D49" s="144"/>
      <c r="E49" s="550"/>
      <c r="F49" s="550"/>
      <c r="G49" s="553"/>
    </row>
    <row r="50" spans="2:7" x14ac:dyDescent="0.25">
      <c r="B50" s="142" t="str">
        <f>IF(inputPrYr!$B52&gt;"  ",(inputPrYr!$B52),"  ")</f>
        <v xml:space="preserve">  </v>
      </c>
      <c r="C50" s="143"/>
      <c r="D50" s="144"/>
      <c r="E50" s="550"/>
      <c r="F50" s="550"/>
      <c r="G50" s="553"/>
    </row>
    <row r="51" spans="2:7" x14ac:dyDescent="0.25">
      <c r="B51" s="142" t="str">
        <f>IF(inputPrYr!$B53&gt;"  ",(inputPrYr!$B53),"  ")</f>
        <v xml:space="preserve">  </v>
      </c>
      <c r="C51" s="145"/>
      <c r="D51" s="144"/>
      <c r="E51" s="550"/>
      <c r="F51" s="550"/>
      <c r="G51" s="553"/>
    </row>
    <row r="52" spans="2:7" x14ac:dyDescent="0.25">
      <c r="B52" s="142" t="str">
        <f>IF(inputPrYr!$B54&gt;"  ",(inputPrYr!$B54),"  ")</f>
        <v xml:space="preserve">  </v>
      </c>
      <c r="C52" s="146"/>
      <c r="D52" s="144"/>
      <c r="E52" s="550"/>
      <c r="F52" s="550"/>
      <c r="G52" s="553"/>
    </row>
    <row r="53" spans="2:7" x14ac:dyDescent="0.25">
      <c r="B53" s="142" t="str">
        <f>IF(inputPrYr!$B57&gt;"  ",(NonBudA!$A3),"  ")</f>
        <v>Non-Budgeted Funds-A</v>
      </c>
      <c r="C53" s="146"/>
      <c r="D53" s="144">
        <f>IF(NonBudA!F33&gt;0,NonBudA!F33,"  ")</f>
        <v>16</v>
      </c>
      <c r="E53" s="550"/>
      <c r="F53" s="550"/>
      <c r="G53" s="553"/>
    </row>
    <row r="54" spans="2:7" x14ac:dyDescent="0.25">
      <c r="B54" s="142" t="str">
        <f>IF(inputPrYr!$B63&gt;"  ",(NonBudB!$A3),"  ")</f>
        <v>Non-Budgeted Funds-B</v>
      </c>
      <c r="C54" s="146"/>
      <c r="D54" s="144">
        <f>IF(NonBudB!F33&gt;0,NonBudB!F33,"  ")</f>
        <v>17</v>
      </c>
      <c r="E54" s="550"/>
      <c r="F54" s="550"/>
      <c r="G54" s="553"/>
    </row>
    <row r="55" spans="2:7" x14ac:dyDescent="0.25">
      <c r="B55" s="142" t="str">
        <f>IF(inputPrYr!$B69&gt;"  ",(#REF!),"  ")</f>
        <v xml:space="preserve">  </v>
      </c>
      <c r="C55" s="143"/>
      <c r="D55" s="144"/>
      <c r="E55" s="550"/>
      <c r="F55" s="550"/>
      <c r="G55" s="553"/>
    </row>
    <row r="56" spans="2:7" ht="16" thickBot="1" x14ac:dyDescent="0.3">
      <c r="B56" s="142" t="str">
        <f>IF(inputPrYr!$B75&gt;"  ",(#REF!),"  ")</f>
        <v xml:space="preserve">  </v>
      </c>
      <c r="C56" s="145"/>
      <c r="D56" s="144"/>
      <c r="E56" s="554"/>
      <c r="F56" s="554"/>
      <c r="G56" s="555"/>
    </row>
    <row r="57" spans="2:7" x14ac:dyDescent="0.25">
      <c r="B57" s="356" t="s">
        <v>280</v>
      </c>
      <c r="C57" s="76"/>
      <c r="D57" s="239" t="s">
        <v>39</v>
      </c>
      <c r="E57" s="556">
        <f>SUM(E20:E56)</f>
        <v>4934841</v>
      </c>
      <c r="F57" s="556">
        <f>SUM(F20:F56)</f>
        <v>570868</v>
      </c>
      <c r="G57" s="557" t="str">
        <f>IF(SUM(G20:G56)=0,"",SUM(G20:G56))</f>
        <v/>
      </c>
    </row>
    <row r="58" spans="2:7" x14ac:dyDescent="0.25">
      <c r="B58" s="147" t="s">
        <v>233</v>
      </c>
      <c r="C58" s="148"/>
      <c r="D58" s="149"/>
      <c r="E58" s="150"/>
      <c r="F58" s="151" t="str">
        <f>IF(F57&gt;computation!J40,"Yes","No")</f>
        <v>No</v>
      </c>
      <c r="G58" s="382" t="s">
        <v>173</v>
      </c>
    </row>
    <row r="59" spans="2:7" x14ac:dyDescent="0.25">
      <c r="B59" s="133" t="s">
        <v>232</v>
      </c>
      <c r="C59" s="76"/>
      <c r="D59" s="134">
        <f>summ!D47</f>
        <v>18</v>
      </c>
      <c r="E59" s="32"/>
      <c r="F59" s="32"/>
      <c r="G59" s="406"/>
    </row>
    <row r="60" spans="2:7" x14ac:dyDescent="0.25">
      <c r="B60" s="133" t="s">
        <v>8</v>
      </c>
      <c r="C60" s="76"/>
      <c r="D60" s="134">
        <f>IF(nhood!C39&gt;0,nhood!C39,"")</f>
        <v>19</v>
      </c>
      <c r="E60" s="32"/>
      <c r="F60" s="32"/>
      <c r="G60" s="614" t="str">
        <f>CONCATENATE("Nov 1, ",I1-1," Total Assessed Valuation")</f>
        <v>Nov 1, 2013 Total Assessed Valuation</v>
      </c>
    </row>
    <row r="61" spans="2:7" x14ac:dyDescent="0.25">
      <c r="B61" s="90" t="s">
        <v>40</v>
      </c>
      <c r="C61" s="59"/>
      <c r="D61" s="59"/>
      <c r="E61" s="59"/>
      <c r="F61" s="59"/>
      <c r="G61" s="615"/>
    </row>
    <row r="62" spans="2:7" x14ac:dyDescent="0.35">
      <c r="B62" s="568" t="s">
        <v>395</v>
      </c>
      <c r="C62" s="59"/>
      <c r="D62" s="32"/>
      <c r="E62" s="265"/>
      <c r="F62" s="59"/>
      <c r="G62" s="59"/>
    </row>
    <row r="63" spans="2:7" x14ac:dyDescent="0.35">
      <c r="B63" s="569" t="s">
        <v>396</v>
      </c>
      <c r="C63" s="59"/>
      <c r="D63" s="60" t="s">
        <v>362</v>
      </c>
      <c r="E63" s="265"/>
      <c r="F63" s="59"/>
      <c r="G63" s="59"/>
    </row>
    <row r="64" spans="2:7" x14ac:dyDescent="0.25">
      <c r="B64" s="90" t="s">
        <v>177</v>
      </c>
      <c r="C64" s="32"/>
      <c r="D64" s="58"/>
      <c r="E64" s="265"/>
      <c r="F64" s="59"/>
      <c r="G64" s="59"/>
    </row>
    <row r="65" spans="2:7" x14ac:dyDescent="0.35">
      <c r="B65" s="570" t="s">
        <v>397</v>
      </c>
      <c r="C65" s="59"/>
      <c r="D65" s="59" t="s">
        <v>363</v>
      </c>
      <c r="E65" s="265"/>
      <c r="F65" s="265"/>
      <c r="G65" s="265"/>
    </row>
    <row r="66" spans="2:7" x14ac:dyDescent="0.35">
      <c r="B66" s="570" t="s">
        <v>398</v>
      </c>
      <c r="C66" s="152"/>
      <c r="D66" s="59"/>
      <c r="E66" s="59"/>
      <c r="F66" s="540"/>
      <c r="G66" s="540"/>
    </row>
    <row r="67" spans="2:7" x14ac:dyDescent="0.25">
      <c r="B67" s="59" t="s">
        <v>364</v>
      </c>
      <c r="C67" s="152"/>
      <c r="D67" s="59" t="s">
        <v>363</v>
      </c>
      <c r="E67" s="59"/>
      <c r="F67" s="541"/>
      <c r="G67" s="541"/>
    </row>
    <row r="68" spans="2:7" x14ac:dyDescent="0.25">
      <c r="B68" s="571" t="s">
        <v>399</v>
      </c>
      <c r="C68" s="153"/>
      <c r="D68" s="59"/>
      <c r="E68" s="59"/>
      <c r="F68" s="81"/>
      <c r="G68" s="81"/>
    </row>
    <row r="69" spans="2:7" x14ac:dyDescent="0.25">
      <c r="B69" s="434" t="s">
        <v>2</v>
      </c>
      <c r="C69" s="154">
        <f>I1-1</f>
        <v>2013</v>
      </c>
      <c r="D69" s="59" t="s">
        <v>363</v>
      </c>
      <c r="E69" s="59"/>
      <c r="F69" s="541"/>
      <c r="G69" s="541"/>
    </row>
    <row r="70" spans="2:7" x14ac:dyDescent="0.25">
      <c r="B70" s="265"/>
      <c r="C70" s="154"/>
      <c r="D70" s="59"/>
      <c r="E70" s="59"/>
      <c r="F70" s="121"/>
      <c r="G70" s="32"/>
    </row>
    <row r="71" spans="2:7" x14ac:dyDescent="0.25">
      <c r="B71" s="435"/>
      <c r="C71" s="32"/>
      <c r="D71" s="59" t="s">
        <v>363</v>
      </c>
      <c r="E71" s="59"/>
      <c r="F71" s="59"/>
      <c r="G71" s="59"/>
    </row>
    <row r="72" spans="2:7" x14ac:dyDescent="0.25">
      <c r="B72" s="120" t="s">
        <v>42</v>
      </c>
      <c r="C72" s="32"/>
      <c r="D72" s="612" t="s">
        <v>41</v>
      </c>
      <c r="E72" s="613"/>
      <c r="F72" s="613"/>
      <c r="G72" s="613"/>
    </row>
    <row r="73" spans="2:7" x14ac:dyDescent="0.25">
      <c r="B73" s="616" t="s">
        <v>375</v>
      </c>
      <c r="C73" s="594"/>
      <c r="D73" s="594"/>
      <c r="E73" s="594"/>
      <c r="F73" s="594"/>
      <c r="G73" s="594"/>
    </row>
    <row r="83" spans="2:7" ht="12.5" x14ac:dyDescent="0.25">
      <c r="B83" s="89"/>
      <c r="C83" s="89"/>
      <c r="D83" s="89"/>
      <c r="E83" s="89"/>
      <c r="F83" s="89"/>
      <c r="G83" s="89"/>
    </row>
    <row r="84" spans="2:7" ht="12.5" x14ac:dyDescent="0.25">
      <c r="B84" s="89"/>
      <c r="C84" s="89"/>
      <c r="D84" s="89"/>
      <c r="E84" s="89"/>
      <c r="F84" s="89"/>
      <c r="G84" s="89"/>
    </row>
    <row r="85" spans="2:7" ht="12.5" x14ac:dyDescent="0.25">
      <c r="B85" s="89"/>
      <c r="C85" s="89"/>
      <c r="D85" s="89"/>
      <c r="E85" s="89"/>
      <c r="F85" s="89"/>
      <c r="G85" s="89"/>
    </row>
    <row r="86" spans="2:7" ht="12.5" x14ac:dyDescent="0.25">
      <c r="B86" s="89"/>
      <c r="C86" s="89"/>
      <c r="D86" s="89"/>
      <c r="E86" s="89"/>
      <c r="F86" s="89"/>
      <c r="G86" s="89"/>
    </row>
    <row r="87" spans="2:7" ht="12.5" x14ac:dyDescent="0.25">
      <c r="B87" s="89"/>
      <c r="C87" s="89"/>
      <c r="D87" s="89"/>
      <c r="E87" s="89"/>
      <c r="F87" s="89"/>
      <c r="G87" s="89"/>
    </row>
    <row r="88" spans="2:7" ht="12.5" x14ac:dyDescent="0.25">
      <c r="B88" s="89"/>
      <c r="C88" s="89"/>
      <c r="D88" s="89"/>
      <c r="E88" s="89"/>
      <c r="F88" s="89"/>
      <c r="G88" s="89"/>
    </row>
    <row r="89" spans="2:7" ht="12.5" x14ac:dyDescent="0.25">
      <c r="B89" s="89"/>
      <c r="C89" s="89"/>
      <c r="D89" s="89"/>
      <c r="E89" s="89"/>
      <c r="F89" s="89"/>
      <c r="G89" s="89"/>
    </row>
    <row r="90" spans="2:7" ht="12.5" x14ac:dyDescent="0.25">
      <c r="B90" s="89"/>
      <c r="C90" s="89"/>
      <c r="D90" s="89"/>
      <c r="E90" s="89"/>
      <c r="F90" s="89"/>
      <c r="G90" s="89"/>
    </row>
    <row r="91" spans="2:7" ht="12.5" x14ac:dyDescent="0.25">
      <c r="B91" s="89"/>
      <c r="C91" s="89"/>
      <c r="D91" s="89"/>
      <c r="E91" s="89"/>
      <c r="F91" s="89"/>
      <c r="G91" s="89"/>
    </row>
    <row r="92" spans="2:7" ht="12.5" x14ac:dyDescent="0.25">
      <c r="B92" s="89"/>
      <c r="C92" s="89"/>
      <c r="D92" s="89"/>
      <c r="E92" s="89"/>
      <c r="F92" s="89"/>
      <c r="G92" s="89"/>
    </row>
    <row r="93" spans="2:7" ht="12.5" x14ac:dyDescent="0.25">
      <c r="B93" s="89"/>
      <c r="C93" s="89"/>
      <c r="D93" s="89"/>
      <c r="E93" s="89"/>
      <c r="F93" s="89"/>
      <c r="G93" s="89"/>
    </row>
    <row r="94" spans="2:7" ht="12.5" x14ac:dyDescent="0.25">
      <c r="B94" s="89"/>
      <c r="C94" s="89"/>
      <c r="D94" s="89"/>
      <c r="E94" s="89"/>
      <c r="F94" s="89"/>
      <c r="G94" s="89"/>
    </row>
    <row r="95" spans="2:7" ht="12.5" x14ac:dyDescent="0.25">
      <c r="B95" s="89"/>
      <c r="C95" s="89"/>
      <c r="D95" s="89"/>
      <c r="E95" s="89"/>
      <c r="F95" s="89"/>
      <c r="G95" s="89"/>
    </row>
    <row r="96" spans="2:7" ht="12.5" x14ac:dyDescent="0.25">
      <c r="B96" s="89"/>
      <c r="C96" s="89"/>
      <c r="D96" s="89"/>
      <c r="E96" s="89"/>
      <c r="F96" s="89"/>
      <c r="G96" s="89"/>
    </row>
    <row r="97" spans="2:7" ht="12.5" x14ac:dyDescent="0.25">
      <c r="B97" s="89"/>
      <c r="C97" s="89"/>
      <c r="D97" s="89"/>
      <c r="E97" s="89"/>
      <c r="F97" s="89"/>
      <c r="G97" s="89"/>
    </row>
    <row r="98" spans="2:7" ht="12.5" x14ac:dyDescent="0.25">
      <c r="B98" s="89"/>
      <c r="C98" s="89"/>
      <c r="D98" s="89"/>
      <c r="E98" s="89"/>
      <c r="F98" s="89"/>
      <c r="G98" s="89"/>
    </row>
    <row r="101" spans="2:7" x14ac:dyDescent="0.25">
      <c r="B101" s="28"/>
      <c r="C101" s="28"/>
      <c r="D101" s="28"/>
      <c r="E101" s="28"/>
      <c r="F101" s="28"/>
      <c r="G101" s="28"/>
    </row>
  </sheetData>
  <mergeCells count="5">
    <mergeCell ref="B4:G4"/>
    <mergeCell ref="B2:G2"/>
    <mergeCell ref="D72:G72"/>
    <mergeCell ref="G60:G61"/>
    <mergeCell ref="B73:G73"/>
  </mergeCells>
  <phoneticPr fontId="0" type="noConversion"/>
  <hyperlinks>
    <hyperlink ref="B68" r:id="rId1"/>
  </hyperlinks>
  <pageMargins left="1" right="0.5" top="0.5" bottom="0.5" header="0.25" footer="0.25"/>
  <pageSetup scale="67" orientation="portrait" blackAndWhite="1" horizontalDpi="120" verticalDpi="144" r:id="rId2"/>
  <headerFooter alignWithMargins="0">
    <oddHeader xml:space="preserve">&amp;RState of Kansas
City
</oddHeader>
    <oddFooter>&amp;C   Page No. 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opLeftCell="A27" zoomScale="85" workbookViewId="0">
      <selection activeCell="J38" sqref="J38"/>
    </sheetView>
  </sheetViews>
  <sheetFormatPr defaultColWidth="8.9140625" defaultRowHeight="16" customHeight="1" x14ac:dyDescent="0.25"/>
  <cols>
    <col min="1" max="2" width="3.33203125" style="28" customWidth="1"/>
    <col min="3" max="3" width="31.33203125" style="28" customWidth="1"/>
    <col min="4" max="4" width="2.33203125" style="28" customWidth="1"/>
    <col min="5" max="5" width="15.6640625" style="28" customWidth="1"/>
    <col min="6" max="6" width="2" style="28" customWidth="1"/>
    <col min="7" max="7" width="15.6640625" style="28" customWidth="1"/>
    <col min="8" max="8" width="1.9140625" style="28" customWidth="1"/>
    <col min="9" max="9" width="1.6640625" style="28" customWidth="1"/>
    <col min="10" max="10" width="15.6640625" style="28" customWidth="1"/>
    <col min="11" max="16384" width="8.9140625" style="28"/>
  </cols>
  <sheetData>
    <row r="1" spans="1:10" ht="16" customHeight="1" x14ac:dyDescent="0.25">
      <c r="A1" s="156"/>
      <c r="B1" s="156"/>
      <c r="C1" s="157" t="str">
        <f>inputPrYr!D2</f>
        <v>City of Eureka</v>
      </c>
      <c r="D1" s="156"/>
      <c r="E1" s="156"/>
      <c r="F1" s="156"/>
      <c r="G1" s="156"/>
      <c r="H1" s="156"/>
      <c r="I1" s="156"/>
      <c r="J1" s="156">
        <f>inputPrYr!C5</f>
        <v>2014</v>
      </c>
    </row>
    <row r="2" spans="1:10" ht="16" customHeight="1" x14ac:dyDescent="0.25">
      <c r="A2" s="156"/>
      <c r="B2" s="156"/>
      <c r="C2" s="156"/>
      <c r="D2" s="156"/>
      <c r="E2" s="156"/>
      <c r="F2" s="156"/>
      <c r="G2" s="156"/>
      <c r="H2" s="156"/>
      <c r="I2" s="156"/>
      <c r="J2" s="156"/>
    </row>
    <row r="3" spans="1:10" ht="15.5" x14ac:dyDescent="0.25">
      <c r="A3" s="618" t="str">
        <f>CONCATENATE("Computation to Determine Limit for ",J1,"")</f>
        <v>Computation to Determine Limit for 2014</v>
      </c>
      <c r="B3" s="619"/>
      <c r="C3" s="619"/>
      <c r="D3" s="619"/>
      <c r="E3" s="619"/>
      <c r="F3" s="619"/>
      <c r="G3" s="619"/>
      <c r="H3" s="619"/>
      <c r="I3" s="619"/>
      <c r="J3" s="619"/>
    </row>
    <row r="4" spans="1:10" ht="15.5" x14ac:dyDescent="0.25">
      <c r="A4" s="156"/>
      <c r="B4" s="156"/>
      <c r="C4" s="156"/>
      <c r="D4" s="156"/>
      <c r="E4" s="619"/>
      <c r="F4" s="619"/>
      <c r="G4" s="619"/>
      <c r="H4" s="158"/>
      <c r="I4" s="156"/>
      <c r="J4" s="159" t="s">
        <v>119</v>
      </c>
    </row>
    <row r="5" spans="1:10" ht="15.5" x14ac:dyDescent="0.25">
      <c r="A5" s="160" t="s">
        <v>120</v>
      </c>
      <c r="B5" s="156" t="str">
        <f>CONCATENATE("Total Tax Levy Amount in ",J1-1," Budget")</f>
        <v>Total Tax Levy Amount in 2013 Budget</v>
      </c>
      <c r="C5" s="156"/>
      <c r="D5" s="156"/>
      <c r="E5" s="161"/>
      <c r="F5" s="161"/>
      <c r="G5" s="161"/>
      <c r="H5" s="162" t="s">
        <v>121</v>
      </c>
      <c r="I5" s="161" t="s">
        <v>122</v>
      </c>
      <c r="J5" s="163">
        <f>inputPrYr!E31</f>
        <v>556650</v>
      </c>
    </row>
    <row r="6" spans="1:10" ht="15.5" x14ac:dyDescent="0.25">
      <c r="A6" s="160" t="s">
        <v>123</v>
      </c>
      <c r="B6" s="156" t="str">
        <f>CONCATENATE("Debt Service Levy in ",J1-1," Budget")</f>
        <v>Debt Service Levy in 2013 Budget</v>
      </c>
      <c r="C6" s="156"/>
      <c r="D6" s="156"/>
      <c r="E6" s="161"/>
      <c r="F6" s="161"/>
      <c r="G6" s="161"/>
      <c r="H6" s="162" t="s">
        <v>124</v>
      </c>
      <c r="I6" s="161" t="s">
        <v>122</v>
      </c>
      <c r="J6" s="164">
        <f>inputPrYr!E18</f>
        <v>65091</v>
      </c>
    </row>
    <row r="7" spans="1:10" ht="15.5" x14ac:dyDescent="0.25">
      <c r="A7" s="160" t="s">
        <v>150</v>
      </c>
      <c r="B7" s="165" t="s">
        <v>147</v>
      </c>
      <c r="C7" s="156"/>
      <c r="D7" s="156"/>
      <c r="E7" s="161"/>
      <c r="F7" s="161"/>
      <c r="G7" s="161"/>
      <c r="H7" s="161"/>
      <c r="I7" s="161" t="s">
        <v>122</v>
      </c>
      <c r="J7" s="166">
        <f>J5-J6</f>
        <v>491559</v>
      </c>
    </row>
    <row r="8" spans="1:10" ht="15.5" x14ac:dyDescent="0.25">
      <c r="A8" s="156"/>
      <c r="B8" s="156"/>
      <c r="C8" s="156"/>
      <c r="D8" s="156"/>
      <c r="E8" s="161"/>
      <c r="F8" s="161"/>
      <c r="G8" s="161"/>
      <c r="H8" s="161"/>
      <c r="I8" s="161"/>
      <c r="J8" s="161"/>
    </row>
    <row r="9" spans="1:10" ht="15.5" x14ac:dyDescent="0.25">
      <c r="A9" s="156"/>
      <c r="B9" s="165" t="str">
        <f>CONCATENATE("",J1-1," Valuation Information for Valuation Adjustments:")</f>
        <v>2013 Valuation Information for Valuation Adjustments:</v>
      </c>
      <c r="C9" s="156"/>
      <c r="D9" s="156"/>
      <c r="E9" s="161"/>
      <c r="F9" s="161"/>
      <c r="G9" s="161"/>
      <c r="H9" s="161"/>
      <c r="I9" s="161"/>
      <c r="J9" s="161"/>
    </row>
    <row r="10" spans="1:10" ht="15.5" x14ac:dyDescent="0.25">
      <c r="A10" s="156"/>
      <c r="B10" s="156"/>
      <c r="C10" s="165"/>
      <c r="D10" s="156"/>
      <c r="E10" s="161"/>
      <c r="F10" s="161"/>
      <c r="G10" s="161"/>
      <c r="H10" s="161"/>
      <c r="I10" s="161"/>
      <c r="J10" s="161"/>
    </row>
    <row r="11" spans="1:10" ht="15.5" x14ac:dyDescent="0.25">
      <c r="A11" s="160" t="s">
        <v>125</v>
      </c>
      <c r="B11" s="165" t="str">
        <f>CONCATENATE("New Improvements for ",J1-1,":")</f>
        <v>New Improvements for 2013:</v>
      </c>
      <c r="C11" s="156"/>
      <c r="D11" s="156"/>
      <c r="E11" s="162"/>
      <c r="F11" s="162" t="s">
        <v>121</v>
      </c>
      <c r="G11" s="167">
        <f>inputOth!E8</f>
        <v>17874</v>
      </c>
      <c r="H11" s="168"/>
      <c r="I11" s="161"/>
      <c r="J11" s="161"/>
    </row>
    <row r="12" spans="1:10" ht="15.5" x14ac:dyDescent="0.25">
      <c r="A12" s="160"/>
      <c r="B12" s="169"/>
      <c r="C12" s="156"/>
      <c r="D12" s="156"/>
      <c r="E12" s="162"/>
      <c r="F12" s="162"/>
      <c r="G12" s="168"/>
      <c r="H12" s="168"/>
      <c r="I12" s="161"/>
      <c r="J12" s="161"/>
    </row>
    <row r="13" spans="1:10" ht="15.5" x14ac:dyDescent="0.25">
      <c r="A13" s="160" t="s">
        <v>126</v>
      </c>
      <c r="B13" s="165" t="str">
        <f>CONCATENATE("Increase in Personal Property for ",J1-1,":")</f>
        <v>Increase in Personal Property for 2013:</v>
      </c>
      <c r="C13" s="156"/>
      <c r="D13" s="156"/>
      <c r="E13" s="162"/>
      <c r="F13" s="162"/>
      <c r="G13" s="168"/>
      <c r="H13" s="168"/>
      <c r="I13" s="161"/>
      <c r="J13" s="161"/>
    </row>
    <row r="14" spans="1:10" ht="15.5" x14ac:dyDescent="0.25">
      <c r="A14" s="170"/>
      <c r="B14" s="156" t="s">
        <v>127</v>
      </c>
      <c r="C14" s="156" t="str">
        <f>CONCATENATE("Personal Property ",J1-1,"")</f>
        <v>Personal Property 2013</v>
      </c>
      <c r="D14" s="169" t="s">
        <v>121</v>
      </c>
      <c r="E14" s="167">
        <f>inputOth!E9</f>
        <v>307745</v>
      </c>
      <c r="F14" s="162"/>
      <c r="G14" s="161"/>
      <c r="H14" s="161"/>
      <c r="I14" s="168"/>
      <c r="J14" s="161"/>
    </row>
    <row r="15" spans="1:10" ht="15.5" x14ac:dyDescent="0.25">
      <c r="A15" s="169"/>
      <c r="B15" s="156" t="s">
        <v>128</v>
      </c>
      <c r="C15" s="156" t="str">
        <f>CONCATENATE("Personal Property ",J1-2,"")</f>
        <v>Personal Property 2012</v>
      </c>
      <c r="D15" s="169" t="s">
        <v>124</v>
      </c>
      <c r="E15" s="171">
        <f>inputOth!E15</f>
        <v>0</v>
      </c>
      <c r="F15" s="162"/>
      <c r="G15" s="168"/>
      <c r="H15" s="168"/>
      <c r="I15" s="161"/>
      <c r="J15" s="161"/>
    </row>
    <row r="16" spans="1:10" ht="15.5" x14ac:dyDescent="0.25">
      <c r="A16" s="169"/>
      <c r="B16" s="156" t="s">
        <v>129</v>
      </c>
      <c r="C16" s="156" t="s">
        <v>149</v>
      </c>
      <c r="D16" s="156"/>
      <c r="E16" s="161"/>
      <c r="F16" s="161" t="s">
        <v>121</v>
      </c>
      <c r="G16" s="163">
        <f>IF(E14&gt;E15,E14-E15,0)</f>
        <v>307745</v>
      </c>
      <c r="H16" s="168"/>
      <c r="I16" s="161"/>
      <c r="J16" s="161"/>
    </row>
    <row r="17" spans="1:10" ht="15.5" x14ac:dyDescent="0.25">
      <c r="A17" s="169"/>
      <c r="B17" s="169"/>
      <c r="C17" s="156"/>
      <c r="D17" s="156"/>
      <c r="E17" s="161"/>
      <c r="F17" s="161"/>
      <c r="G17" s="168" t="s">
        <v>142</v>
      </c>
      <c r="H17" s="168"/>
      <c r="I17" s="161"/>
      <c r="J17" s="161"/>
    </row>
    <row r="18" spans="1:10" ht="15.5" x14ac:dyDescent="0.25">
      <c r="A18" s="169" t="s">
        <v>130</v>
      </c>
      <c r="B18" s="165" t="str">
        <f>CONCATENATE("Valuation of annexed territory for ",J1-1,"")</f>
        <v>Valuation of annexed territory for 2013</v>
      </c>
      <c r="C18" s="156"/>
      <c r="D18" s="156"/>
      <c r="E18" s="168"/>
      <c r="F18" s="161"/>
      <c r="G18" s="161"/>
      <c r="H18" s="161"/>
      <c r="I18" s="161"/>
      <c r="J18" s="161"/>
    </row>
    <row r="19" spans="1:10" ht="15.5" x14ac:dyDescent="0.25">
      <c r="A19" s="169"/>
      <c r="B19" s="156" t="s">
        <v>131</v>
      </c>
      <c r="C19" s="156" t="s">
        <v>151</v>
      </c>
      <c r="D19" s="169" t="s">
        <v>121</v>
      </c>
      <c r="E19" s="167">
        <f>inputOth!E11</f>
        <v>0</v>
      </c>
      <c r="F19" s="161"/>
      <c r="G19" s="161"/>
      <c r="H19" s="161"/>
      <c r="I19" s="161"/>
      <c r="J19" s="161"/>
    </row>
    <row r="20" spans="1:10" ht="15.5" x14ac:dyDescent="0.25">
      <c r="A20" s="169"/>
      <c r="B20" s="156" t="s">
        <v>132</v>
      </c>
      <c r="C20" s="156" t="s">
        <v>152</v>
      </c>
      <c r="D20" s="169" t="s">
        <v>121</v>
      </c>
      <c r="E20" s="167">
        <f>inputOth!E12</f>
        <v>0</v>
      </c>
      <c r="F20" s="161"/>
      <c r="G20" s="168"/>
      <c r="H20" s="168"/>
      <c r="I20" s="161"/>
      <c r="J20" s="161"/>
    </row>
    <row r="21" spans="1:10" ht="15.5" x14ac:dyDescent="0.25">
      <c r="A21" s="169"/>
      <c r="B21" s="156" t="s">
        <v>133</v>
      </c>
      <c r="C21" s="156" t="s">
        <v>148</v>
      </c>
      <c r="D21" s="169" t="s">
        <v>124</v>
      </c>
      <c r="E21" s="167">
        <f>inputOth!E13</f>
        <v>0</v>
      </c>
      <c r="F21" s="161"/>
      <c r="G21" s="168"/>
      <c r="H21" s="168"/>
      <c r="I21" s="161"/>
      <c r="J21" s="161"/>
    </row>
    <row r="22" spans="1:10" ht="15.5" x14ac:dyDescent="0.25">
      <c r="A22" s="169"/>
      <c r="B22" s="156" t="s">
        <v>134</v>
      </c>
      <c r="C22" s="156" t="s">
        <v>153</v>
      </c>
      <c r="D22" s="169"/>
      <c r="E22" s="168"/>
      <c r="F22" s="161" t="s">
        <v>121</v>
      </c>
      <c r="G22" s="163">
        <f>E19+E20-E21</f>
        <v>0</v>
      </c>
      <c r="H22" s="168"/>
      <c r="I22" s="161"/>
      <c r="J22" s="161"/>
    </row>
    <row r="23" spans="1:10" ht="15.5" x14ac:dyDescent="0.25">
      <c r="A23" s="169"/>
      <c r="B23" s="169"/>
      <c r="C23" s="156"/>
      <c r="D23" s="169"/>
      <c r="E23" s="168"/>
      <c r="F23" s="161"/>
      <c r="G23" s="168"/>
      <c r="H23" s="168"/>
      <c r="I23" s="161"/>
      <c r="J23" s="161"/>
    </row>
    <row r="24" spans="1:10" ht="15.5" x14ac:dyDescent="0.25">
      <c r="A24" s="169" t="s">
        <v>135</v>
      </c>
      <c r="B24" s="165" t="str">
        <f>CONCATENATE("Valuation of Property that has Changed in Use during ",J1-1,"")</f>
        <v>Valuation of Property that has Changed in Use during 2013</v>
      </c>
      <c r="C24" s="156"/>
      <c r="D24" s="156"/>
      <c r="E24" s="161"/>
      <c r="F24" s="161"/>
      <c r="G24" s="80">
        <f>inputOth!E14</f>
        <v>6891</v>
      </c>
      <c r="H24" s="161"/>
      <c r="I24" s="161"/>
      <c r="J24" s="161"/>
    </row>
    <row r="25" spans="1:10" ht="15.5" x14ac:dyDescent="0.25">
      <c r="A25" s="156" t="s">
        <v>27</v>
      </c>
      <c r="B25" s="156"/>
      <c r="C25" s="156"/>
      <c r="D25" s="169"/>
      <c r="E25" s="168"/>
      <c r="F25" s="161"/>
      <c r="G25" s="172"/>
      <c r="H25" s="168"/>
      <c r="I25" s="161"/>
      <c r="J25" s="161"/>
    </row>
    <row r="26" spans="1:10" ht="15.5" x14ac:dyDescent="0.25">
      <c r="A26" s="169" t="s">
        <v>136</v>
      </c>
      <c r="B26" s="165" t="s">
        <v>154</v>
      </c>
      <c r="C26" s="156"/>
      <c r="D26" s="156"/>
      <c r="E26" s="161"/>
      <c r="F26" s="161"/>
      <c r="G26" s="163">
        <f>G11+G16+G22+G24</f>
        <v>332510</v>
      </c>
      <c r="H26" s="168"/>
      <c r="I26" s="161"/>
      <c r="J26" s="161"/>
    </row>
    <row r="27" spans="1:10" ht="15.5" x14ac:dyDescent="0.25">
      <c r="A27" s="169"/>
      <c r="B27" s="169"/>
      <c r="C27" s="165"/>
      <c r="D27" s="156"/>
      <c r="E27" s="161"/>
      <c r="F27" s="161"/>
      <c r="G27" s="168"/>
      <c r="H27" s="168"/>
      <c r="I27" s="161"/>
      <c r="J27" s="161"/>
    </row>
    <row r="28" spans="1:10" ht="15.5" x14ac:dyDescent="0.25">
      <c r="A28" s="169" t="s">
        <v>137</v>
      </c>
      <c r="B28" s="156" t="str">
        <f>CONCATENATE("Total Estimated Valuation July 1,",J1-1,"")</f>
        <v>Total Estimated Valuation July 1,2013</v>
      </c>
      <c r="C28" s="156"/>
      <c r="D28" s="156"/>
      <c r="E28" s="163">
        <f>inputOth!E7</f>
        <v>10385454</v>
      </c>
      <c r="F28" s="161"/>
      <c r="G28" s="161"/>
      <c r="H28" s="161"/>
      <c r="I28" s="162"/>
      <c r="J28" s="161"/>
    </row>
    <row r="29" spans="1:10" ht="15.5" x14ac:dyDescent="0.25">
      <c r="A29" s="169"/>
      <c r="B29" s="169"/>
      <c r="C29" s="156"/>
      <c r="D29" s="156"/>
      <c r="E29" s="168"/>
      <c r="F29" s="161"/>
      <c r="G29" s="161"/>
      <c r="H29" s="161"/>
      <c r="I29" s="162"/>
      <c r="J29" s="161"/>
    </row>
    <row r="30" spans="1:10" ht="15.5" x14ac:dyDescent="0.25">
      <c r="A30" s="169" t="s">
        <v>138</v>
      </c>
      <c r="B30" s="165" t="s">
        <v>155</v>
      </c>
      <c r="C30" s="156"/>
      <c r="D30" s="156"/>
      <c r="E30" s="161"/>
      <c r="F30" s="161"/>
      <c r="G30" s="163">
        <f>E28-G26</f>
        <v>10052944</v>
      </c>
      <c r="H30" s="168"/>
      <c r="I30" s="162"/>
      <c r="J30" s="161"/>
    </row>
    <row r="31" spans="1:10" ht="15.5" x14ac:dyDescent="0.25">
      <c r="A31" s="169"/>
      <c r="B31" s="169"/>
      <c r="C31" s="165"/>
      <c r="D31" s="156"/>
      <c r="E31" s="156"/>
      <c r="F31" s="156"/>
      <c r="G31" s="173"/>
      <c r="H31" s="174"/>
      <c r="I31" s="169"/>
      <c r="J31" s="156"/>
    </row>
    <row r="32" spans="1:10" ht="15.5" x14ac:dyDescent="0.25">
      <c r="A32" s="169" t="s">
        <v>139</v>
      </c>
      <c r="B32" s="156" t="s">
        <v>156</v>
      </c>
      <c r="C32" s="156"/>
      <c r="D32" s="156"/>
      <c r="E32" s="156"/>
      <c r="F32" s="156"/>
      <c r="G32" s="175">
        <f>IF(G30&gt;0,G26/G30,0)</f>
        <v>3.3075883044807568E-2</v>
      </c>
      <c r="H32" s="174"/>
      <c r="I32" s="156"/>
      <c r="J32" s="156"/>
    </row>
    <row r="33" spans="1:10" ht="15.5" x14ac:dyDescent="0.25">
      <c r="A33" s="169"/>
      <c r="B33" s="169"/>
      <c r="C33" s="156"/>
      <c r="D33" s="156"/>
      <c r="E33" s="156"/>
      <c r="F33" s="156"/>
      <c r="G33" s="174"/>
      <c r="H33" s="174"/>
      <c r="I33" s="156"/>
      <c r="J33" s="156"/>
    </row>
    <row r="34" spans="1:10" ht="15.5" x14ac:dyDescent="0.25">
      <c r="A34" s="169" t="s">
        <v>140</v>
      </c>
      <c r="B34" s="156" t="s">
        <v>157</v>
      </c>
      <c r="C34" s="156"/>
      <c r="D34" s="156"/>
      <c r="E34" s="156"/>
      <c r="F34" s="156"/>
      <c r="G34" s="174"/>
      <c r="H34" s="176" t="s">
        <v>121</v>
      </c>
      <c r="I34" s="156" t="s">
        <v>122</v>
      </c>
      <c r="J34" s="163">
        <f>ROUND(G32*J7,0)</f>
        <v>16259</v>
      </c>
    </row>
    <row r="35" spans="1:10" ht="15.5" x14ac:dyDescent="0.25">
      <c r="A35" s="169"/>
      <c r="B35" s="169"/>
      <c r="C35" s="156"/>
      <c r="D35" s="156"/>
      <c r="E35" s="156"/>
      <c r="F35" s="156"/>
      <c r="G35" s="174"/>
      <c r="H35" s="176"/>
      <c r="I35" s="156"/>
      <c r="J35" s="168"/>
    </row>
    <row r="36" spans="1:10" thickBot="1" x14ac:dyDescent="0.3">
      <c r="A36" s="169" t="s">
        <v>141</v>
      </c>
      <c r="B36" s="165" t="s">
        <v>163</v>
      </c>
      <c r="C36" s="156"/>
      <c r="D36" s="156"/>
      <c r="E36" s="156"/>
      <c r="F36" s="156"/>
      <c r="G36" s="156"/>
      <c r="H36" s="156"/>
      <c r="I36" s="156" t="s">
        <v>122</v>
      </c>
      <c r="J36" s="177">
        <f>J7+J34</f>
        <v>507818</v>
      </c>
    </row>
    <row r="37" spans="1:10" thickTop="1" x14ac:dyDescent="0.25">
      <c r="A37" s="156"/>
      <c r="B37" s="156"/>
      <c r="C37" s="156"/>
      <c r="D37" s="156"/>
      <c r="E37" s="156"/>
      <c r="F37" s="156"/>
      <c r="G37" s="156"/>
      <c r="H37" s="156"/>
      <c r="I37" s="156"/>
      <c r="J37" s="156"/>
    </row>
    <row r="38" spans="1:10" ht="15.5" x14ac:dyDescent="0.25">
      <c r="A38" s="169" t="s">
        <v>161</v>
      </c>
      <c r="B38" s="165" t="str">
        <f>CONCATENATE("Debt Service in this ",J1," Budget")</f>
        <v>Debt Service in this 2014 Budget</v>
      </c>
      <c r="C38" s="156"/>
      <c r="D38" s="156"/>
      <c r="E38" s="156"/>
      <c r="F38" s="156"/>
      <c r="G38" s="156"/>
      <c r="H38" s="156"/>
      <c r="I38" s="156"/>
      <c r="J38" s="178">
        <f>'Bond &amp; Int -library'!E40</f>
        <v>63050</v>
      </c>
    </row>
    <row r="39" spans="1:10" ht="15.5" x14ac:dyDescent="0.25">
      <c r="A39" s="169"/>
      <c r="B39" s="165"/>
      <c r="C39" s="156"/>
      <c r="D39" s="156"/>
      <c r="E39" s="156"/>
      <c r="F39" s="156"/>
      <c r="G39" s="156"/>
      <c r="H39" s="156"/>
      <c r="I39" s="156"/>
      <c r="J39" s="174"/>
    </row>
    <row r="40" spans="1:10" thickBot="1" x14ac:dyDescent="0.3">
      <c r="A40" s="169" t="s">
        <v>162</v>
      </c>
      <c r="B40" s="165" t="s">
        <v>164</v>
      </c>
      <c r="C40" s="156"/>
      <c r="D40" s="156"/>
      <c r="E40" s="156"/>
      <c r="F40" s="156"/>
      <c r="G40" s="156"/>
      <c r="H40" s="156"/>
      <c r="I40" s="156"/>
      <c r="J40" s="177">
        <f>J36+J38</f>
        <v>570868</v>
      </c>
    </row>
    <row r="41" spans="1:10" thickTop="1" x14ac:dyDescent="0.25">
      <c r="A41" s="156"/>
      <c r="B41" s="156"/>
      <c r="C41" s="156"/>
      <c r="D41" s="156"/>
      <c r="E41" s="156"/>
      <c r="F41" s="156"/>
      <c r="G41" s="156"/>
      <c r="H41" s="156"/>
      <c r="I41" s="156"/>
      <c r="J41" s="156"/>
    </row>
    <row r="42" spans="1:10" s="179" customFormat="1" ht="18" x14ac:dyDescent="0.25">
      <c r="A42" s="617" t="str">
        <f>CONCATENATE("If the ",J1," budget includes tax levies exceeding the total on line 15, you must")</f>
        <v>If the 2014 budget includes tax levies exceeding the total on line 15, you must</v>
      </c>
      <c r="B42" s="617"/>
      <c r="C42" s="617"/>
      <c r="D42" s="617"/>
      <c r="E42" s="617"/>
      <c r="F42" s="617"/>
      <c r="G42" s="617"/>
      <c r="H42" s="617"/>
      <c r="I42" s="617"/>
      <c r="J42" s="617"/>
    </row>
    <row r="43" spans="1:10" s="179" customFormat="1" ht="18" x14ac:dyDescent="0.25">
      <c r="A43" s="617" t="s">
        <v>218</v>
      </c>
      <c r="B43" s="617"/>
      <c r="C43" s="617"/>
      <c r="D43" s="617"/>
      <c r="E43" s="617"/>
      <c r="F43" s="617"/>
      <c r="G43" s="617"/>
      <c r="H43" s="617"/>
      <c r="I43" s="617"/>
      <c r="J43" s="617"/>
    </row>
    <row r="44" spans="1:10" s="179" customFormat="1" ht="18" x14ac:dyDescent="0.25">
      <c r="A44" s="617" t="s">
        <v>219</v>
      </c>
      <c r="B44" s="617"/>
      <c r="C44" s="617"/>
      <c r="D44" s="617"/>
      <c r="E44" s="617"/>
      <c r="F44" s="617"/>
      <c r="G44" s="617"/>
      <c r="H44" s="617"/>
      <c r="I44" s="617"/>
      <c r="J44" s="617"/>
    </row>
    <row r="45" spans="1:10" ht="16" customHeight="1" x14ac:dyDescent="0.25">
      <c r="A45" s="616" t="s">
        <v>375</v>
      </c>
      <c r="B45" s="594"/>
      <c r="C45" s="594"/>
      <c r="D45" s="594"/>
      <c r="E45" s="594"/>
      <c r="F45" s="594"/>
      <c r="G45" s="613"/>
      <c r="H45" s="613"/>
      <c r="I45" s="613"/>
      <c r="J45" s="613"/>
    </row>
  </sheetData>
  <mergeCells count="6">
    <mergeCell ref="A45:J45"/>
    <mergeCell ref="A42:J42"/>
    <mergeCell ref="A44:J44"/>
    <mergeCell ref="A3:J3"/>
    <mergeCell ref="E4:G4"/>
    <mergeCell ref="A43:J43"/>
  </mergeCells>
  <phoneticPr fontId="0" type="noConversion"/>
  <pageMargins left="0.5" right="0.5" top="1" bottom="0.5" header="0.5" footer="0.5"/>
  <pageSetup scale="86" orientation="portrait" blackAndWhite="1" r:id="rId1"/>
  <headerFooter alignWithMargins="0">
    <oddHeader xml:space="preserve">&amp;RState of Kansas
City
</oddHeader>
    <oddFooter>&amp;CPage No.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A9" sqref="A9"/>
    </sheetView>
  </sheetViews>
  <sheetFormatPr defaultColWidth="8.9140625" defaultRowHeight="15.5" x14ac:dyDescent="0.25"/>
  <cols>
    <col min="1" max="1" width="8.9140625" style="30"/>
    <col min="2" max="2" width="17.9140625" style="30" customWidth="1"/>
    <col min="3" max="3" width="16.08203125" style="30" customWidth="1"/>
    <col min="4" max="6" width="12.6640625" style="30" customWidth="1"/>
    <col min="7" max="7" width="10.25" style="30" customWidth="1"/>
    <col min="8" max="16384" width="8.9140625" style="30"/>
  </cols>
  <sheetData>
    <row r="1" spans="1:8" x14ac:dyDescent="0.25">
      <c r="A1" s="539"/>
      <c r="B1" s="180" t="str">
        <f>inputPrYr!D2</f>
        <v>City of Eureka</v>
      </c>
      <c r="C1" s="180"/>
      <c r="D1" s="32"/>
      <c r="E1" s="32"/>
      <c r="F1" s="32"/>
      <c r="G1" s="32">
        <f>inputPrYr!C5</f>
        <v>2014</v>
      </c>
    </row>
    <row r="2" spans="1:8" x14ac:dyDescent="0.25">
      <c r="A2" s="539"/>
      <c r="B2" s="32"/>
      <c r="C2" s="32"/>
      <c r="D2" s="32"/>
      <c r="E2" s="32"/>
      <c r="F2" s="32"/>
      <c r="G2" s="32"/>
    </row>
    <row r="3" spans="1:8" x14ac:dyDescent="0.25">
      <c r="A3" s="539"/>
      <c r="B3" s="620" t="s">
        <v>3</v>
      </c>
      <c r="C3" s="620"/>
      <c r="D3" s="620"/>
      <c r="E3" s="620"/>
      <c r="F3" s="620"/>
      <c r="G3" s="32"/>
    </row>
    <row r="4" spans="1:8" x14ac:dyDescent="0.25">
      <c r="A4" s="539"/>
      <c r="B4" s="32"/>
      <c r="C4" s="181"/>
      <c r="D4" s="181"/>
      <c r="E4" s="181"/>
      <c r="F4" s="32"/>
      <c r="G4" s="59"/>
    </row>
    <row r="5" spans="1:8" ht="21" customHeight="1" x14ac:dyDescent="0.25">
      <c r="A5" s="539"/>
      <c r="B5" s="182" t="s">
        <v>217</v>
      </c>
      <c r="C5" s="127" t="s">
        <v>366</v>
      </c>
      <c r="D5" s="621" t="str">
        <f>CONCATENATE("Allocation for Year ",G1,"")</f>
        <v>Allocation for Year 2014</v>
      </c>
      <c r="E5" s="622"/>
      <c r="F5" s="623"/>
      <c r="G5" s="32"/>
      <c r="H5" s="463"/>
    </row>
    <row r="6" spans="1:8" x14ac:dyDescent="0.25">
      <c r="A6" s="539"/>
      <c r="B6" s="183" t="str">
        <f>CONCATENATE("for ",G1-1,"")</f>
        <v>for 2013</v>
      </c>
      <c r="C6" s="183" t="str">
        <f>CONCATENATE("Amount for ",G1-2,"")</f>
        <v>Amount for 2012</v>
      </c>
      <c r="D6" s="131" t="s">
        <v>115</v>
      </c>
      <c r="E6" s="131" t="s">
        <v>116</v>
      </c>
      <c r="F6" s="131" t="s">
        <v>114</v>
      </c>
      <c r="G6" s="538"/>
    </row>
    <row r="7" spans="1:8" x14ac:dyDescent="0.25">
      <c r="A7" s="539"/>
      <c r="B7" s="70" t="str">
        <f>(inputPrYr!B17)</f>
        <v>General</v>
      </c>
      <c r="C7" s="134">
        <f>(inputPrYr!E17)</f>
        <v>430891</v>
      </c>
      <c r="D7" s="134">
        <f>IF(inputPrYr!E17=0,0,D22-SUM(D8:D19))</f>
        <v>74814</v>
      </c>
      <c r="E7" s="134">
        <f>IF(inputPrYr!E17=0,0,E23-SUM(E8:E19))</f>
        <v>941</v>
      </c>
      <c r="F7" s="134">
        <f>IF(inputPrYr!E17=0,0,F24-SUM(F8:F19))</f>
        <v>731</v>
      </c>
      <c r="G7" s="539"/>
    </row>
    <row r="8" spans="1:8" x14ac:dyDescent="0.25">
      <c r="A8" s="539"/>
      <c r="B8" s="70" t="str">
        <f>IF(inputPrYr!$B18&gt;"  ",(inputPrYr!$B18),"  ")</f>
        <v>Bond and Interest</v>
      </c>
      <c r="C8" s="134">
        <f>IF(inputPrYr!$E18&gt;0,(inputPrYr!$E18),"  ")</f>
        <v>65091</v>
      </c>
      <c r="D8" s="134">
        <f>IF(inputPrYr!E18&gt;0,ROUND(C8*$D$26,0),"  ")</f>
        <v>11302</v>
      </c>
      <c r="E8" s="134">
        <f>IF(inputPrYr!E18&gt;0,ROUND(+C8*E$27,0)," ")</f>
        <v>142</v>
      </c>
      <c r="F8" s="134">
        <f>IF(inputPrYr!E18&gt;0,ROUND(C8*F$28,0)," ")</f>
        <v>111</v>
      </c>
      <c r="G8" s="539"/>
    </row>
    <row r="9" spans="1:8" x14ac:dyDescent="0.25">
      <c r="A9" s="539"/>
      <c r="B9" s="70" t="str">
        <f>IF(inputPrYr!$B19&gt;"  ",(inputPrYr!$B19),"  ")</f>
        <v>Library</v>
      </c>
      <c r="C9" s="134">
        <f>IF(inputPrYr!$E19&gt;0,(inputPrYr!$E19),"  ")</f>
        <v>60668</v>
      </c>
      <c r="D9" s="134">
        <f>IF(inputPrYr!E19&gt;0,ROUND(C9*$D$26,0),"  ")</f>
        <v>10534</v>
      </c>
      <c r="E9" s="134">
        <f>IF(inputPrYr!E19&gt;0,ROUND(+C9*E$27,0)," ")</f>
        <v>132</v>
      </c>
      <c r="F9" s="134">
        <f>IF(inputPrYr!E19&gt;0,ROUND(+C9*F$28,0)," ")</f>
        <v>103</v>
      </c>
      <c r="G9" s="539"/>
    </row>
    <row r="10" spans="1:8" x14ac:dyDescent="0.25">
      <c r="A10" s="539"/>
      <c r="B10" s="70" t="str">
        <f>IF(inputPrYr!$B21&gt;"  ",(inputPrYr!$B21),"  ")</f>
        <v xml:space="preserve">  </v>
      </c>
      <c r="C10" s="134" t="str">
        <f>IF(inputPrYr!$E21&gt;0,(inputPrYr!$E21),"  ")</f>
        <v xml:space="preserve">  </v>
      </c>
      <c r="D10" s="134" t="str">
        <f>IF(inputPrYr!E21&gt;0,ROUND(C10*$D$26,0),"  ")</f>
        <v xml:space="preserve">  </v>
      </c>
      <c r="E10" s="134" t="str">
        <f>IF(inputPrYr!E21&gt;0,ROUND(+C10*E$27,0)," ")</f>
        <v xml:space="preserve"> </v>
      </c>
      <c r="F10" s="134" t="str">
        <f>IF(inputPrYr!E21&gt;0,ROUND(+C10*F$28,0)," ")</f>
        <v xml:space="preserve"> </v>
      </c>
      <c r="G10" s="539"/>
    </row>
    <row r="11" spans="1:8" x14ac:dyDescent="0.25">
      <c r="A11" s="539"/>
      <c r="B11" s="70" t="str">
        <f>IF(inputPrYr!$B22&gt;"  ",(inputPrYr!$B22),"  ")</f>
        <v xml:space="preserve">  </v>
      </c>
      <c r="C11" s="134" t="str">
        <f>IF(inputPrYr!$E22&gt;0,(inputPrYr!$E22),"  ")</f>
        <v xml:space="preserve">  </v>
      </c>
      <c r="D11" s="134" t="str">
        <f>IF(inputPrYr!E22&gt;0,ROUND(C11*$D$26,0),"  ")</f>
        <v xml:space="preserve">  </v>
      </c>
      <c r="E11" s="134" t="str">
        <f>IF(inputPrYr!E22&gt;0,ROUND(+C11*E$27,0)," ")</f>
        <v xml:space="preserve"> </v>
      </c>
      <c r="F11" s="134" t="str">
        <f>IF(inputPrYr!E22&gt;0,ROUND(+C11*F$28,0)," ")</f>
        <v xml:space="preserve"> </v>
      </c>
      <c r="G11" s="539"/>
    </row>
    <row r="12" spans="1:8" x14ac:dyDescent="0.25">
      <c r="A12" s="539"/>
      <c r="B12" s="70" t="str">
        <f>IF(inputPrYr!$B23&gt;"  ",(inputPrYr!$B23),"  ")</f>
        <v xml:space="preserve">  </v>
      </c>
      <c r="C12" s="134" t="str">
        <f>IF(inputPrYr!$E23&gt;0,(inputPrYr!$E23),"  ")</f>
        <v xml:space="preserve">  </v>
      </c>
      <c r="D12" s="134" t="str">
        <f>IF(inputPrYr!E23&gt;0,ROUND(C12*$D$26,0),"  ")</f>
        <v xml:space="preserve">  </v>
      </c>
      <c r="E12" s="134" t="str">
        <f>IF(inputPrYr!E23&gt;0,ROUND(+C12*E$27,0)," ")</f>
        <v xml:space="preserve"> </v>
      </c>
      <c r="F12" s="134" t="str">
        <f>IF(inputPrYr!E23&gt;0,ROUND(+C12*F$28,0)," ")</f>
        <v xml:space="preserve"> </v>
      </c>
      <c r="G12" s="539"/>
    </row>
    <row r="13" spans="1:8" x14ac:dyDescent="0.25">
      <c r="A13" s="539"/>
      <c r="B13" s="70" t="str">
        <f>IF(inputPrYr!$B24&gt;"  ",(inputPrYr!$B24),"  ")</f>
        <v xml:space="preserve">  </v>
      </c>
      <c r="C13" s="134" t="str">
        <f>IF(inputPrYr!$E24&gt;0,(inputPrYr!$E24),"  ")</f>
        <v xml:space="preserve">  </v>
      </c>
      <c r="D13" s="134" t="str">
        <f>IF(inputPrYr!E24&gt;0,ROUND(C13*$D$26,0),"  ")</f>
        <v xml:space="preserve">  </v>
      </c>
      <c r="E13" s="134" t="str">
        <f>IF(inputPrYr!E24&gt;0,ROUND(+C13*E$27,0)," ")</f>
        <v xml:space="preserve"> </v>
      </c>
      <c r="F13" s="134" t="str">
        <f>IF(inputPrYr!E24&gt;0,ROUND(+C13*F$28,0)," ")</f>
        <v xml:space="preserve"> </v>
      </c>
      <c r="G13" s="539"/>
    </row>
    <row r="14" spans="1:8" x14ac:dyDescent="0.25">
      <c r="A14" s="539"/>
      <c r="B14" s="70" t="str">
        <f>IF(inputPrYr!$B25&gt;"  ",(inputPrYr!$B25),"  ")</f>
        <v xml:space="preserve">  </v>
      </c>
      <c r="C14" s="134" t="str">
        <f>IF(inputPrYr!$E25&gt;0,(inputPrYr!$E25),"  ")</f>
        <v xml:space="preserve">  </v>
      </c>
      <c r="D14" s="134" t="str">
        <f>IF(inputPrYr!E25&gt;0,ROUND(C14*$D$26,0),"  ")</f>
        <v xml:space="preserve">  </v>
      </c>
      <c r="E14" s="134" t="str">
        <f>IF(inputPrYr!E25&gt;0,ROUND(+C14*E$27,0)," ")</f>
        <v xml:space="preserve"> </v>
      </c>
      <c r="F14" s="134" t="str">
        <f>IF(inputPrYr!E25&gt;0,ROUND(+C14*F$28,0)," ")</f>
        <v xml:space="preserve"> </v>
      </c>
      <c r="G14" s="539"/>
    </row>
    <row r="15" spans="1:8" x14ac:dyDescent="0.25">
      <c r="A15" s="539"/>
      <c r="B15" s="70" t="str">
        <f>IF(inputPrYr!$B26&gt;"  ",(inputPrYr!$B26),"  ")</f>
        <v xml:space="preserve">  </v>
      </c>
      <c r="C15" s="134" t="str">
        <f>IF(inputPrYr!$E26&gt;0,(inputPrYr!$E26),"  ")</f>
        <v xml:space="preserve">  </v>
      </c>
      <c r="D15" s="134" t="str">
        <f>IF(inputPrYr!E26&gt;0,ROUND(C15*$D$26,0),"  ")</f>
        <v xml:space="preserve">  </v>
      </c>
      <c r="E15" s="134" t="str">
        <f>IF(inputPrYr!E26&gt;0,ROUND(+C15*E$27,0)," ")</f>
        <v xml:space="preserve"> </v>
      </c>
      <c r="F15" s="134" t="str">
        <f>IF(inputPrYr!E26&gt;0,ROUND(+C15*F$28,0)," ")</f>
        <v xml:space="preserve"> </v>
      </c>
      <c r="G15" s="539"/>
    </row>
    <row r="16" spans="1:8" x14ac:dyDescent="0.25">
      <c r="A16" s="539"/>
      <c r="B16" s="70" t="str">
        <f>IF(inputPrYr!$B27&gt;"  ",(inputPrYr!$B27),"  ")</f>
        <v xml:space="preserve">  </v>
      </c>
      <c r="C16" s="134" t="str">
        <f>IF(inputPrYr!$E27&gt;0,(inputPrYr!$E27),"  ")</f>
        <v xml:space="preserve">  </v>
      </c>
      <c r="D16" s="134" t="str">
        <f>IF(inputPrYr!E27&gt;0,ROUND(C16*$D$26,0),"  ")</f>
        <v xml:space="preserve">  </v>
      </c>
      <c r="E16" s="134" t="str">
        <f>IF(inputPrYr!E27&gt;0,ROUND(+C16*E$27,0)," ")</f>
        <v xml:space="preserve"> </v>
      </c>
      <c r="F16" s="134" t="str">
        <f>IF(inputPrYr!E27&gt;0,ROUND(+C16*F$28,0)," ")</f>
        <v xml:space="preserve"> </v>
      </c>
      <c r="G16" s="539"/>
    </row>
    <row r="17" spans="1:7" x14ac:dyDescent="0.25">
      <c r="A17" s="539"/>
      <c r="B17" s="70" t="str">
        <f>IF(inputPrYr!$B28&gt;"  ",(inputPrYr!$B28),"  ")</f>
        <v xml:space="preserve">  </v>
      </c>
      <c r="C17" s="134" t="str">
        <f>IF(inputPrYr!$E28&gt;0,(inputPrYr!$E28),"  ")</f>
        <v xml:space="preserve">  </v>
      </c>
      <c r="D17" s="134" t="str">
        <f>IF(inputPrYr!E28&gt;0,ROUND(C17*$D$26,0),"  ")</f>
        <v xml:space="preserve">  </v>
      </c>
      <c r="E17" s="134" t="str">
        <f>IF(inputPrYr!E28&gt;0,ROUND(+C17*E$27,0)," ")</f>
        <v xml:space="preserve"> </v>
      </c>
      <c r="F17" s="134" t="str">
        <f>IF(inputPrYr!E28&gt;0,ROUND(+C17*F$28,0)," ")</f>
        <v xml:space="preserve"> </v>
      </c>
      <c r="G17" s="539"/>
    </row>
    <row r="18" spans="1:7" x14ac:dyDescent="0.25">
      <c r="A18" s="539"/>
      <c r="B18" s="70" t="str">
        <f>IF(inputPrYr!$B29&gt;"  ",(inputPrYr!$B29),"  ")</f>
        <v xml:space="preserve">  </v>
      </c>
      <c r="C18" s="134" t="str">
        <f>IF(inputPrYr!$E29&gt;0,(inputPrYr!$E29),"  ")</f>
        <v xml:space="preserve">  </v>
      </c>
      <c r="D18" s="134" t="str">
        <f>IF(inputPrYr!E29&gt;0,ROUND(C18*$D$26,0),"  ")</f>
        <v xml:space="preserve">  </v>
      </c>
      <c r="E18" s="134" t="str">
        <f>IF(inputPrYr!E29&gt;0,ROUND(+C18*E$27,0)," ")</f>
        <v xml:space="preserve"> </v>
      </c>
      <c r="F18" s="134" t="str">
        <f>IF(inputPrYr!E29&gt;0,ROUND(+C18*F$28,0)," ")</f>
        <v xml:space="preserve"> </v>
      </c>
      <c r="G18" s="539"/>
    </row>
    <row r="19" spans="1:7" x14ac:dyDescent="0.25">
      <c r="A19" s="539"/>
      <c r="B19" s="70" t="str">
        <f>IF(inputPrYr!B30&gt;"  ",(inputPrYr!B30),"  ")</f>
        <v xml:space="preserve">  </v>
      </c>
      <c r="C19" s="134" t="str">
        <f>IF(inputPrYr!E30&gt;0,(inputPrYr!E30),"  ")</f>
        <v xml:space="preserve">  </v>
      </c>
      <c r="D19" s="134" t="str">
        <f>IF(inputPrYr!E30&gt;0,ROUND(C19*$D$26,0),"  ")</f>
        <v xml:space="preserve">  </v>
      </c>
      <c r="E19" s="134" t="str">
        <f>IF(inputPrYr!E30&gt;0,ROUND(+C19*E$27,0)," ")</f>
        <v xml:space="preserve"> </v>
      </c>
      <c r="F19" s="134" t="str">
        <f>IF(inputPrYr!E30&gt;0,ROUND(+C19*F$28,0)," ")</f>
        <v xml:space="preserve"> </v>
      </c>
      <c r="G19" s="539"/>
    </row>
    <row r="20" spans="1:7" x14ac:dyDescent="0.25">
      <c r="A20" s="539"/>
      <c r="B20" s="32" t="s">
        <v>45</v>
      </c>
      <c r="C20" s="141">
        <f>SUM(C7:C19)</f>
        <v>556650</v>
      </c>
      <c r="D20" s="141">
        <f>SUM(D7:D19)</f>
        <v>96650</v>
      </c>
      <c r="E20" s="141">
        <f>SUM(E7:E19)</f>
        <v>1215</v>
      </c>
      <c r="F20" s="141">
        <f>SUM(F7:F19)</f>
        <v>945</v>
      </c>
      <c r="G20" s="32"/>
    </row>
    <row r="21" spans="1:7" x14ac:dyDescent="0.25">
      <c r="A21" s="539"/>
      <c r="B21" s="32"/>
      <c r="C21" s="60"/>
      <c r="D21" s="60"/>
      <c r="E21" s="60"/>
      <c r="F21" s="60"/>
      <c r="G21" s="32"/>
    </row>
    <row r="22" spans="1:7" x14ac:dyDescent="0.25">
      <c r="A22" s="539"/>
      <c r="B22" s="35" t="s">
        <v>46</v>
      </c>
      <c r="C22" s="184"/>
      <c r="D22" s="185">
        <f>(inputOth!E39)</f>
        <v>96650</v>
      </c>
      <c r="E22" s="184"/>
      <c r="F22" s="32"/>
      <c r="G22" s="32"/>
    </row>
    <row r="23" spans="1:7" x14ac:dyDescent="0.25">
      <c r="A23" s="539"/>
      <c r="B23" s="35" t="s">
        <v>47</v>
      </c>
      <c r="C23" s="32"/>
      <c r="D23" s="32"/>
      <c r="E23" s="185">
        <f>(inputOth!E40)</f>
        <v>1215</v>
      </c>
      <c r="F23" s="32"/>
      <c r="G23" s="32"/>
    </row>
    <row r="24" spans="1:7" x14ac:dyDescent="0.25">
      <c r="A24" s="539"/>
      <c r="B24" s="35" t="s">
        <v>117</v>
      </c>
      <c r="C24" s="32"/>
      <c r="D24" s="32"/>
      <c r="E24" s="32"/>
      <c r="F24" s="185">
        <f>inputOth!E41</f>
        <v>945</v>
      </c>
      <c r="G24" s="32"/>
    </row>
    <row r="25" spans="1:7" x14ac:dyDescent="0.25">
      <c r="A25" s="539"/>
      <c r="B25" s="35"/>
      <c r="C25" s="32"/>
      <c r="D25" s="32"/>
      <c r="E25" s="32"/>
      <c r="F25" s="60"/>
      <c r="G25" s="332"/>
    </row>
    <row r="26" spans="1:7" x14ac:dyDescent="0.25">
      <c r="A26" s="539"/>
      <c r="B26" s="35" t="s">
        <v>48</v>
      </c>
      <c r="C26" s="32"/>
      <c r="D26" s="186">
        <f>IF(C20=0,0,D22/C20)</f>
        <v>0.17362795293272254</v>
      </c>
      <c r="E26" s="32"/>
      <c r="F26" s="32"/>
      <c r="G26" s="32"/>
    </row>
    <row r="27" spans="1:7" x14ac:dyDescent="0.25">
      <c r="A27" s="539"/>
      <c r="B27" s="32"/>
      <c r="C27" s="35" t="s">
        <v>49</v>
      </c>
      <c r="D27" s="32"/>
      <c r="E27" s="186">
        <f>IF(C20=0,0,E23/C20)</f>
        <v>2.1827000808407439E-3</v>
      </c>
      <c r="F27" s="32"/>
      <c r="G27" s="32"/>
    </row>
    <row r="28" spans="1:7" x14ac:dyDescent="0.25">
      <c r="A28" s="539"/>
      <c r="B28" s="32"/>
      <c r="C28" s="32"/>
      <c r="D28" s="35" t="s">
        <v>118</v>
      </c>
      <c r="E28" s="32"/>
      <c r="F28" s="186">
        <f>IF(C20=0,0,F24/C20)</f>
        <v>1.6976556184316895E-3</v>
      </c>
      <c r="G28" s="32"/>
    </row>
    <row r="29" spans="1:7" x14ac:dyDescent="0.25">
      <c r="A29" s="539"/>
      <c r="B29" s="32"/>
      <c r="C29" s="32"/>
      <c r="D29" s="32"/>
      <c r="E29" s="32"/>
      <c r="F29" s="32"/>
      <c r="G29" s="32"/>
    </row>
    <row r="30" spans="1:7" x14ac:dyDescent="0.25">
      <c r="A30" s="616" t="s">
        <v>375</v>
      </c>
      <c r="B30" s="594"/>
      <c r="C30" s="594"/>
      <c r="D30" s="594"/>
      <c r="E30" s="594"/>
      <c r="F30" s="594"/>
      <c r="G30" s="613"/>
    </row>
  </sheetData>
  <mergeCells count="3">
    <mergeCell ref="B3:F3"/>
    <mergeCell ref="D5:F5"/>
    <mergeCell ref="A30:G30"/>
  </mergeCells>
  <phoneticPr fontId="0" type="noConversion"/>
  <pageMargins left="0.5" right="0.5" top="1" bottom="0.5" header="0.5" footer="0.5"/>
  <pageSetup scale="88" orientation="portrait" blackAndWhite="1" horizontalDpi="120" verticalDpi="144" r:id="rId1"/>
  <headerFooter alignWithMargins="0">
    <oddHeader xml:space="preserve">&amp;RState of Kansas
City
</oddHeader>
    <oddFooter>&amp;CPage No. 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2"/>
  <sheetViews>
    <sheetView topLeftCell="A6" workbookViewId="0">
      <selection activeCell="F15" sqref="F15"/>
    </sheetView>
  </sheetViews>
  <sheetFormatPr defaultColWidth="8.9140625" defaultRowHeight="15.5" x14ac:dyDescent="0.25"/>
  <cols>
    <col min="1" max="1" width="4.25" style="28" customWidth="1"/>
    <col min="2" max="3" width="17.6640625" style="28" customWidth="1"/>
    <col min="4" max="7" width="12.6640625" style="28" customWidth="1"/>
    <col min="8" max="16384" width="8.9140625" style="28"/>
  </cols>
  <sheetData>
    <row r="1" spans="2:7" x14ac:dyDescent="0.25">
      <c r="B1" s="157" t="str">
        <f>inputPrYr!D2</f>
        <v>City of Eureka</v>
      </c>
      <c r="C1" s="157"/>
      <c r="D1" s="156"/>
      <c r="E1" s="156"/>
      <c r="F1" s="156"/>
      <c r="G1" s="156">
        <f>inputPrYr!$C$5</f>
        <v>2014</v>
      </c>
    </row>
    <row r="2" spans="2:7" x14ac:dyDescent="0.25">
      <c r="B2" s="156"/>
      <c r="C2" s="156"/>
      <c r="D2" s="156"/>
      <c r="E2" s="156"/>
      <c r="F2" s="156"/>
      <c r="G2" s="156"/>
    </row>
    <row r="3" spans="2:7" x14ac:dyDescent="0.25">
      <c r="B3" s="624" t="s">
        <v>169</v>
      </c>
      <c r="C3" s="624"/>
      <c r="D3" s="624"/>
      <c r="E3" s="624"/>
      <c r="F3" s="624"/>
      <c r="G3" s="624"/>
    </row>
    <row r="4" spans="2:7" x14ac:dyDescent="0.25">
      <c r="B4" s="187"/>
      <c r="C4" s="187"/>
      <c r="D4" s="187"/>
      <c r="E4" s="187"/>
      <c r="F4" s="187"/>
      <c r="G4" s="187"/>
    </row>
    <row r="5" spans="2:7" x14ac:dyDescent="0.25">
      <c r="B5" s="188" t="s">
        <v>262</v>
      </c>
      <c r="C5" s="188" t="s">
        <v>263</v>
      </c>
      <c r="D5" s="188" t="s">
        <v>68</v>
      </c>
      <c r="E5" s="188" t="s">
        <v>175</v>
      </c>
      <c r="F5" s="188" t="s">
        <v>176</v>
      </c>
      <c r="G5" s="188" t="s">
        <v>209</v>
      </c>
    </row>
    <row r="6" spans="2:7" x14ac:dyDescent="0.25">
      <c r="B6" s="189" t="s">
        <v>264</v>
      </c>
      <c r="C6" s="189" t="s">
        <v>265</v>
      </c>
      <c r="D6" s="189" t="s">
        <v>210</v>
      </c>
      <c r="E6" s="189" t="s">
        <v>210</v>
      </c>
      <c r="F6" s="189" t="s">
        <v>210</v>
      </c>
      <c r="G6" s="189" t="s">
        <v>211</v>
      </c>
    </row>
    <row r="7" spans="2:7" ht="15" customHeight="1" x14ac:dyDescent="0.25">
      <c r="B7" s="190" t="s">
        <v>212</v>
      </c>
      <c r="C7" s="190" t="s">
        <v>213</v>
      </c>
      <c r="D7" s="191">
        <f>G1-2</f>
        <v>2012</v>
      </c>
      <c r="E7" s="191">
        <f>G1-1</f>
        <v>2013</v>
      </c>
      <c r="F7" s="191">
        <f>G1</f>
        <v>2014</v>
      </c>
      <c r="G7" s="190" t="s">
        <v>214</v>
      </c>
    </row>
    <row r="8" spans="2:7" ht="14.25" customHeight="1" x14ac:dyDescent="0.35">
      <c r="B8" s="572" t="s">
        <v>400</v>
      </c>
      <c r="C8" s="572" t="s">
        <v>389</v>
      </c>
      <c r="D8" s="192">
        <v>208000</v>
      </c>
      <c r="E8" s="192">
        <v>203408</v>
      </c>
      <c r="F8" s="192">
        <v>204145</v>
      </c>
      <c r="G8" s="193" t="s">
        <v>404</v>
      </c>
    </row>
    <row r="9" spans="2:7" ht="15" customHeight="1" x14ac:dyDescent="0.35">
      <c r="B9" s="573" t="s">
        <v>385</v>
      </c>
      <c r="C9" s="573" t="s">
        <v>401</v>
      </c>
      <c r="D9" s="195">
        <v>240540</v>
      </c>
      <c r="E9" s="195">
        <v>240540</v>
      </c>
      <c r="F9" s="195">
        <v>240540</v>
      </c>
      <c r="G9" s="193" t="s">
        <v>404</v>
      </c>
    </row>
    <row r="10" spans="2:7" ht="15" customHeight="1" x14ac:dyDescent="0.35">
      <c r="B10" s="573" t="s">
        <v>386</v>
      </c>
      <c r="C10" s="573" t="s">
        <v>381</v>
      </c>
      <c r="D10" s="195">
        <v>33360</v>
      </c>
      <c r="E10" s="195">
        <v>33364</v>
      </c>
      <c r="F10" s="195">
        <v>33364</v>
      </c>
      <c r="G10" s="193" t="s">
        <v>404</v>
      </c>
    </row>
    <row r="11" spans="2:7" ht="15" customHeight="1" x14ac:dyDescent="0.35">
      <c r="B11" s="573" t="s">
        <v>386</v>
      </c>
      <c r="C11" s="573" t="s">
        <v>402</v>
      </c>
      <c r="D11" s="195">
        <v>360000</v>
      </c>
      <c r="E11" s="195">
        <v>360000</v>
      </c>
      <c r="F11" s="195">
        <v>360000</v>
      </c>
      <c r="G11" s="193" t="s">
        <v>404</v>
      </c>
    </row>
    <row r="12" spans="2:7" ht="15" customHeight="1" x14ac:dyDescent="0.35">
      <c r="B12" s="573" t="s">
        <v>386</v>
      </c>
      <c r="C12" s="573" t="s">
        <v>403</v>
      </c>
      <c r="D12" s="195">
        <v>20000</v>
      </c>
      <c r="E12" s="195">
        <v>20000</v>
      </c>
      <c r="F12" s="195">
        <v>20000</v>
      </c>
      <c r="G12" s="193" t="s">
        <v>404</v>
      </c>
    </row>
    <row r="13" spans="2:7" ht="15" customHeight="1" x14ac:dyDescent="0.25">
      <c r="B13" s="194" t="s">
        <v>383</v>
      </c>
      <c r="C13" s="194" t="s">
        <v>402</v>
      </c>
      <c r="D13" s="195">
        <v>20000</v>
      </c>
      <c r="E13" s="195">
        <v>0</v>
      </c>
      <c r="F13" s="195">
        <v>0</v>
      </c>
      <c r="G13" s="193" t="s">
        <v>404</v>
      </c>
    </row>
    <row r="14" spans="2:7" ht="15" customHeight="1" x14ac:dyDescent="0.25">
      <c r="B14" s="194" t="s">
        <v>390</v>
      </c>
      <c r="C14" s="194" t="s">
        <v>402</v>
      </c>
      <c r="D14" s="195">
        <v>0</v>
      </c>
      <c r="E14" s="195">
        <v>40000</v>
      </c>
      <c r="F14" s="195">
        <v>0</v>
      </c>
      <c r="G14" s="193" t="s">
        <v>404</v>
      </c>
    </row>
    <row r="15" spans="2:7" ht="15" customHeight="1" x14ac:dyDescent="0.25">
      <c r="B15" s="194"/>
      <c r="C15" s="194"/>
      <c r="D15" s="195"/>
      <c r="E15" s="195"/>
      <c r="F15" s="195"/>
      <c r="G15" s="193"/>
    </row>
    <row r="16" spans="2:7" ht="15" customHeight="1" x14ac:dyDescent="0.25">
      <c r="B16" s="194"/>
      <c r="C16" s="194"/>
      <c r="D16" s="195"/>
      <c r="E16" s="195"/>
      <c r="F16" s="195"/>
      <c r="G16" s="193"/>
    </row>
    <row r="17" spans="2:8" ht="15" customHeight="1" x14ac:dyDescent="0.25">
      <c r="B17" s="194"/>
      <c r="C17" s="194"/>
      <c r="D17" s="195"/>
      <c r="E17" s="195"/>
      <c r="F17" s="195"/>
      <c r="G17" s="193"/>
    </row>
    <row r="18" spans="2:8" ht="15" customHeight="1" x14ac:dyDescent="0.25">
      <c r="B18" s="194"/>
      <c r="C18" s="194"/>
      <c r="D18" s="195"/>
      <c r="E18" s="195"/>
      <c r="F18" s="195"/>
      <c r="G18" s="193"/>
    </row>
    <row r="19" spans="2:8" ht="15" customHeight="1" x14ac:dyDescent="0.25">
      <c r="B19" s="194"/>
      <c r="C19" s="194"/>
      <c r="D19" s="195"/>
      <c r="E19" s="195"/>
      <c r="F19" s="195"/>
      <c r="G19" s="193"/>
    </row>
    <row r="20" spans="2:8" ht="15" customHeight="1" x14ac:dyDescent="0.25">
      <c r="B20" s="194"/>
      <c r="C20" s="194"/>
      <c r="D20" s="195"/>
      <c r="E20" s="195"/>
      <c r="F20" s="195"/>
      <c r="G20" s="193"/>
    </row>
    <row r="21" spans="2:8" ht="15" customHeight="1" x14ac:dyDescent="0.25">
      <c r="B21" s="194"/>
      <c r="C21" s="194"/>
      <c r="D21" s="195"/>
      <c r="E21" s="195"/>
      <c r="F21" s="195"/>
      <c r="G21" s="193"/>
    </row>
    <row r="22" spans="2:8" ht="15" customHeight="1" x14ac:dyDescent="0.25">
      <c r="B22" s="194"/>
      <c r="C22" s="194"/>
      <c r="D22" s="195"/>
      <c r="E22" s="195"/>
      <c r="F22" s="195"/>
      <c r="G22" s="193"/>
    </row>
    <row r="23" spans="2:8" ht="15" customHeight="1" x14ac:dyDescent="0.25">
      <c r="B23" s="194"/>
      <c r="C23" s="194"/>
      <c r="D23" s="195"/>
      <c r="E23" s="195"/>
      <c r="F23" s="195"/>
      <c r="G23" s="193"/>
    </row>
    <row r="24" spans="2:8" ht="15" customHeight="1" x14ac:dyDescent="0.25">
      <c r="B24" s="194"/>
      <c r="C24" s="194"/>
      <c r="D24" s="195"/>
      <c r="E24" s="195"/>
      <c r="F24" s="195"/>
      <c r="G24" s="193"/>
    </row>
    <row r="25" spans="2:8" ht="15" customHeight="1" x14ac:dyDescent="0.25">
      <c r="B25" s="194"/>
      <c r="C25" s="194"/>
      <c r="D25" s="195"/>
      <c r="E25" s="195"/>
      <c r="F25" s="195"/>
      <c r="G25" s="193"/>
    </row>
    <row r="26" spans="2:8" ht="15" customHeight="1" x14ac:dyDescent="0.25">
      <c r="B26" s="81"/>
      <c r="C26" s="196" t="s">
        <v>38</v>
      </c>
      <c r="D26" s="197">
        <f>SUM(D8:D25)</f>
        <v>881900</v>
      </c>
      <c r="E26" s="197">
        <f>SUM(E8:E25)</f>
        <v>897312</v>
      </c>
      <c r="F26" s="197">
        <f>SUM(F8:F25)</f>
        <v>858049</v>
      </c>
      <c r="G26" s="198"/>
    </row>
    <row r="27" spans="2:8" ht="15" customHeight="1" x14ac:dyDescent="0.35">
      <c r="B27" s="81"/>
      <c r="C27" s="199" t="s">
        <v>215</v>
      </c>
      <c r="D27" s="139"/>
      <c r="E27" s="305">
        <v>40000</v>
      </c>
      <c r="F27" s="590">
        <v>0</v>
      </c>
      <c r="G27" s="198"/>
    </row>
    <row r="28" spans="2:8" ht="15" customHeight="1" x14ac:dyDescent="0.25">
      <c r="B28" s="81"/>
      <c r="C28" s="196" t="s">
        <v>216</v>
      </c>
      <c r="D28" s="197">
        <f>D26</f>
        <v>881900</v>
      </c>
      <c r="E28" s="197">
        <f>SUM(E26-E27)</f>
        <v>857312</v>
      </c>
      <c r="F28" s="197">
        <f>SUM(F26-F27)</f>
        <v>858049</v>
      </c>
      <c r="G28" s="198"/>
    </row>
    <row r="29" spans="2:8" ht="15" customHeight="1" x14ac:dyDescent="0.25">
      <c r="B29" s="81"/>
      <c r="C29" s="81"/>
      <c r="D29" s="81"/>
      <c r="E29" s="81"/>
      <c r="F29" s="81"/>
      <c r="G29" s="81"/>
    </row>
    <row r="30" spans="2:8" ht="15" customHeight="1" x14ac:dyDescent="0.25">
      <c r="B30" s="81"/>
      <c r="C30" s="81"/>
      <c r="D30" s="81"/>
      <c r="E30" s="81"/>
      <c r="F30" s="81"/>
      <c r="G30" s="81"/>
    </row>
    <row r="31" spans="2:8" ht="15" customHeight="1" x14ac:dyDescent="0.25">
      <c r="B31" s="326" t="s">
        <v>261</v>
      </c>
      <c r="C31" s="327" t="str">
        <f>CONCATENATE("Adjustments are required only if the transfer is being made in ",E7," and/or ",F7," from a non-budgeted fund.")</f>
        <v>Adjustments are required only if the transfer is being made in 2013 and/or 2014 from a non-budgeted fund.</v>
      </c>
      <c r="D31" s="81"/>
      <c r="E31" s="81"/>
      <c r="F31" s="81"/>
      <c r="G31" s="81"/>
    </row>
    <row r="32" spans="2:8" ht="15" customHeight="1" x14ac:dyDescent="0.25">
      <c r="B32" s="616" t="s">
        <v>375</v>
      </c>
      <c r="C32" s="594"/>
      <c r="D32" s="594"/>
      <c r="E32" s="594"/>
      <c r="F32" s="594"/>
      <c r="G32" s="594"/>
      <c r="H32" s="89"/>
    </row>
  </sheetData>
  <mergeCells count="2">
    <mergeCell ref="B3:G3"/>
    <mergeCell ref="B32:G32"/>
  </mergeCells>
  <phoneticPr fontId="9" type="noConversion"/>
  <pageMargins left="0.75" right="0.75" top="1" bottom="1" header="0.5" footer="0.5"/>
  <pageSetup scale="82" orientation="landscape" blackAndWhite="1" r:id="rId1"/>
  <headerFooter alignWithMargins="0">
    <oddHeader>&amp;RState of Kansas
City</oddHeader>
    <oddFooter>&amp;CPage No. 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8"/>
  <sheetViews>
    <sheetView topLeftCell="B1" zoomScale="75" workbookViewId="0">
      <selection activeCell="J30" sqref="J30"/>
    </sheetView>
  </sheetViews>
  <sheetFormatPr defaultColWidth="8.9140625" defaultRowHeight="15.5" x14ac:dyDescent="0.25"/>
  <cols>
    <col min="1" max="1" width="4.6640625" style="30" customWidth="1"/>
    <col min="2" max="2" width="22" style="30" customWidth="1"/>
    <col min="3" max="3" width="9.33203125" style="30" customWidth="1"/>
    <col min="4" max="5" width="8.6640625" style="30" customWidth="1"/>
    <col min="6" max="6" width="12.6640625" style="30" customWidth="1"/>
    <col min="7" max="7" width="14.33203125" style="30" customWidth="1"/>
    <col min="8" max="13" width="9.6640625" style="30" customWidth="1"/>
    <col min="14" max="16384" width="8.9140625" style="30"/>
  </cols>
  <sheetData>
    <row r="1" spans="2:13" x14ac:dyDescent="0.25">
      <c r="B1" s="180" t="str">
        <f>inputPrYr!$D$2</f>
        <v>City of Eureka</v>
      </c>
      <c r="C1" s="32"/>
      <c r="D1" s="32"/>
      <c r="E1" s="32"/>
      <c r="F1" s="32"/>
      <c r="G1" s="32"/>
      <c r="H1" s="32"/>
      <c r="I1" s="32"/>
      <c r="J1" s="32"/>
      <c r="K1" s="32"/>
      <c r="L1" s="32"/>
      <c r="M1" s="200">
        <f>inputPrYr!$C$5</f>
        <v>2014</v>
      </c>
    </row>
    <row r="2" spans="2:13" x14ac:dyDescent="0.25">
      <c r="B2" s="180"/>
      <c r="C2" s="32"/>
      <c r="D2" s="32"/>
      <c r="E2" s="32"/>
      <c r="F2" s="32"/>
      <c r="G2" s="32"/>
      <c r="H2" s="32"/>
      <c r="I2" s="32"/>
      <c r="J2" s="32"/>
      <c r="K2" s="32"/>
      <c r="L2" s="32"/>
      <c r="M2" s="152"/>
    </row>
    <row r="3" spans="2:13" x14ac:dyDescent="0.25">
      <c r="B3" s="201" t="s">
        <v>113</v>
      </c>
      <c r="C3" s="39"/>
      <c r="D3" s="39"/>
      <c r="E3" s="39"/>
      <c r="F3" s="39"/>
      <c r="G3" s="39"/>
      <c r="H3" s="39"/>
      <c r="I3" s="39"/>
      <c r="J3" s="39"/>
      <c r="K3" s="39"/>
      <c r="L3" s="39"/>
      <c r="M3" s="39"/>
    </row>
    <row r="4" spans="2:13" ht="10.5" customHeight="1" x14ac:dyDescent="0.25">
      <c r="B4" s="32"/>
      <c r="C4" s="202"/>
      <c r="D4" s="202"/>
      <c r="E4" s="202"/>
      <c r="F4" s="202"/>
      <c r="G4" s="202"/>
      <c r="H4" s="202"/>
      <c r="I4" s="202"/>
      <c r="J4" s="202"/>
      <c r="K4" s="202"/>
      <c r="L4" s="202"/>
      <c r="M4" s="202"/>
    </row>
    <row r="5" spans="2:13" ht="18" customHeight="1" x14ac:dyDescent="0.25">
      <c r="B5" s="135"/>
      <c r="C5" s="182" t="s">
        <v>83</v>
      </c>
      <c r="D5" s="182" t="s">
        <v>83</v>
      </c>
      <c r="E5" s="182" t="s">
        <v>97</v>
      </c>
      <c r="F5" s="182"/>
      <c r="G5" s="182" t="s">
        <v>204</v>
      </c>
      <c r="H5" s="32"/>
      <c r="I5" s="32"/>
      <c r="J5" s="203" t="s">
        <v>84</v>
      </c>
      <c r="K5" s="204"/>
      <c r="L5" s="203" t="s">
        <v>84</v>
      </c>
      <c r="M5" s="204"/>
    </row>
    <row r="6" spans="2:13" x14ac:dyDescent="0.25">
      <c r="B6" s="205" t="s">
        <v>285</v>
      </c>
      <c r="C6" s="205" t="s">
        <v>85</v>
      </c>
      <c r="D6" s="205" t="s">
        <v>205</v>
      </c>
      <c r="E6" s="205" t="s">
        <v>86</v>
      </c>
      <c r="F6" s="205" t="s">
        <v>43</v>
      </c>
      <c r="G6" s="205" t="s">
        <v>206</v>
      </c>
      <c r="H6" s="625" t="s">
        <v>87</v>
      </c>
      <c r="I6" s="626"/>
      <c r="J6" s="627">
        <f>M1-1</f>
        <v>2013</v>
      </c>
      <c r="K6" s="628"/>
      <c r="L6" s="627">
        <f>M1</f>
        <v>2014</v>
      </c>
      <c r="M6" s="628"/>
    </row>
    <row r="7" spans="2:13" x14ac:dyDescent="0.25">
      <c r="B7" s="183" t="s">
        <v>284</v>
      </c>
      <c r="C7" s="183" t="s">
        <v>88</v>
      </c>
      <c r="D7" s="183" t="s">
        <v>207</v>
      </c>
      <c r="E7" s="183" t="s">
        <v>65</v>
      </c>
      <c r="F7" s="183" t="s">
        <v>89</v>
      </c>
      <c r="G7" s="206" t="str">
        <f>CONCATENATE("Jan 1,",M1-1,"")</f>
        <v>Jan 1,2013</v>
      </c>
      <c r="H7" s="139" t="s">
        <v>97</v>
      </c>
      <c r="I7" s="139" t="s">
        <v>99</v>
      </c>
      <c r="J7" s="139" t="s">
        <v>97</v>
      </c>
      <c r="K7" s="139" t="s">
        <v>99</v>
      </c>
      <c r="L7" s="139" t="s">
        <v>97</v>
      </c>
      <c r="M7" s="139" t="s">
        <v>99</v>
      </c>
    </row>
    <row r="8" spans="2:13" x14ac:dyDescent="0.25">
      <c r="B8" s="207" t="s">
        <v>90</v>
      </c>
      <c r="C8" s="48"/>
      <c r="D8" s="48"/>
      <c r="E8" s="208"/>
      <c r="F8" s="209"/>
      <c r="G8" s="209"/>
      <c r="H8" s="48"/>
      <c r="I8" s="48"/>
      <c r="J8" s="209"/>
      <c r="K8" s="209"/>
      <c r="L8" s="209"/>
      <c r="M8" s="209"/>
    </row>
    <row r="9" spans="2:13" x14ac:dyDescent="0.35">
      <c r="B9" s="3" t="s">
        <v>405</v>
      </c>
      <c r="C9" s="574">
        <v>40132</v>
      </c>
      <c r="D9" s="328">
        <v>42278</v>
      </c>
      <c r="E9" s="210" t="s">
        <v>406</v>
      </c>
      <c r="F9" s="211">
        <v>445000</v>
      </c>
      <c r="G9" s="212">
        <v>230000</v>
      </c>
      <c r="H9" s="576" t="s">
        <v>415</v>
      </c>
      <c r="I9" s="213">
        <v>40452</v>
      </c>
      <c r="J9" s="212">
        <v>6338</v>
      </c>
      <c r="K9" s="212">
        <v>75000</v>
      </c>
      <c r="L9" s="212">
        <v>4650</v>
      </c>
      <c r="M9" s="212">
        <v>75000</v>
      </c>
    </row>
    <row r="10" spans="2:13" x14ac:dyDescent="0.35">
      <c r="B10" s="52" t="s">
        <v>520</v>
      </c>
      <c r="C10" s="328">
        <v>41422</v>
      </c>
      <c r="D10" s="328">
        <v>43739</v>
      </c>
      <c r="E10" s="210">
        <v>2</v>
      </c>
      <c r="F10" s="211">
        <v>240000</v>
      </c>
      <c r="G10" s="212">
        <v>0</v>
      </c>
      <c r="H10" s="576" t="s">
        <v>415</v>
      </c>
      <c r="I10" s="213"/>
      <c r="J10" s="212">
        <v>1813</v>
      </c>
      <c r="K10" s="212">
        <v>0</v>
      </c>
      <c r="L10" s="212">
        <v>4800</v>
      </c>
      <c r="M10" s="212">
        <v>0</v>
      </c>
    </row>
    <row r="11" spans="2:13" x14ac:dyDescent="0.25">
      <c r="B11" s="52"/>
      <c r="C11" s="328"/>
      <c r="D11" s="328"/>
      <c r="E11" s="210"/>
      <c r="F11" s="211"/>
      <c r="G11" s="212"/>
      <c r="H11" s="213"/>
      <c r="I11" s="213"/>
      <c r="J11" s="212"/>
      <c r="K11" s="212"/>
      <c r="L11" s="212"/>
      <c r="M11" s="212"/>
    </row>
    <row r="12" spans="2:13" x14ac:dyDescent="0.25">
      <c r="B12" s="52"/>
      <c r="C12" s="328"/>
      <c r="D12" s="328"/>
      <c r="E12" s="210"/>
      <c r="F12" s="211"/>
      <c r="G12" s="212"/>
      <c r="H12" s="213"/>
      <c r="I12" s="213"/>
      <c r="J12" s="212"/>
      <c r="K12" s="212"/>
      <c r="L12" s="212"/>
      <c r="M12" s="212"/>
    </row>
    <row r="13" spans="2:13" x14ac:dyDescent="0.25">
      <c r="B13" s="52"/>
      <c r="C13" s="328"/>
      <c r="D13" s="328"/>
      <c r="E13" s="210"/>
      <c r="F13" s="211"/>
      <c r="G13" s="212"/>
      <c r="H13" s="213"/>
      <c r="I13" s="213"/>
      <c r="J13" s="212"/>
      <c r="K13" s="212"/>
      <c r="L13" s="212"/>
      <c r="M13" s="212"/>
    </row>
    <row r="14" spans="2:13" x14ac:dyDescent="0.25">
      <c r="B14" s="52"/>
      <c r="C14" s="328"/>
      <c r="D14" s="328"/>
      <c r="E14" s="210"/>
      <c r="F14" s="211"/>
      <c r="G14" s="212"/>
      <c r="H14" s="213"/>
      <c r="I14" s="213"/>
      <c r="J14" s="212"/>
      <c r="K14" s="212"/>
      <c r="L14" s="212"/>
      <c r="M14" s="212"/>
    </row>
    <row r="15" spans="2:13" x14ac:dyDescent="0.25">
      <c r="B15" s="52"/>
      <c r="C15" s="328"/>
      <c r="D15" s="328"/>
      <c r="E15" s="210"/>
      <c r="F15" s="211"/>
      <c r="G15" s="212"/>
      <c r="H15" s="213"/>
      <c r="I15" s="213"/>
      <c r="J15" s="212"/>
      <c r="K15" s="212"/>
      <c r="L15" s="212"/>
      <c r="M15" s="212"/>
    </row>
    <row r="16" spans="2:13" x14ac:dyDescent="0.25">
      <c r="B16" s="52"/>
      <c r="C16" s="328"/>
      <c r="D16" s="328"/>
      <c r="E16" s="210"/>
      <c r="F16" s="211"/>
      <c r="G16" s="212"/>
      <c r="H16" s="213"/>
      <c r="I16" s="213"/>
      <c r="J16" s="212"/>
      <c r="K16" s="212"/>
      <c r="L16" s="212"/>
      <c r="M16" s="212"/>
    </row>
    <row r="17" spans="2:13" x14ac:dyDescent="0.25">
      <c r="B17" s="52"/>
      <c r="C17" s="328"/>
      <c r="D17" s="328"/>
      <c r="E17" s="210"/>
      <c r="F17" s="211"/>
      <c r="G17" s="212"/>
      <c r="H17" s="213"/>
      <c r="I17" s="213"/>
      <c r="J17" s="212"/>
      <c r="K17" s="212"/>
      <c r="L17" s="212"/>
      <c r="M17" s="212"/>
    </row>
    <row r="18" spans="2:13" x14ac:dyDescent="0.25">
      <c r="B18" s="52"/>
      <c r="C18" s="328"/>
      <c r="D18" s="328"/>
      <c r="E18" s="210"/>
      <c r="F18" s="211"/>
      <c r="G18" s="212"/>
      <c r="H18" s="213"/>
      <c r="I18" s="213"/>
      <c r="J18" s="212"/>
      <c r="K18" s="212"/>
      <c r="L18" s="212"/>
      <c r="M18" s="212"/>
    </row>
    <row r="19" spans="2:13" x14ac:dyDescent="0.25">
      <c r="B19" s="52"/>
      <c r="C19" s="328"/>
      <c r="D19" s="328"/>
      <c r="E19" s="210"/>
      <c r="F19" s="211"/>
      <c r="G19" s="212"/>
      <c r="H19" s="213"/>
      <c r="I19" s="213"/>
      <c r="J19" s="212"/>
      <c r="K19" s="212"/>
      <c r="L19" s="212"/>
      <c r="M19" s="212"/>
    </row>
    <row r="20" spans="2:13" x14ac:dyDescent="0.25">
      <c r="B20" s="214" t="s">
        <v>91</v>
      </c>
      <c r="C20" s="215"/>
      <c r="D20" s="215"/>
      <c r="E20" s="216"/>
      <c r="F20" s="217"/>
      <c r="G20" s="218">
        <f>SUM(G9:G19)</f>
        <v>230000</v>
      </c>
      <c r="H20" s="219"/>
      <c r="I20" s="219"/>
      <c r="J20" s="218">
        <f>SUM(J9:J19)</f>
        <v>8151</v>
      </c>
      <c r="K20" s="218">
        <f>SUM(K9:K19)</f>
        <v>75000</v>
      </c>
      <c r="L20" s="218">
        <f>SUM(L9:L19)</f>
        <v>9450</v>
      </c>
      <c r="M20" s="218">
        <f>SUM(M9:M19)</f>
        <v>75000</v>
      </c>
    </row>
    <row r="21" spans="2:13" x14ac:dyDescent="0.25">
      <c r="B21" s="207" t="s">
        <v>92</v>
      </c>
      <c r="C21" s="220"/>
      <c r="D21" s="220"/>
      <c r="E21" s="221"/>
      <c r="F21" s="222"/>
      <c r="G21" s="222"/>
      <c r="H21" s="223"/>
      <c r="I21" s="223"/>
      <c r="J21" s="222"/>
      <c r="K21" s="222"/>
      <c r="L21" s="222"/>
      <c r="M21" s="222"/>
    </row>
    <row r="22" spans="2:13" x14ac:dyDescent="0.35">
      <c r="B22" s="3" t="s">
        <v>407</v>
      </c>
      <c r="C22" s="575"/>
      <c r="D22" s="575"/>
      <c r="E22" s="21"/>
      <c r="F22" s="22"/>
      <c r="G22" s="212"/>
      <c r="H22" s="213"/>
      <c r="I22" s="213"/>
      <c r="J22" s="212"/>
      <c r="K22" s="212"/>
      <c r="L22" s="212"/>
      <c r="M22" s="212"/>
    </row>
    <row r="23" spans="2:13" x14ac:dyDescent="0.35">
      <c r="B23" s="3" t="s">
        <v>408</v>
      </c>
      <c r="C23" s="575"/>
      <c r="D23" s="575"/>
      <c r="E23" s="21"/>
      <c r="F23" s="22"/>
      <c r="G23" s="212"/>
      <c r="H23" s="213"/>
      <c r="I23" s="213"/>
      <c r="J23" s="212"/>
      <c r="K23" s="212"/>
      <c r="L23" s="212"/>
      <c r="M23" s="212"/>
    </row>
    <row r="24" spans="2:13" x14ac:dyDescent="0.35">
      <c r="B24" s="3" t="s">
        <v>409</v>
      </c>
      <c r="C24" s="575">
        <v>34142</v>
      </c>
      <c r="D24" s="575">
        <v>42064</v>
      </c>
      <c r="E24" s="21">
        <v>3.43</v>
      </c>
      <c r="F24" s="22">
        <v>3138478</v>
      </c>
      <c r="G24" s="212">
        <v>398229</v>
      </c>
      <c r="H24" s="576" t="s">
        <v>416</v>
      </c>
      <c r="I24" s="576" t="s">
        <v>416</v>
      </c>
      <c r="J24" s="212">
        <v>11995</v>
      </c>
      <c r="K24" s="212">
        <v>195729</v>
      </c>
      <c r="L24" s="212">
        <v>5224</v>
      </c>
      <c r="M24" s="212">
        <v>202500</v>
      </c>
    </row>
    <row r="25" spans="2:13" x14ac:dyDescent="0.35">
      <c r="B25" s="3" t="s">
        <v>410</v>
      </c>
      <c r="C25" s="575"/>
      <c r="D25" s="575"/>
      <c r="E25" s="21"/>
      <c r="F25" s="22"/>
      <c r="G25" s="212"/>
      <c r="H25" s="576"/>
      <c r="I25" s="576"/>
      <c r="J25" s="212"/>
      <c r="K25" s="212"/>
      <c r="L25" s="212"/>
      <c r="M25" s="212"/>
    </row>
    <row r="26" spans="2:13" x14ac:dyDescent="0.35">
      <c r="B26" s="3" t="s">
        <v>411</v>
      </c>
      <c r="C26" s="575">
        <v>36342</v>
      </c>
      <c r="D26" s="575">
        <v>44044</v>
      </c>
      <c r="E26" s="21">
        <v>4.16</v>
      </c>
      <c r="F26" s="22">
        <v>450000</v>
      </c>
      <c r="G26" s="212">
        <v>223983</v>
      </c>
      <c r="H26" s="576" t="s">
        <v>417</v>
      </c>
      <c r="I26" s="576" t="s">
        <v>417</v>
      </c>
      <c r="J26" s="212">
        <v>9113</v>
      </c>
      <c r="K26" s="212">
        <v>24250</v>
      </c>
      <c r="L26" s="212">
        <v>8094</v>
      </c>
      <c r="M26" s="212">
        <v>25269</v>
      </c>
    </row>
    <row r="27" spans="2:13" x14ac:dyDescent="0.35">
      <c r="B27" s="3" t="s">
        <v>412</v>
      </c>
      <c r="C27" s="575">
        <v>38504</v>
      </c>
      <c r="D27" s="575">
        <v>45992</v>
      </c>
      <c r="E27" s="21" t="s">
        <v>413</v>
      </c>
      <c r="F27" s="22">
        <v>2600000</v>
      </c>
      <c r="G27" s="212">
        <v>2060000</v>
      </c>
      <c r="H27" s="576" t="s">
        <v>418</v>
      </c>
      <c r="I27" s="576">
        <v>40148</v>
      </c>
      <c r="J27" s="212">
        <v>93408</v>
      </c>
      <c r="K27" s="212">
        <v>110000</v>
      </c>
      <c r="L27" s="212">
        <v>89145</v>
      </c>
      <c r="M27" s="212">
        <v>115000</v>
      </c>
    </row>
    <row r="28" spans="2:13" x14ac:dyDescent="0.35">
      <c r="B28" s="3" t="s">
        <v>414</v>
      </c>
      <c r="C28" s="575">
        <v>38629</v>
      </c>
      <c r="D28" s="575">
        <v>46447</v>
      </c>
      <c r="E28" s="21">
        <v>2.58</v>
      </c>
      <c r="F28" s="22">
        <v>510204</v>
      </c>
      <c r="G28" s="212">
        <v>377907</v>
      </c>
      <c r="H28" s="576" t="s">
        <v>416</v>
      </c>
      <c r="I28" s="576" t="s">
        <v>416</v>
      </c>
      <c r="J28" s="212">
        <v>10042</v>
      </c>
      <c r="K28" s="212">
        <v>22774</v>
      </c>
      <c r="L28" s="212">
        <v>9450</v>
      </c>
      <c r="M28" s="212">
        <v>23366</v>
      </c>
    </row>
    <row r="29" spans="2:13" x14ac:dyDescent="0.25">
      <c r="B29" s="52"/>
      <c r="C29" s="328"/>
      <c r="D29" s="328"/>
      <c r="E29" s="210"/>
      <c r="F29" s="211"/>
      <c r="G29" s="212"/>
      <c r="H29" s="213"/>
      <c r="I29" s="213"/>
      <c r="J29" s="212"/>
      <c r="K29" s="212"/>
      <c r="L29" s="212"/>
      <c r="M29" s="212"/>
    </row>
    <row r="30" spans="2:13" x14ac:dyDescent="0.25">
      <c r="B30" s="52"/>
      <c r="C30" s="328"/>
      <c r="D30" s="328"/>
      <c r="E30" s="210"/>
      <c r="F30" s="211"/>
      <c r="G30" s="212"/>
      <c r="H30" s="213"/>
      <c r="I30" s="213"/>
      <c r="J30" s="212"/>
      <c r="K30" s="212"/>
      <c r="L30" s="212"/>
      <c r="M30" s="212"/>
    </row>
    <row r="31" spans="2:13" x14ac:dyDescent="0.25">
      <c r="B31" s="52"/>
      <c r="C31" s="328"/>
      <c r="D31" s="328"/>
      <c r="E31" s="210"/>
      <c r="F31" s="211"/>
      <c r="G31" s="212"/>
      <c r="H31" s="213"/>
      <c r="I31" s="213"/>
      <c r="J31" s="212"/>
      <c r="K31" s="212"/>
      <c r="L31" s="212"/>
      <c r="M31" s="212"/>
    </row>
    <row r="32" spans="2:13" x14ac:dyDescent="0.25">
      <c r="B32" s="214" t="s">
        <v>93</v>
      </c>
      <c r="C32" s="215"/>
      <c r="D32" s="215"/>
      <c r="E32" s="224"/>
      <c r="F32" s="217"/>
      <c r="G32" s="225">
        <f>SUM(G22:G31)</f>
        <v>3060119</v>
      </c>
      <c r="H32" s="219"/>
      <c r="I32" s="219"/>
      <c r="J32" s="225">
        <f>SUM(J22:J31)</f>
        <v>124558</v>
      </c>
      <c r="K32" s="225">
        <f>SUM(K22:K31)</f>
        <v>352753</v>
      </c>
      <c r="L32" s="218">
        <f>SUM(L22:L31)</f>
        <v>111913</v>
      </c>
      <c r="M32" s="225">
        <f>SUM(M22:M31)</f>
        <v>366135</v>
      </c>
    </row>
    <row r="33" spans="2:29" x14ac:dyDescent="0.25">
      <c r="B33" s="207" t="s">
        <v>94</v>
      </c>
      <c r="C33" s="220"/>
      <c r="D33" s="220"/>
      <c r="E33" s="221"/>
      <c r="F33" s="222"/>
      <c r="G33" s="226"/>
      <c r="H33" s="223"/>
      <c r="I33" s="223"/>
      <c r="J33" s="222"/>
      <c r="K33" s="222"/>
      <c r="L33" s="222"/>
      <c r="M33" s="222"/>
    </row>
    <row r="34" spans="2:29" x14ac:dyDescent="0.35">
      <c r="B34" s="3" t="s">
        <v>419</v>
      </c>
      <c r="C34" s="575">
        <v>39944</v>
      </c>
      <c r="D34" s="575">
        <v>46966</v>
      </c>
      <c r="E34" s="21">
        <v>4.18</v>
      </c>
      <c r="F34" s="22">
        <v>124881</v>
      </c>
      <c r="G34" s="212">
        <v>104181</v>
      </c>
      <c r="H34" s="576" t="s">
        <v>417</v>
      </c>
      <c r="I34" s="576">
        <v>40026</v>
      </c>
      <c r="J34" s="212">
        <v>4355</v>
      </c>
      <c r="K34" s="212">
        <v>4705</v>
      </c>
      <c r="L34" s="212">
        <v>4158</v>
      </c>
      <c r="M34" s="212">
        <v>4902</v>
      </c>
    </row>
    <row r="35" spans="2:29" x14ac:dyDescent="0.25">
      <c r="B35" s="52"/>
      <c r="C35" s="328"/>
      <c r="D35" s="328"/>
      <c r="E35" s="210"/>
      <c r="F35" s="211"/>
      <c r="G35" s="212"/>
      <c r="H35" s="213"/>
      <c r="I35" s="213"/>
      <c r="J35" s="212"/>
      <c r="K35" s="212"/>
      <c r="L35" s="212"/>
      <c r="M35" s="212"/>
    </row>
    <row r="36" spans="2:29" x14ac:dyDescent="0.25">
      <c r="B36" s="52"/>
      <c r="C36" s="328"/>
      <c r="D36" s="328"/>
      <c r="E36" s="210"/>
      <c r="F36" s="211"/>
      <c r="G36" s="212"/>
      <c r="H36" s="213"/>
      <c r="I36" s="213"/>
      <c r="J36" s="212"/>
      <c r="K36" s="212"/>
      <c r="L36" s="212"/>
      <c r="M36" s="212"/>
    </row>
    <row r="37" spans="2:29" x14ac:dyDescent="0.25">
      <c r="B37" s="52"/>
      <c r="C37" s="328"/>
      <c r="D37" s="328"/>
      <c r="E37" s="210"/>
      <c r="F37" s="211"/>
      <c r="G37" s="212"/>
      <c r="H37" s="213"/>
      <c r="I37" s="213"/>
      <c r="J37" s="212"/>
      <c r="K37" s="212"/>
      <c r="L37" s="212"/>
      <c r="M37" s="212"/>
    </row>
    <row r="38" spans="2:29" x14ac:dyDescent="0.25">
      <c r="B38" s="52"/>
      <c r="C38" s="328"/>
      <c r="D38" s="328"/>
      <c r="E38" s="210"/>
      <c r="F38" s="211"/>
      <c r="G38" s="212"/>
      <c r="H38" s="213"/>
      <c r="I38" s="213"/>
      <c r="J38" s="212"/>
      <c r="K38" s="212"/>
      <c r="L38" s="212"/>
      <c r="M38" s="212"/>
    </row>
    <row r="39" spans="2:29" x14ac:dyDescent="0.25">
      <c r="B39" s="52"/>
      <c r="C39" s="328"/>
      <c r="D39" s="328"/>
      <c r="E39" s="210"/>
      <c r="F39" s="211"/>
      <c r="G39" s="212"/>
      <c r="H39" s="213"/>
      <c r="I39" s="213"/>
      <c r="J39" s="212"/>
      <c r="K39" s="212"/>
      <c r="L39" s="212"/>
      <c r="M39" s="212"/>
    </row>
    <row r="40" spans="2:29" x14ac:dyDescent="0.25">
      <c r="B40" s="52"/>
      <c r="C40" s="328"/>
      <c r="D40" s="328"/>
      <c r="E40" s="210"/>
      <c r="F40" s="211"/>
      <c r="G40" s="212"/>
      <c r="H40" s="213"/>
      <c r="I40" s="213"/>
      <c r="J40" s="212"/>
      <c r="K40" s="212"/>
      <c r="L40" s="212"/>
      <c r="M40" s="212"/>
    </row>
    <row r="41" spans="2:29" x14ac:dyDescent="0.25">
      <c r="B41" s="52"/>
      <c r="C41" s="328"/>
      <c r="D41" s="328"/>
      <c r="E41" s="210"/>
      <c r="F41" s="211"/>
      <c r="G41" s="212"/>
      <c r="H41" s="213"/>
      <c r="I41" s="213"/>
      <c r="J41" s="212"/>
      <c r="K41" s="212"/>
      <c r="L41" s="212"/>
      <c r="M41" s="212"/>
      <c r="N41" s="28"/>
      <c r="O41" s="28"/>
      <c r="P41" s="28"/>
      <c r="Q41" s="28"/>
      <c r="R41" s="28"/>
      <c r="S41" s="28"/>
      <c r="T41" s="28"/>
      <c r="U41" s="28"/>
      <c r="V41" s="28"/>
      <c r="W41" s="28"/>
      <c r="X41" s="28"/>
      <c r="Y41" s="28"/>
      <c r="Z41" s="28"/>
      <c r="AA41" s="28"/>
      <c r="AB41" s="28"/>
      <c r="AC41" s="28"/>
    </row>
    <row r="42" spans="2:29" x14ac:dyDescent="0.25">
      <c r="B42" s="214" t="s">
        <v>208</v>
      </c>
      <c r="C42" s="196"/>
      <c r="D42" s="196"/>
      <c r="E42" s="224"/>
      <c r="F42" s="217"/>
      <c r="G42" s="225">
        <f>SUM(G34:G41)</f>
        <v>104181</v>
      </c>
      <c r="H42" s="217"/>
      <c r="I42" s="217"/>
      <c r="J42" s="225">
        <f>SUM(J34:J41)</f>
        <v>4355</v>
      </c>
      <c r="K42" s="225">
        <f>SUM(K34:K41)</f>
        <v>4705</v>
      </c>
      <c r="L42" s="225">
        <f>SUM(L34:L41)</f>
        <v>4158</v>
      </c>
      <c r="M42" s="225">
        <f>SUM(M34:M41)</f>
        <v>4902</v>
      </c>
    </row>
    <row r="43" spans="2:29" x14ac:dyDescent="0.25">
      <c r="B43" s="214" t="s">
        <v>95</v>
      </c>
      <c r="C43" s="196"/>
      <c r="D43" s="196"/>
      <c r="E43" s="196"/>
      <c r="F43" s="217"/>
      <c r="G43" s="225">
        <f>SUM(G20+G32+G42)</f>
        <v>3394300</v>
      </c>
      <c r="H43" s="217"/>
      <c r="I43" s="217"/>
      <c r="J43" s="225">
        <f>SUM(J20+J32+J42)</f>
        <v>137064</v>
      </c>
      <c r="K43" s="225">
        <f>SUM(K20+K32+K42)</f>
        <v>432458</v>
      </c>
      <c r="L43" s="225">
        <f>SUM(L20+L32+L42)</f>
        <v>125521</v>
      </c>
      <c r="M43" s="225">
        <f>SUM(M20+M32+M42)</f>
        <v>446037</v>
      </c>
    </row>
    <row r="44" spans="2:29" x14ac:dyDescent="0.25">
      <c r="B44" s="629" t="s">
        <v>375</v>
      </c>
      <c r="C44" s="630"/>
      <c r="D44" s="630"/>
      <c r="E44" s="630"/>
      <c r="F44" s="630"/>
      <c r="G44" s="630"/>
      <c r="H44" s="631"/>
      <c r="I44" s="631"/>
      <c r="J44" s="631"/>
      <c r="K44" s="631"/>
      <c r="L44" s="631"/>
      <c r="M44" s="631"/>
    </row>
    <row r="45" spans="2:29" x14ac:dyDescent="0.25">
      <c r="F45" s="227"/>
      <c r="G45" s="227"/>
      <c r="J45" s="227"/>
      <c r="K45" s="227"/>
      <c r="L45" s="227"/>
      <c r="M45" s="227"/>
    </row>
    <row r="46" spans="2:29" x14ac:dyDescent="0.25">
      <c r="F46" s="28"/>
      <c r="H46" s="228"/>
      <c r="N46" s="28"/>
    </row>
    <row r="47" spans="2:29" x14ac:dyDescent="0.25">
      <c r="B47" s="28"/>
      <c r="C47" s="28"/>
      <c r="D47" s="28"/>
      <c r="E47" s="28"/>
      <c r="F47" s="28"/>
      <c r="G47" s="28"/>
      <c r="H47" s="28"/>
      <c r="I47" s="28"/>
      <c r="J47" s="28"/>
      <c r="K47" s="28"/>
      <c r="L47" s="28"/>
      <c r="M47" s="28"/>
    </row>
    <row r="48" spans="2:29" x14ac:dyDescent="0.25">
      <c r="B48" s="28"/>
      <c r="C48" s="28"/>
      <c r="D48" s="28"/>
      <c r="E48" s="28"/>
      <c r="F48" s="28"/>
      <c r="G48" s="28"/>
      <c r="H48" s="28"/>
      <c r="I48" s="28"/>
      <c r="J48" s="28"/>
      <c r="K48" s="28"/>
      <c r="L48" s="28"/>
      <c r="M48" s="28"/>
    </row>
  </sheetData>
  <mergeCells count="4">
    <mergeCell ref="H6:I6"/>
    <mergeCell ref="J6:K6"/>
    <mergeCell ref="L6:M6"/>
    <mergeCell ref="B44:M44"/>
  </mergeCells>
  <phoneticPr fontId="0" type="noConversion"/>
  <pageMargins left="0.25" right="0.25" top="1" bottom="0.5" header="0.5" footer="0.25"/>
  <pageSetup scale="79" orientation="landscape" blackAndWhite="1" horizontalDpi="120" verticalDpi="144" r:id="rId1"/>
  <headerFooter alignWithMargins="0">
    <oddHeader>&amp;RState of Kansas
City</oddHeader>
    <oddFooter>&amp;CPage No. 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75" workbookViewId="0">
      <selection activeCell="H21" sqref="H21"/>
    </sheetView>
  </sheetViews>
  <sheetFormatPr defaultColWidth="8.9140625" defaultRowHeight="15.5" x14ac:dyDescent="0.35"/>
  <cols>
    <col min="1" max="1" width="4.9140625" style="2" customWidth="1"/>
    <col min="2" max="2" width="23.58203125" style="2" customWidth="1"/>
    <col min="3" max="5" width="9.6640625" style="2" customWidth="1"/>
    <col min="6" max="6" width="18.33203125" style="2" customWidth="1"/>
    <col min="7" max="9" width="15.6640625" style="2" customWidth="1"/>
    <col min="10" max="16384" width="8.9140625" style="2"/>
  </cols>
  <sheetData>
    <row r="1" spans="2:9" x14ac:dyDescent="0.35">
      <c r="B1" s="10" t="str">
        <f>inputPrYr!$D$2</f>
        <v>City of Eureka</v>
      </c>
      <c r="C1" s="5"/>
      <c r="D1" s="5"/>
      <c r="E1" s="5"/>
      <c r="F1" s="5"/>
      <c r="G1" s="5"/>
      <c r="H1" s="5"/>
      <c r="I1" s="20">
        <f>inputPrYr!C5</f>
        <v>2014</v>
      </c>
    </row>
    <row r="2" spans="2:9" x14ac:dyDescent="0.35">
      <c r="B2" s="10"/>
      <c r="C2" s="5"/>
      <c r="D2" s="5"/>
      <c r="E2" s="5"/>
      <c r="F2" s="5"/>
      <c r="G2" s="5"/>
      <c r="H2" s="5"/>
      <c r="I2" s="7"/>
    </row>
    <row r="3" spans="2:9" x14ac:dyDescent="0.35">
      <c r="B3" s="5"/>
      <c r="C3" s="5"/>
      <c r="D3" s="5"/>
      <c r="E3" s="5"/>
      <c r="F3" s="5"/>
      <c r="G3" s="5"/>
      <c r="H3" s="5"/>
      <c r="I3" s="6"/>
    </row>
    <row r="4" spans="2:9" x14ac:dyDescent="0.35">
      <c r="B4" s="11" t="s">
        <v>107</v>
      </c>
      <c r="C4" s="8"/>
      <c r="D4" s="8"/>
      <c r="E4" s="8"/>
      <c r="F4" s="8"/>
      <c r="G4" s="8"/>
      <c r="H4" s="8"/>
      <c r="I4" s="8"/>
    </row>
    <row r="5" spans="2:9" x14ac:dyDescent="0.35">
      <c r="B5" s="4"/>
      <c r="C5" s="16"/>
      <c r="D5" s="16"/>
      <c r="E5" s="16"/>
      <c r="F5" s="16"/>
      <c r="G5" s="16"/>
      <c r="H5" s="16"/>
      <c r="I5" s="16"/>
    </row>
    <row r="6" spans="2:9" x14ac:dyDescent="0.35">
      <c r="B6" s="9"/>
      <c r="C6" s="9"/>
      <c r="D6" s="9"/>
      <c r="E6" s="9"/>
      <c r="F6" s="12" t="s">
        <v>22</v>
      </c>
      <c r="G6" s="9"/>
      <c r="H6" s="9"/>
      <c r="I6" s="9"/>
    </row>
    <row r="7" spans="2:9" x14ac:dyDescent="0.35">
      <c r="B7" s="444"/>
      <c r="C7" s="13"/>
      <c r="D7" s="13" t="s">
        <v>96</v>
      </c>
      <c r="E7" s="13" t="s">
        <v>97</v>
      </c>
      <c r="F7" s="13" t="s">
        <v>43</v>
      </c>
      <c r="G7" s="13" t="s">
        <v>99</v>
      </c>
      <c r="H7" s="13" t="s">
        <v>100</v>
      </c>
      <c r="I7" s="13" t="s">
        <v>100</v>
      </c>
    </row>
    <row r="8" spans="2:9" x14ac:dyDescent="0.35">
      <c r="B8" s="13" t="s">
        <v>287</v>
      </c>
      <c r="C8" s="13" t="s">
        <v>101</v>
      </c>
      <c r="D8" s="13" t="s">
        <v>102</v>
      </c>
      <c r="E8" s="13" t="s">
        <v>86</v>
      </c>
      <c r="F8" s="13" t="s">
        <v>103</v>
      </c>
      <c r="G8" s="13" t="s">
        <v>146</v>
      </c>
      <c r="H8" s="13" t="s">
        <v>104</v>
      </c>
      <c r="I8" s="13" t="s">
        <v>104</v>
      </c>
    </row>
    <row r="9" spans="2:9" x14ac:dyDescent="0.35">
      <c r="B9" s="14" t="s">
        <v>286</v>
      </c>
      <c r="C9" s="14" t="s">
        <v>83</v>
      </c>
      <c r="D9" s="18" t="s">
        <v>105</v>
      </c>
      <c r="E9" s="14" t="s">
        <v>65</v>
      </c>
      <c r="F9" s="18" t="s">
        <v>170</v>
      </c>
      <c r="G9" s="15" t="str">
        <f>CONCATENATE("Jan 1,",I1-1,"")</f>
        <v>Jan 1,2013</v>
      </c>
      <c r="H9" s="14">
        <f>I1-1</f>
        <v>2013</v>
      </c>
      <c r="I9" s="14">
        <f>I1</f>
        <v>2014</v>
      </c>
    </row>
    <row r="10" spans="2:9" x14ac:dyDescent="0.35">
      <c r="B10" s="3" t="s">
        <v>420</v>
      </c>
      <c r="C10" s="25">
        <v>39688</v>
      </c>
      <c r="D10" s="23">
        <v>60</v>
      </c>
      <c r="E10" s="21">
        <v>5.12</v>
      </c>
      <c r="F10" s="22">
        <v>98060</v>
      </c>
      <c r="G10" s="22">
        <v>59064</v>
      </c>
      <c r="H10" s="22">
        <v>14151</v>
      </c>
      <c r="I10" s="22">
        <v>0</v>
      </c>
    </row>
    <row r="11" spans="2:9" x14ac:dyDescent="0.35">
      <c r="B11" s="3" t="s">
        <v>421</v>
      </c>
      <c r="C11" s="25">
        <v>40568</v>
      </c>
      <c r="D11" s="23">
        <v>60</v>
      </c>
      <c r="E11" s="21">
        <v>3.92</v>
      </c>
      <c r="F11" s="22">
        <v>119861</v>
      </c>
      <c r="G11" s="22">
        <v>73999</v>
      </c>
      <c r="H11" s="22">
        <v>26630</v>
      </c>
      <c r="I11" s="22">
        <v>26630</v>
      </c>
    </row>
    <row r="12" spans="2:9" x14ac:dyDescent="0.35">
      <c r="B12" s="3" t="s">
        <v>518</v>
      </c>
      <c r="C12" s="25"/>
      <c r="D12" s="23"/>
      <c r="E12" s="21"/>
      <c r="F12" s="22"/>
      <c r="G12" s="22"/>
      <c r="H12" s="22"/>
      <c r="I12" s="22"/>
    </row>
    <row r="13" spans="2:9" x14ac:dyDescent="0.35">
      <c r="B13" s="3" t="s">
        <v>519</v>
      </c>
      <c r="C13" s="25">
        <v>41456</v>
      </c>
      <c r="D13" s="23">
        <v>48</v>
      </c>
      <c r="E13" s="21">
        <v>2.74</v>
      </c>
      <c r="F13" s="22">
        <v>47700</v>
      </c>
      <c r="G13" s="22">
        <v>0</v>
      </c>
      <c r="H13" s="22">
        <v>0</v>
      </c>
      <c r="I13" s="22">
        <v>12441</v>
      </c>
    </row>
    <row r="14" spans="2:9" x14ac:dyDescent="0.35">
      <c r="B14" s="3"/>
      <c r="C14" s="25"/>
      <c r="D14" s="23"/>
      <c r="E14" s="21"/>
      <c r="F14" s="22"/>
      <c r="G14" s="22"/>
      <c r="H14" s="22"/>
      <c r="I14" s="22"/>
    </row>
    <row r="15" spans="2:9" x14ac:dyDescent="0.35">
      <c r="B15" s="3"/>
      <c r="C15" s="25"/>
      <c r="D15" s="23"/>
      <c r="E15" s="21"/>
      <c r="F15" s="22"/>
      <c r="G15" s="22"/>
      <c r="H15" s="22"/>
      <c r="I15" s="22"/>
    </row>
    <row r="16" spans="2:9" x14ac:dyDescent="0.35">
      <c r="B16" s="3"/>
      <c r="C16" s="25"/>
      <c r="D16" s="23"/>
      <c r="E16" s="21"/>
      <c r="F16" s="22"/>
      <c r="G16" s="22"/>
      <c r="H16" s="22"/>
      <c r="I16" s="22"/>
    </row>
    <row r="17" spans="1:13" x14ac:dyDescent="0.35">
      <c r="B17" s="3"/>
      <c r="C17" s="25"/>
      <c r="D17" s="23"/>
      <c r="E17" s="21"/>
      <c r="F17" s="22"/>
      <c r="G17" s="22"/>
      <c r="H17" s="22"/>
      <c r="I17" s="22"/>
    </row>
    <row r="18" spans="1:13" x14ac:dyDescent="0.35">
      <c r="B18" s="3"/>
      <c r="C18" s="25"/>
      <c r="D18" s="23"/>
      <c r="E18" s="21"/>
      <c r="F18" s="22"/>
      <c r="G18" s="22"/>
      <c r="H18" s="22"/>
      <c r="I18" s="22"/>
    </row>
    <row r="19" spans="1:13" x14ac:dyDescent="0.35">
      <c r="B19" s="3"/>
      <c r="C19" s="25"/>
      <c r="D19" s="23"/>
      <c r="E19" s="21"/>
      <c r="F19" s="22"/>
      <c r="G19" s="22"/>
      <c r="H19" s="22"/>
      <c r="I19" s="22"/>
    </row>
    <row r="20" spans="1:13" x14ac:dyDescent="0.35">
      <c r="B20" s="3"/>
      <c r="C20" s="25"/>
      <c r="D20" s="23"/>
      <c r="E20" s="21"/>
      <c r="F20" s="22"/>
      <c r="G20" s="22"/>
      <c r="H20" s="22"/>
      <c r="I20" s="22"/>
    </row>
    <row r="21" spans="1:13" x14ac:dyDescent="0.35">
      <c r="B21" s="3"/>
      <c r="C21" s="25"/>
      <c r="D21" s="23"/>
      <c r="E21" s="21"/>
      <c r="F21" s="22"/>
      <c r="G21" s="22"/>
      <c r="H21" s="22"/>
      <c r="I21" s="22"/>
    </row>
    <row r="22" spans="1:13" x14ac:dyDescent="0.35">
      <c r="B22" s="3"/>
      <c r="C22" s="25"/>
      <c r="D22" s="23"/>
      <c r="E22" s="21"/>
      <c r="F22" s="22"/>
      <c r="G22" s="22"/>
      <c r="H22" s="22"/>
      <c r="I22" s="22"/>
    </row>
    <row r="23" spans="1:13" x14ac:dyDescent="0.35">
      <c r="B23" s="3"/>
      <c r="C23" s="25"/>
      <c r="D23" s="23"/>
      <c r="E23" s="21"/>
      <c r="F23" s="22"/>
      <c r="G23" s="22"/>
      <c r="H23" s="22"/>
      <c r="I23" s="22"/>
    </row>
    <row r="24" spans="1:13" x14ac:dyDescent="0.35">
      <c r="B24" s="3"/>
      <c r="C24" s="25"/>
      <c r="D24" s="23"/>
      <c r="E24" s="21"/>
      <c r="F24" s="22"/>
      <c r="G24" s="22"/>
      <c r="H24" s="22"/>
      <c r="I24" s="22"/>
    </row>
    <row r="25" spans="1:13" x14ac:dyDescent="0.35">
      <c r="B25" s="3"/>
      <c r="C25" s="25"/>
      <c r="D25" s="23"/>
      <c r="E25" s="21"/>
      <c r="F25" s="22"/>
      <c r="G25" s="22"/>
      <c r="H25" s="22"/>
      <c r="I25" s="22"/>
    </row>
    <row r="26" spans="1:13" x14ac:dyDescent="0.35">
      <c r="B26" s="3"/>
      <c r="C26" s="25"/>
      <c r="D26" s="23"/>
      <c r="E26" s="21"/>
      <c r="F26" s="22"/>
      <c r="G26" s="22"/>
      <c r="H26" s="22"/>
      <c r="I26" s="22"/>
    </row>
    <row r="27" spans="1:13" x14ac:dyDescent="0.35">
      <c r="B27" s="3"/>
      <c r="C27" s="25"/>
      <c r="D27" s="23"/>
      <c r="E27" s="21"/>
      <c r="F27" s="22"/>
      <c r="G27" s="22"/>
      <c r="H27" s="22"/>
      <c r="I27" s="22"/>
    </row>
    <row r="28" spans="1:13" ht="16" thickBot="1" x14ac:dyDescent="0.4">
      <c r="B28" s="17"/>
      <c r="C28" s="19"/>
      <c r="D28" s="19"/>
      <c r="E28" s="19"/>
      <c r="F28" s="542" t="s">
        <v>38</v>
      </c>
      <c r="G28" s="24">
        <f>SUM(G10:G27)</f>
        <v>133063</v>
      </c>
      <c r="H28" s="24">
        <f>SUM(H10:H27)</f>
        <v>40781</v>
      </c>
      <c r="I28" s="24">
        <f>SUM(I10:I27)</f>
        <v>39071</v>
      </c>
    </row>
    <row r="29" spans="1:13" ht="16" thickTop="1" x14ac:dyDescent="0.35">
      <c r="B29" s="5"/>
      <c r="C29" s="5"/>
      <c r="D29" s="5"/>
      <c r="E29" s="5"/>
      <c r="F29" s="5"/>
      <c r="G29" s="5"/>
      <c r="H29" s="10"/>
      <c r="I29" s="10"/>
    </row>
    <row r="30" spans="1:13" x14ac:dyDescent="0.35">
      <c r="B30" s="26" t="s">
        <v>13</v>
      </c>
      <c r="C30" s="27"/>
      <c r="D30" s="27"/>
      <c r="E30" s="27"/>
      <c r="F30" s="27"/>
      <c r="G30" s="27"/>
      <c r="H30" s="10"/>
      <c r="I30" s="10"/>
    </row>
    <row r="31" spans="1:13" x14ac:dyDescent="0.35">
      <c r="A31" s="632" t="s">
        <v>375</v>
      </c>
      <c r="B31" s="633"/>
      <c r="C31" s="633"/>
      <c r="D31" s="633"/>
      <c r="E31" s="633"/>
      <c r="F31" s="633"/>
      <c r="G31" s="633"/>
      <c r="H31" s="633"/>
      <c r="I31" s="633"/>
      <c r="J31" s="564"/>
      <c r="K31" s="564"/>
      <c r="L31" s="564"/>
      <c r="M31" s="564"/>
    </row>
  </sheetData>
  <mergeCells count="1">
    <mergeCell ref="A31:I31"/>
  </mergeCells>
  <phoneticPr fontId="0" type="noConversion"/>
  <pageMargins left="0.25" right="0.25" top="1" bottom="0.5" header="0.5" footer="0.5"/>
  <pageSetup scale="91" orientation="landscape" blackAndWhite="1" horizontalDpi="120" verticalDpi="144" r:id="rId1"/>
  <headerFooter alignWithMargins="0">
    <oddHeader>&amp;RState of Kansas
City</oddHeader>
    <oddFooter>&amp;CPage No.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6</vt:i4>
      </vt:variant>
    </vt:vector>
  </HeadingPairs>
  <TitlesOfParts>
    <vt:vector size="29" baseType="lpstr">
      <vt:lpstr>inputOth</vt:lpstr>
      <vt:lpstr>inputPrYr</vt:lpstr>
      <vt:lpstr>inputBudSum</vt:lpstr>
      <vt:lpstr>cert</vt:lpstr>
      <vt:lpstr>computation</vt:lpstr>
      <vt:lpstr>mvalloc</vt:lpstr>
      <vt:lpstr>transfers</vt:lpstr>
      <vt:lpstr>debt</vt:lpstr>
      <vt:lpstr>lpform</vt:lpstr>
      <vt:lpstr>Library Grant</vt:lpstr>
      <vt:lpstr>general</vt:lpstr>
      <vt:lpstr>GenDetail</vt:lpstr>
      <vt:lpstr>Bond &amp; Int -library</vt:lpstr>
      <vt:lpstr>Sp Hiway &amp; Sp Parks</vt:lpstr>
      <vt:lpstr>Promotion</vt:lpstr>
      <vt:lpstr>Wtr Revolve &amp; Sewer Revolve</vt:lpstr>
      <vt:lpstr>Employ Ben &amp; sales Tax</vt:lpstr>
      <vt:lpstr>Sewer</vt:lpstr>
      <vt:lpstr>Water</vt:lpstr>
      <vt:lpstr>NonBudA</vt:lpstr>
      <vt:lpstr>NonBudB</vt:lpstr>
      <vt:lpstr>summ</vt:lpstr>
      <vt:lpstr>nhood</vt:lpstr>
      <vt:lpstr>'Bond &amp; Int -library'!Print_Area</vt:lpstr>
      <vt:lpstr>general!Print_Area</vt:lpstr>
      <vt:lpstr>inputPrYr!Print_Area</vt:lpstr>
      <vt:lpstr>'Library Grant'!Print_Area</vt:lpstr>
      <vt:lpstr>lpform!Print_Area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Renee</cp:lastModifiedBy>
  <cp:lastPrinted>2013-07-23T19:01:20Z</cp:lastPrinted>
  <dcterms:created xsi:type="dcterms:W3CDTF">1999-08-03T13:11:47Z</dcterms:created>
  <dcterms:modified xsi:type="dcterms:W3CDTF">2013-07-23T19:12:01Z</dcterms:modified>
</cp:coreProperties>
</file>