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05" windowWidth="9630" windowHeight="1980" tabRatio="858" activeTab="4"/>
  </bookViews>
  <sheets>
    <sheet name="Instructions" sheetId="1" r:id="rId1"/>
    <sheet name="inputPrYr" sheetId="2" r:id="rId2"/>
    <sheet name="inputOth" sheetId="19" r:id="rId3"/>
    <sheet name="inputBudSum" sheetId="35" r:id="rId4"/>
    <sheet name="cert" sheetId="3" r:id="rId5"/>
    <sheet name="computation" sheetId="16" r:id="rId6"/>
    <sheet name="Mvalloc" sheetId="5" r:id="rId7"/>
    <sheet name="Transfers" sheetId="24" r:id="rId8"/>
    <sheet name="TransferStatutes" sheetId="28" r:id="rId9"/>
    <sheet name="debt" sheetId="14" r:id="rId10"/>
    <sheet name="lpform" sheetId="15" r:id="rId11"/>
    <sheet name="Library Grant" sheetId="38" r:id="rId12"/>
    <sheet name="general" sheetId="7" r:id="rId13"/>
    <sheet name="general-detail" sheetId="27" r:id="rId14"/>
    <sheet name="DebtSvs-Library" sheetId="20" r:id="rId15"/>
    <sheet name="levy page9" sheetId="8" r:id="rId16"/>
    <sheet name="levy page10" sheetId="9" r:id="rId17"/>
    <sheet name="SpecHwy" sheetId="10" r:id="rId18"/>
    <sheet name="no levy page12" sheetId="11" r:id="rId19"/>
    <sheet name="no levy page13" sheetId="12" r:id="rId20"/>
    <sheet name="Sinnolevy14" sheetId="21" r:id="rId21"/>
    <sheet name="nonbud" sheetId="23" r:id="rId22"/>
    <sheet name="NonBudFunds" sheetId="29" r:id="rId23"/>
    <sheet name="summ" sheetId="13" r:id="rId24"/>
    <sheet name="Nhood" sheetId="26" r:id="rId25"/>
    <sheet name="ordinance" sheetId="18" r:id="rId26"/>
    <sheet name="Tab A" sheetId="30" r:id="rId27"/>
    <sheet name="Tab B" sheetId="31" r:id="rId28"/>
    <sheet name="Tab C" sheetId="32" r:id="rId29"/>
    <sheet name="Tab D" sheetId="33" r:id="rId30"/>
    <sheet name="Tab E" sheetId="34" r:id="rId31"/>
    <sheet name="Mill Rate Computation" sheetId="36" r:id="rId32"/>
    <sheet name="Helpful Links" sheetId="37" r:id="rId33"/>
    <sheet name="Legend" sheetId="22" r:id="rId34"/>
  </sheets>
  <definedNames>
    <definedName name="_xlnm.Print_Area" localSheetId="14">'DebtSvs-Library'!$B$1:$F$83</definedName>
    <definedName name="_xlnm.Print_Area" localSheetId="12">general!$B$1:$E$70</definedName>
    <definedName name="_xlnm.Print_Area" localSheetId="1">inputPrYr!$A$1:$E$58</definedName>
    <definedName name="_xlnm.Print_Area" localSheetId="16">'levy page10'!$A$1:$F$83</definedName>
    <definedName name="_xlnm.Print_Area" localSheetId="15">'levy page9'!$A$1:$F$83</definedName>
    <definedName name="_xlnm.Print_Area" localSheetId="11">'Library Grant'!$A$1:$J$40</definedName>
    <definedName name="_xlnm.Print_Area" localSheetId="10">lpform!$B$1:$I$22</definedName>
    <definedName name="_xlnm.Print_Area" localSheetId="31">'Mill Rate Computation'!$B$4:$K$150</definedName>
    <definedName name="_xlnm.Print_Area" localSheetId="23">summ!$A$1:$H$51</definedName>
  </definedNames>
  <calcPr calcId="145621"/>
</workbook>
</file>

<file path=xl/calcChain.xml><?xml version="1.0" encoding="utf-8"?>
<calcChain xmlns="http://schemas.openxmlformats.org/spreadsheetml/2006/main">
  <c r="D36" i="2" l="1"/>
  <c r="D48" i="9"/>
  <c r="D8" i="9"/>
  <c r="D48" i="8"/>
  <c r="D8" i="8"/>
  <c r="D20" i="8" s="1"/>
  <c r="D8" i="20"/>
  <c r="D48" i="20"/>
  <c r="D9" i="7"/>
  <c r="D33" i="7" s="1"/>
  <c r="J27" i="9"/>
  <c r="J67" i="9"/>
  <c r="J27" i="8"/>
  <c r="J67" i="8"/>
  <c r="J27" i="20"/>
  <c r="J67" i="20"/>
  <c r="C71" i="7"/>
  <c r="A20" i="3"/>
  <c r="C20" i="3"/>
  <c r="G24" i="2"/>
  <c r="G23" i="2"/>
  <c r="G22" i="2"/>
  <c r="G21" i="2"/>
  <c r="G19" i="2"/>
  <c r="G18" i="2"/>
  <c r="G17" i="2"/>
  <c r="A6" i="13"/>
  <c r="D79" i="9"/>
  <c r="D39" i="9"/>
  <c r="D79" i="8"/>
  <c r="D39" i="8"/>
  <c r="D79" i="20"/>
  <c r="D39" i="20"/>
  <c r="C18" i="13"/>
  <c r="B49" i="2"/>
  <c r="B67" i="27"/>
  <c r="B19" i="38"/>
  <c r="B18" i="38"/>
  <c r="B17" i="38"/>
  <c r="B16" i="38"/>
  <c r="B15" i="38"/>
  <c r="B8" i="38"/>
  <c r="B7" i="38"/>
  <c r="G16" i="38"/>
  <c r="E19" i="38"/>
  <c r="E18" i="38"/>
  <c r="E17" i="38"/>
  <c r="E16" i="38"/>
  <c r="B5" i="38"/>
  <c r="G14" i="38"/>
  <c r="E14" i="38"/>
  <c r="B78" i="38"/>
  <c r="B89" i="38"/>
  <c r="C22" i="3"/>
  <c r="D75" i="20"/>
  <c r="A57" i="19"/>
  <c r="A23" i="19"/>
  <c r="B9" i="26"/>
  <c r="A18" i="13"/>
  <c r="C11" i="5"/>
  <c r="B11" i="5"/>
  <c r="B24" i="3"/>
  <c r="A24" i="3"/>
  <c r="B45" i="20"/>
  <c r="C24" i="3"/>
  <c r="C23" i="3"/>
  <c r="D60" i="9"/>
  <c r="D60" i="8"/>
  <c r="D20" i="20"/>
  <c r="A48" i="13"/>
  <c r="A47" i="13"/>
  <c r="G20" i="35"/>
  <c r="G22" i="35" s="1"/>
  <c r="C20" i="20"/>
  <c r="J148" i="36"/>
  <c r="H134" i="36"/>
  <c r="C137" i="36" s="1"/>
  <c r="J137" i="36" s="1"/>
  <c r="C123" i="36"/>
  <c r="H120" i="36"/>
  <c r="H114" i="36"/>
  <c r="F117" i="36" s="1"/>
  <c r="H117" i="36" s="1"/>
  <c r="F123" i="36" s="1"/>
  <c r="J123" i="36" s="1"/>
  <c r="H100" i="36"/>
  <c r="C103" i="36"/>
  <c r="H94" i="36"/>
  <c r="F97" i="36"/>
  <c r="H97" i="36" s="1"/>
  <c r="F103" i="36" s="1"/>
  <c r="H80" i="36"/>
  <c r="C83" i="36" s="1"/>
  <c r="H74" i="36"/>
  <c r="F77" i="36" s="1"/>
  <c r="H77" i="36" s="1"/>
  <c r="F83" i="36" s="1"/>
  <c r="H48" i="36"/>
  <c r="F50" i="36" s="1"/>
  <c r="J50" i="36" s="1"/>
  <c r="H41" i="36"/>
  <c r="B28" i="36"/>
  <c r="H28" i="36"/>
  <c r="H25" i="36"/>
  <c r="C25" i="36"/>
  <c r="C14" i="26"/>
  <c r="B13" i="26"/>
  <c r="B12" i="26"/>
  <c r="B11" i="26"/>
  <c r="B10" i="26"/>
  <c r="F24" i="3"/>
  <c r="C75" i="9"/>
  <c r="C35" i="9"/>
  <c r="C75" i="8"/>
  <c r="C35" i="8"/>
  <c r="C75" i="20"/>
  <c r="E22" i="13"/>
  <c r="G84" i="9" s="1"/>
  <c r="C22" i="13"/>
  <c r="C21" i="13"/>
  <c r="C20" i="13"/>
  <c r="C19" i="13"/>
  <c r="A27" i="19"/>
  <c r="A26" i="19"/>
  <c r="A25" i="19"/>
  <c r="A24" i="19"/>
  <c r="B34" i="13"/>
  <c r="B35" i="13"/>
  <c r="F35" i="13"/>
  <c r="G27" i="38" s="1"/>
  <c r="D35" i="13"/>
  <c r="E27" i="38" s="1"/>
  <c r="A22" i="13"/>
  <c r="A21" i="13"/>
  <c r="A20" i="13"/>
  <c r="A19" i="13"/>
  <c r="C15" i="5"/>
  <c r="C14" i="5"/>
  <c r="C13" i="5"/>
  <c r="C12" i="5"/>
  <c r="B15" i="5"/>
  <c r="B14" i="5"/>
  <c r="B13" i="5"/>
  <c r="B12" i="5"/>
  <c r="A61" i="19"/>
  <c r="A60" i="19"/>
  <c r="A59" i="19"/>
  <c r="A58" i="19"/>
  <c r="D33" i="20"/>
  <c r="D17" i="13" s="1"/>
  <c r="C33" i="20"/>
  <c r="D32" i="20"/>
  <c r="E20" i="13"/>
  <c r="G84" i="8" s="1"/>
  <c r="E19" i="13"/>
  <c r="G44" i="8" s="1"/>
  <c r="D28" i="19"/>
  <c r="A29" i="13"/>
  <c r="A28" i="13"/>
  <c r="A27" i="13"/>
  <c r="A26" i="13"/>
  <c r="A25" i="13"/>
  <c r="D75" i="9"/>
  <c r="D35" i="9"/>
  <c r="D75" i="8"/>
  <c r="D35" i="8"/>
  <c r="D73" i="20"/>
  <c r="C73" i="20"/>
  <c r="G78" i="20" s="1"/>
  <c r="C60" i="20"/>
  <c r="C61" i="20" s="1"/>
  <c r="D35" i="20"/>
  <c r="D93" i="20" s="1"/>
  <c r="C35" i="20"/>
  <c r="C93" i="20" s="1"/>
  <c r="C19" i="20"/>
  <c r="B5" i="20"/>
  <c r="E1" i="20"/>
  <c r="H45" i="20" s="1"/>
  <c r="B1" i="20"/>
  <c r="D63" i="7"/>
  <c r="C63" i="7"/>
  <c r="D67" i="7"/>
  <c r="D63" i="3"/>
  <c r="B48" i="2"/>
  <c r="B26" i="3"/>
  <c r="B25" i="3"/>
  <c r="A8" i="13"/>
  <c r="A34" i="31"/>
  <c r="A77" i="30"/>
  <c r="A74" i="30"/>
  <c r="A33" i="30"/>
  <c r="A28" i="30"/>
  <c r="A25" i="30"/>
  <c r="A16" i="30"/>
  <c r="A6" i="30"/>
  <c r="A33" i="31"/>
  <c r="A6" i="31"/>
  <c r="A38" i="32"/>
  <c r="A33" i="32"/>
  <c r="A19" i="32"/>
  <c r="A6" i="32"/>
  <c r="A46" i="33"/>
  <c r="A41" i="33"/>
  <c r="A6" i="33"/>
  <c r="A8" i="34"/>
  <c r="D17" i="26"/>
  <c r="E25" i="2"/>
  <c r="D34" i="13" s="1"/>
  <c r="D73" i="9"/>
  <c r="D22" i="13" s="1"/>
  <c r="C73" i="9"/>
  <c r="D33" i="9"/>
  <c r="C33" i="9"/>
  <c r="D73" i="8"/>
  <c r="C73" i="8"/>
  <c r="G78" i="8" s="1"/>
  <c r="D33" i="8"/>
  <c r="D19" i="13" s="1"/>
  <c r="C33" i="8"/>
  <c r="G38" i="8" s="1"/>
  <c r="G3" i="5"/>
  <c r="A25" i="2"/>
  <c r="A57" i="2"/>
  <c r="A56" i="2"/>
  <c r="D45" i="2"/>
  <c r="C9" i="5"/>
  <c r="C10" i="5"/>
  <c r="D18" i="5"/>
  <c r="E20" i="5"/>
  <c r="F22" i="5"/>
  <c r="C60" i="8"/>
  <c r="C61" i="8" s="1"/>
  <c r="C20" i="8"/>
  <c r="C21" i="8" s="1"/>
  <c r="D20" i="9"/>
  <c r="C20" i="9"/>
  <c r="C21" i="9" s="1"/>
  <c r="C60" i="9"/>
  <c r="C61" i="9" s="1"/>
  <c r="E14" i="7"/>
  <c r="E15" i="7"/>
  <c r="E16" i="7"/>
  <c r="C33" i="7"/>
  <c r="C34" i="7" s="1"/>
  <c r="C61" i="7"/>
  <c r="G66" i="7" s="1"/>
  <c r="D61" i="7"/>
  <c r="J6" i="16"/>
  <c r="C28" i="3"/>
  <c r="C27" i="3"/>
  <c r="C26" i="3"/>
  <c r="C25" i="3"/>
  <c r="E51" i="21"/>
  <c r="C21" i="21"/>
  <c r="C22" i="21" s="1"/>
  <c r="C51" i="21"/>
  <c r="D21" i="21"/>
  <c r="D51" i="21"/>
  <c r="E21" i="21"/>
  <c r="E20" i="21" s="1"/>
  <c r="D53" i="21"/>
  <c r="C53" i="21"/>
  <c r="E1" i="21"/>
  <c r="D5" i="21" s="1"/>
  <c r="E62" i="12"/>
  <c r="C62" i="12"/>
  <c r="B28" i="13" s="1"/>
  <c r="C48" i="12"/>
  <c r="C49" i="12" s="1"/>
  <c r="C63" i="12" s="1"/>
  <c r="D48" i="12"/>
  <c r="D47" i="12" s="1"/>
  <c r="D62" i="12"/>
  <c r="D28" i="13" s="1"/>
  <c r="E48" i="12"/>
  <c r="D64" i="12"/>
  <c r="C64" i="12"/>
  <c r="E1" i="12"/>
  <c r="E15" i="12"/>
  <c r="E14" i="12" s="1"/>
  <c r="C30" i="12"/>
  <c r="C15" i="12"/>
  <c r="C16" i="12" s="1"/>
  <c r="D15" i="12"/>
  <c r="D14" i="12" s="1"/>
  <c r="D30" i="12"/>
  <c r="D27" i="13" s="1"/>
  <c r="E30" i="12"/>
  <c r="F27" i="13" s="1"/>
  <c r="D32" i="12"/>
  <c r="C32" i="12"/>
  <c r="C62" i="11"/>
  <c r="B26" i="13" s="1"/>
  <c r="C48" i="11"/>
  <c r="D48" i="11"/>
  <c r="D62" i="11"/>
  <c r="D26" i="13" s="1"/>
  <c r="E48" i="11"/>
  <c r="E47" i="11" s="1"/>
  <c r="E62" i="11"/>
  <c r="F26" i="13" s="1"/>
  <c r="C30" i="11"/>
  <c r="B25" i="13" s="1"/>
  <c r="C15" i="11"/>
  <c r="C16" i="11" s="1"/>
  <c r="D15" i="11"/>
  <c r="D14" i="11" s="1"/>
  <c r="D30" i="11"/>
  <c r="D25" i="13" s="1"/>
  <c r="E15" i="11"/>
  <c r="E30" i="11"/>
  <c r="F25" i="13" s="1"/>
  <c r="E1" i="11"/>
  <c r="E1" i="9"/>
  <c r="H83" i="9" s="1"/>
  <c r="E1" i="8"/>
  <c r="E1" i="10"/>
  <c r="D31" i="10" s="1"/>
  <c r="E1" i="7"/>
  <c r="E60" i="10"/>
  <c r="F24" i="13" s="1"/>
  <c r="C60" i="10"/>
  <c r="C43" i="10"/>
  <c r="C44" i="10" s="1"/>
  <c r="D43" i="10"/>
  <c r="D42" i="10" s="1"/>
  <c r="D60" i="10"/>
  <c r="D24" i="13" s="1"/>
  <c r="E43" i="10"/>
  <c r="E42" i="10" s="1"/>
  <c r="E24" i="10"/>
  <c r="D29" i="3" s="1"/>
  <c r="C24" i="10"/>
  <c r="C15" i="10"/>
  <c r="C16" i="10" s="1"/>
  <c r="D8" i="10"/>
  <c r="D9" i="10"/>
  <c r="D24" i="10"/>
  <c r="E8" i="10"/>
  <c r="E9" i="10"/>
  <c r="D32" i="11"/>
  <c r="C32" i="11"/>
  <c r="D64" i="11"/>
  <c r="C64" i="11"/>
  <c r="C65" i="11" s="1"/>
  <c r="D62" i="10"/>
  <c r="D63" i="10" s="1"/>
  <c r="C62" i="10"/>
  <c r="D26" i="10"/>
  <c r="C26" i="10"/>
  <c r="E1" i="19"/>
  <c r="A36" i="2"/>
  <c r="D15" i="2"/>
  <c r="E15" i="2"/>
  <c r="G16" i="2" s="1"/>
  <c r="C32" i="7"/>
  <c r="J28" i="23"/>
  <c r="J17" i="23"/>
  <c r="J18" i="23" s="1"/>
  <c r="J29" i="23" s="1"/>
  <c r="J30" i="23" s="1"/>
  <c r="H28" i="23"/>
  <c r="H17" i="23"/>
  <c r="H18" i="23" s="1"/>
  <c r="H29" i="23" s="1"/>
  <c r="F28" i="23"/>
  <c r="F17" i="23"/>
  <c r="F18" i="23"/>
  <c r="F29" i="23" s="1"/>
  <c r="F30" i="23" s="1"/>
  <c r="D28" i="23"/>
  <c r="D17" i="23"/>
  <c r="D18" i="23" s="1"/>
  <c r="D29" i="23" s="1"/>
  <c r="B28" i="23"/>
  <c r="B17" i="23"/>
  <c r="G11" i="16"/>
  <c r="E14" i="16"/>
  <c r="E15" i="16"/>
  <c r="G16" i="16" s="1"/>
  <c r="E19" i="16"/>
  <c r="E20" i="16"/>
  <c r="G22" i="16" s="1"/>
  <c r="E21" i="16"/>
  <c r="G24" i="16"/>
  <c r="E28" i="16"/>
  <c r="K1" i="23"/>
  <c r="F2" i="23" s="1"/>
  <c r="C40" i="3"/>
  <c r="D19" i="26"/>
  <c r="D10" i="26"/>
  <c r="D21" i="26"/>
  <c r="D23" i="26" s="1"/>
  <c r="F23" i="13"/>
  <c r="D1" i="27"/>
  <c r="C5" i="27" s="1"/>
  <c r="A1" i="27"/>
  <c r="D15" i="27"/>
  <c r="D22" i="27"/>
  <c r="D29" i="27"/>
  <c r="D35" i="27"/>
  <c r="D42" i="27"/>
  <c r="D49" i="27"/>
  <c r="D56" i="27"/>
  <c r="D63" i="27"/>
  <c r="C15" i="27"/>
  <c r="C22" i="27"/>
  <c r="C29" i="27"/>
  <c r="C35" i="27"/>
  <c r="C42" i="27"/>
  <c r="C49" i="27"/>
  <c r="C56" i="27"/>
  <c r="C63" i="27"/>
  <c r="B15" i="27"/>
  <c r="B22" i="27"/>
  <c r="B29" i="27"/>
  <c r="B35" i="27"/>
  <c r="B42" i="27"/>
  <c r="B49" i="27"/>
  <c r="B56" i="27"/>
  <c r="B63" i="27"/>
  <c r="C47" i="12"/>
  <c r="C50" i="21"/>
  <c r="D61" i="12"/>
  <c r="C61" i="12"/>
  <c r="E59" i="10"/>
  <c r="F1" i="26"/>
  <c r="A26" i="26" s="1"/>
  <c r="C14" i="10"/>
  <c r="E14" i="11"/>
  <c r="C14" i="11"/>
  <c r="E47" i="12"/>
  <c r="D20" i="21"/>
  <c r="C14" i="12"/>
  <c r="D47" i="11"/>
  <c r="C42" i="10"/>
  <c r="A1" i="26"/>
  <c r="B8" i="26"/>
  <c r="A68" i="19"/>
  <c r="A67" i="19"/>
  <c r="A66" i="19"/>
  <c r="A65" i="19"/>
  <c r="A64" i="19"/>
  <c r="A63" i="19"/>
  <c r="A62" i="19"/>
  <c r="A56" i="19"/>
  <c r="A55" i="19"/>
  <c r="H1" i="13"/>
  <c r="C36" i="3"/>
  <c r="A22" i="19"/>
  <c r="A21" i="19"/>
  <c r="B10" i="5"/>
  <c r="A1" i="24"/>
  <c r="F1" i="24"/>
  <c r="E13" i="24"/>
  <c r="E15" i="24" s="1"/>
  <c r="F32" i="13" s="1"/>
  <c r="D13" i="24"/>
  <c r="D15" i="24" s="1"/>
  <c r="D32" i="13" s="1"/>
  <c r="C13" i="24"/>
  <c r="C15" i="24" s="1"/>
  <c r="B32" i="13" s="1"/>
  <c r="F1" i="3"/>
  <c r="A30" i="13"/>
  <c r="A36" i="3"/>
  <c r="A5" i="23"/>
  <c r="I5" i="23"/>
  <c r="G5" i="23"/>
  <c r="E5" i="23"/>
  <c r="C5" i="23"/>
  <c r="A1" i="23"/>
  <c r="K7" i="23"/>
  <c r="M1" i="14"/>
  <c r="G7" i="14" s="1"/>
  <c r="E59" i="2"/>
  <c r="D59" i="2"/>
  <c r="A13" i="2"/>
  <c r="A46" i="2"/>
  <c r="A48" i="19"/>
  <c r="A3" i="3"/>
  <c r="A21" i="18"/>
  <c r="A27" i="18"/>
  <c r="A15" i="18"/>
  <c r="A4" i="18"/>
  <c r="A35" i="3"/>
  <c r="B5" i="21"/>
  <c r="C35" i="3"/>
  <c r="B1" i="21"/>
  <c r="C80" i="9"/>
  <c r="E21" i="13"/>
  <c r="G44" i="9" s="1"/>
  <c r="E18" i="13"/>
  <c r="E29" i="38" s="1"/>
  <c r="E17" i="13"/>
  <c r="E16" i="13"/>
  <c r="G72" i="7" s="1"/>
  <c r="C16" i="13"/>
  <c r="C17" i="13"/>
  <c r="A45" i="19"/>
  <c r="A7" i="19"/>
  <c r="D42" i="13"/>
  <c r="D41" i="13"/>
  <c r="D40" i="13"/>
  <c r="D39" i="13"/>
  <c r="D43" i="13" s="1"/>
  <c r="B42" i="13"/>
  <c r="B41" i="13"/>
  <c r="B40" i="13"/>
  <c r="B39" i="13"/>
  <c r="B43" i="13" s="1"/>
  <c r="D46" i="2"/>
  <c r="D11" i="3"/>
  <c r="A8" i="3" s="1"/>
  <c r="A1" i="19"/>
  <c r="J1" i="16"/>
  <c r="G8" i="15"/>
  <c r="H8" i="15"/>
  <c r="I8" i="15"/>
  <c r="J6" i="14"/>
  <c r="L6" i="14"/>
  <c r="B15" i="3"/>
  <c r="B52" i="3"/>
  <c r="I1" i="15"/>
  <c r="A13" i="18"/>
  <c r="A7" i="18"/>
  <c r="C34" i="3"/>
  <c r="C33" i="3"/>
  <c r="C32" i="3"/>
  <c r="C31" i="3"/>
  <c r="C30" i="3"/>
  <c r="C29" i="3"/>
  <c r="B28" i="3"/>
  <c r="B27" i="3"/>
  <c r="A34" i="3"/>
  <c r="A33" i="3"/>
  <c r="A32" i="3"/>
  <c r="A31" i="3"/>
  <c r="A30" i="3"/>
  <c r="A29" i="3"/>
  <c r="A28" i="3"/>
  <c r="A27" i="3"/>
  <c r="A26" i="3"/>
  <c r="A25" i="3"/>
  <c r="C39" i="3"/>
  <c r="B22" i="3"/>
  <c r="C5" i="3"/>
  <c r="C1" i="16"/>
  <c r="M15" i="14"/>
  <c r="M22" i="14"/>
  <c r="M30" i="14"/>
  <c r="L15" i="14"/>
  <c r="L22" i="14"/>
  <c r="L30" i="14"/>
  <c r="K15" i="14"/>
  <c r="K22" i="14"/>
  <c r="K30" i="14"/>
  <c r="J15" i="14"/>
  <c r="J22" i="14"/>
  <c r="J31" i="14"/>
  <c r="J30" i="14"/>
  <c r="G30" i="14"/>
  <c r="F41" i="13" s="1"/>
  <c r="G15" i="14"/>
  <c r="F39" i="13" s="1"/>
  <c r="G22" i="14"/>
  <c r="F40" i="13" s="1"/>
  <c r="B1" i="14"/>
  <c r="B1" i="7"/>
  <c r="B6" i="7"/>
  <c r="B51" i="2"/>
  <c r="B52" i="2"/>
  <c r="B53" i="2"/>
  <c r="B50" i="2"/>
  <c r="D54" i="2"/>
  <c r="B47" i="2"/>
  <c r="B1" i="15"/>
  <c r="I20" i="15"/>
  <c r="H20" i="15"/>
  <c r="G20" i="15"/>
  <c r="F42" i="13" s="1"/>
  <c r="B2" i="5"/>
  <c r="B38" i="12"/>
  <c r="B5" i="12"/>
  <c r="B1" i="12"/>
  <c r="B45" i="8"/>
  <c r="B5" i="8"/>
  <c r="B1" i="8"/>
  <c r="B5" i="9"/>
  <c r="B45" i="9"/>
  <c r="B1" i="9"/>
  <c r="B31" i="10"/>
  <c r="B5" i="10"/>
  <c r="B1" i="10"/>
  <c r="B38" i="11"/>
  <c r="B5" i="11"/>
  <c r="B1" i="11"/>
  <c r="A24" i="13"/>
  <c r="A23" i="13"/>
  <c r="A5" i="13"/>
  <c r="D23" i="10"/>
  <c r="E23" i="10"/>
  <c r="E29" i="11"/>
  <c r="B64" i="11"/>
  <c r="B62" i="10"/>
  <c r="B26" i="10"/>
  <c r="C33" i="11"/>
  <c r="D32" i="9"/>
  <c r="D72" i="9"/>
  <c r="B4" i="26"/>
  <c r="D72" i="8"/>
  <c r="B13" i="16"/>
  <c r="D13" i="13"/>
  <c r="A10" i="13" s="1"/>
  <c r="F13" i="13"/>
  <c r="A8" i="19"/>
  <c r="A47" i="19"/>
  <c r="C40" i="9"/>
  <c r="A46" i="19"/>
  <c r="B53" i="19"/>
  <c r="C40" i="8"/>
  <c r="C19" i="8"/>
  <c r="K28" i="23"/>
  <c r="J5" i="16"/>
  <c r="J7" i="16" s="1"/>
  <c r="D54" i="21"/>
  <c r="D65" i="12"/>
  <c r="D33" i="12"/>
  <c r="C54" i="21"/>
  <c r="C65" i="12"/>
  <c r="D65" i="11"/>
  <c r="D29" i="11"/>
  <c r="D33" i="11"/>
  <c r="A9" i="19"/>
  <c r="E12" i="3"/>
  <c r="E15" i="10"/>
  <c r="E14" i="10" s="1"/>
  <c r="B24" i="16"/>
  <c r="D15" i="10"/>
  <c r="D14" i="10" s="1"/>
  <c r="B75" i="9"/>
  <c r="C20" i="21"/>
  <c r="C94" i="8"/>
  <c r="C96" i="8"/>
  <c r="D94" i="8"/>
  <c r="B37" i="8" s="1"/>
  <c r="C80" i="8"/>
  <c r="B29" i="13"/>
  <c r="D34" i="3"/>
  <c r="D31" i="3"/>
  <c r="D32" i="3"/>
  <c r="D30" i="3"/>
  <c r="C93" i="9"/>
  <c r="C80" i="20"/>
  <c r="B75" i="20"/>
  <c r="H39" i="20"/>
  <c r="H63" i="7"/>
  <c r="B63" i="7"/>
  <c r="C40" i="20"/>
  <c r="B35" i="20"/>
  <c r="H61" i="7"/>
  <c r="H62" i="7"/>
  <c r="F23" i="3"/>
  <c r="F26" i="3"/>
  <c r="F27" i="3"/>
  <c r="F25" i="3"/>
  <c r="F28" i="3"/>
  <c r="F22" i="3"/>
  <c r="H66" i="7"/>
  <c r="G31" i="20"/>
  <c r="H33" i="20"/>
  <c r="H36" i="20"/>
  <c r="H34" i="20"/>
  <c r="H35" i="20"/>
  <c r="C59" i="20"/>
  <c r="C72" i="20"/>
  <c r="C21" i="20"/>
  <c r="C34" i="20" s="1"/>
  <c r="D6" i="20" s="1"/>
  <c r="J39" i="13"/>
  <c r="J20" i="13"/>
  <c r="J24" i="13"/>
  <c r="J31" i="13"/>
  <c r="M22" i="13"/>
  <c r="G38" i="20"/>
  <c r="J33" i="13"/>
  <c r="D95" i="9"/>
  <c r="C72" i="8"/>
  <c r="A52" i="19"/>
  <c r="C16" i="5"/>
  <c r="E28" i="5" s="1"/>
  <c r="L31" i="14"/>
  <c r="B6" i="16"/>
  <c r="B28" i="16"/>
  <c r="D19" i="9"/>
  <c r="B18" i="16"/>
  <c r="D5" i="9"/>
  <c r="E5" i="9"/>
  <c r="C5" i="9"/>
  <c r="B21" i="13"/>
  <c r="B19" i="13"/>
  <c r="B22" i="13"/>
  <c r="H38" i="20"/>
  <c r="H79" i="20"/>
  <c r="H76" i="20"/>
  <c r="H74" i="20"/>
  <c r="G71" i="20"/>
  <c r="H75" i="20"/>
  <c r="H73" i="20"/>
  <c r="B35" i="8"/>
  <c r="B35" i="9"/>
  <c r="B18" i="13"/>
  <c r="C8" i="5"/>
  <c r="D7" i="5"/>
  <c r="B8" i="5"/>
  <c r="C72" i="9"/>
  <c r="C5" i="8"/>
  <c r="C6" i="7"/>
  <c r="C5" i="10"/>
  <c r="C38" i="12"/>
  <c r="C5" i="21"/>
  <c r="B5" i="27"/>
  <c r="E45" i="9"/>
  <c r="E6" i="7"/>
  <c r="E5" i="20"/>
  <c r="E45" i="20"/>
  <c r="E5" i="8"/>
  <c r="E45" i="8"/>
  <c r="E5" i="10"/>
  <c r="E31" i="10"/>
  <c r="E38" i="11"/>
  <c r="E5" i="11"/>
  <c r="E5" i="12"/>
  <c r="E38" i="12"/>
  <c r="E5" i="21"/>
  <c r="D5" i="27"/>
  <c r="C31" i="10"/>
  <c r="B53" i="21"/>
  <c r="C45" i="9"/>
  <c r="C45" i="8"/>
  <c r="C5" i="20"/>
  <c r="C5" i="11"/>
  <c r="C5" i="12"/>
  <c r="C38" i="11"/>
  <c r="D6" i="7"/>
  <c r="D5" i="20"/>
  <c r="D45" i="20"/>
  <c r="D5" i="8"/>
  <c r="D5" i="10"/>
  <c r="D38" i="11"/>
  <c r="D5" i="12"/>
  <c r="B47" i="38"/>
  <c r="B84" i="38"/>
  <c r="B91" i="38"/>
  <c r="B46" i="38"/>
  <c r="F13" i="5"/>
  <c r="E52" i="8" s="1"/>
  <c r="G21" i="35"/>
  <c r="G19" i="35" s="1"/>
  <c r="G23" i="35"/>
  <c r="B30" i="13"/>
  <c r="D30" i="23"/>
  <c r="C52" i="21"/>
  <c r="C55" i="21"/>
  <c r="D6" i="21"/>
  <c r="D22" i="21"/>
  <c r="D52" i="21" s="1"/>
  <c r="C74" i="8"/>
  <c r="C59" i="9"/>
  <c r="C19" i="9"/>
  <c r="M41" i="13"/>
  <c r="C45" i="20"/>
  <c r="G28" i="20"/>
  <c r="G68" i="20"/>
  <c r="G24" i="20"/>
  <c r="H78" i="20"/>
  <c r="J78" i="7"/>
  <c r="J28" i="20"/>
  <c r="J29" i="20"/>
  <c r="B20" i="13"/>
  <c r="C74" i="9"/>
  <c r="D46" i="9" s="1"/>
  <c r="D61" i="9" s="1"/>
  <c r="D74" i="9" s="1"/>
  <c r="C94" i="20"/>
  <c r="D77" i="7"/>
  <c r="E10" i="26"/>
  <c r="E30" i="8" s="1"/>
  <c r="E33" i="8" s="1"/>
  <c r="F30" i="5"/>
  <c r="F10" i="5"/>
  <c r="E12" i="20" s="1"/>
  <c r="E15" i="38"/>
  <c r="E22" i="38" s="1"/>
  <c r="D60" i="20"/>
  <c r="D45" i="8"/>
  <c r="D45" i="9"/>
  <c r="E10" i="5"/>
  <c r="E13" i="5"/>
  <c r="E51" i="8" s="1"/>
  <c r="E12" i="5"/>
  <c r="E11" i="8" s="1"/>
  <c r="E14" i="5"/>
  <c r="E11" i="9" s="1"/>
  <c r="E15" i="5"/>
  <c r="E51" i="9" s="1"/>
  <c r="E11" i="5"/>
  <c r="E51" i="20" s="1"/>
  <c r="G18" i="38" s="1"/>
  <c r="F11" i="5"/>
  <c r="E52" i="20" s="1"/>
  <c r="G19" i="38" s="1"/>
  <c r="F12" i="5"/>
  <c r="E12" i="8" s="1"/>
  <c r="F14" i="5"/>
  <c r="E12" i="9" s="1"/>
  <c r="F15" i="5"/>
  <c r="E52" i="9" s="1"/>
  <c r="D26" i="5"/>
  <c r="D7" i="26"/>
  <c r="D12" i="26"/>
  <c r="E12" i="26"/>
  <c r="E30" i="9" s="1"/>
  <c r="E33" i="9" s="1"/>
  <c r="D27" i="3" s="1"/>
  <c r="D11" i="26"/>
  <c r="E11" i="26"/>
  <c r="E70" i="8" s="1"/>
  <c r="E73" i="8" s="1"/>
  <c r="F20" i="13" s="1"/>
  <c r="D9" i="26"/>
  <c r="E9" i="26"/>
  <c r="E70" i="20" s="1"/>
  <c r="E73" i="20" s="1"/>
  <c r="F18" i="13" s="1"/>
  <c r="D13" i="26"/>
  <c r="E13" i="26"/>
  <c r="E70" i="9" s="1"/>
  <c r="E73" i="9" s="1"/>
  <c r="F76" i="9" s="1"/>
  <c r="G52" i="7"/>
  <c r="G28" i="8"/>
  <c r="H33" i="8"/>
  <c r="H34" i="8"/>
  <c r="H36" i="8"/>
  <c r="G24" i="9"/>
  <c r="G31" i="9"/>
  <c r="H35" i="9"/>
  <c r="H39" i="9"/>
  <c r="G64" i="8"/>
  <c r="G71" i="8"/>
  <c r="H75" i="8"/>
  <c r="H78" i="8"/>
  <c r="G64" i="9"/>
  <c r="G71" i="9"/>
  <c r="H75" i="9"/>
  <c r="H78" i="9"/>
  <c r="H38" i="8"/>
  <c r="H71" i="7"/>
  <c r="H72" i="7"/>
  <c r="H74" i="7"/>
  <c r="H84" i="20"/>
  <c r="H86" i="20"/>
  <c r="H44" i="20"/>
  <c r="H46" i="20"/>
  <c r="H84" i="8"/>
  <c r="H86" i="8"/>
  <c r="H44" i="8"/>
  <c r="H46" i="8"/>
  <c r="H44" i="9"/>
  <c r="H45" i="9"/>
  <c r="H46" i="9"/>
  <c r="H84" i="9"/>
  <c r="H85" i="9"/>
  <c r="H86" i="9"/>
  <c r="D8" i="26"/>
  <c r="E8" i="26"/>
  <c r="E30" i="20"/>
  <c r="E33" i="20" s="1"/>
  <c r="D23" i="3" s="1"/>
  <c r="G24" i="8"/>
  <c r="G31" i="8"/>
  <c r="H35" i="8"/>
  <c r="H39" i="8"/>
  <c r="G28" i="9"/>
  <c r="H33" i="9"/>
  <c r="H34" i="9"/>
  <c r="H36" i="9"/>
  <c r="H38" i="9"/>
  <c r="G68" i="8"/>
  <c r="H73" i="8"/>
  <c r="H74" i="8"/>
  <c r="H76" i="8"/>
  <c r="H79" i="8"/>
  <c r="G68" i="9"/>
  <c r="H73" i="9"/>
  <c r="H74" i="9"/>
  <c r="H76" i="9"/>
  <c r="H79" i="9"/>
  <c r="H83" i="20"/>
  <c r="H85" i="20"/>
  <c r="H43" i="20"/>
  <c r="H83" i="8"/>
  <c r="H85" i="8"/>
  <c r="H43" i="8"/>
  <c r="H43" i="9"/>
  <c r="C31" i="13"/>
  <c r="G84" i="20"/>
  <c r="D19" i="20"/>
  <c r="D21" i="20"/>
  <c r="D34" i="20" s="1"/>
  <c r="E6" i="20" s="1"/>
  <c r="D59" i="8"/>
  <c r="D59" i="9"/>
  <c r="D59" i="20"/>
  <c r="D10" i="5"/>
  <c r="E10" i="20" s="1"/>
  <c r="D11" i="5"/>
  <c r="D12" i="5"/>
  <c r="E10" i="8" s="1"/>
  <c r="D13" i="5"/>
  <c r="E50" i="8" s="1"/>
  <c r="D14" i="5"/>
  <c r="E10" i="9" s="1"/>
  <c r="D15" i="5"/>
  <c r="E50" i="9" s="1"/>
  <c r="E7" i="26"/>
  <c r="E11" i="20"/>
  <c r="E39" i="20"/>
  <c r="E39" i="9"/>
  <c r="E79" i="8"/>
  <c r="E39" i="8"/>
  <c r="E79" i="9"/>
  <c r="J28" i="9"/>
  <c r="J29" i="9"/>
  <c r="E67" i="7"/>
  <c r="J68" i="9"/>
  <c r="J69" i="9"/>
  <c r="J68" i="8"/>
  <c r="J69" i="8"/>
  <c r="J28" i="8"/>
  <c r="J29" i="8"/>
  <c r="J68" i="20"/>
  <c r="J69" i="20"/>
  <c r="M42" i="13"/>
  <c r="J56" i="7"/>
  <c r="J57" i="7"/>
  <c r="J55" i="7"/>
  <c r="H30" i="23"/>
  <c r="E6" i="21"/>
  <c r="E22" i="21"/>
  <c r="E52" i="21" s="1"/>
  <c r="E53" i="21" s="1"/>
  <c r="D55" i="21"/>
  <c r="D39" i="12"/>
  <c r="D49" i="12" s="1"/>
  <c r="D63" i="12" s="1"/>
  <c r="E39" i="12" s="1"/>
  <c r="E49" i="12" s="1"/>
  <c r="E63" i="12" s="1"/>
  <c r="E64" i="12" s="1"/>
  <c r="C66" i="12"/>
  <c r="G64" i="20"/>
  <c r="G44" i="20"/>
  <c r="D19" i="8"/>
  <c r="F22" i="13"/>
  <c r="E72" i="8"/>
  <c r="E77" i="8"/>
  <c r="E32" i="20"/>
  <c r="E72" i="20"/>
  <c r="E77" i="20"/>
  <c r="F76" i="20"/>
  <c r="F36" i="9"/>
  <c r="E32" i="9"/>
  <c r="G18" i="35"/>
  <c r="G73" i="9" l="1"/>
  <c r="D96" i="9"/>
  <c r="B38" i="16"/>
  <c r="B9" i="16"/>
  <c r="C14" i="16"/>
  <c r="C15" i="16"/>
  <c r="B11" i="16"/>
  <c r="B5" i="16"/>
  <c r="A40" i="19"/>
  <c r="A19" i="19"/>
  <c r="A14" i="19"/>
  <c r="A16" i="19"/>
  <c r="A30" i="19"/>
  <c r="A15" i="19"/>
  <c r="C53" i="19"/>
  <c r="C49" i="11"/>
  <c r="C47" i="11"/>
  <c r="B27" i="13"/>
  <c r="C33" i="12"/>
  <c r="C29" i="12"/>
  <c r="D38" i="12"/>
  <c r="B32" i="12"/>
  <c r="B64" i="12"/>
  <c r="F28" i="13"/>
  <c r="E61" i="12"/>
  <c r="G38" i="9"/>
  <c r="C32" i="9"/>
  <c r="G78" i="9"/>
  <c r="C95" i="9"/>
  <c r="B77" i="9" s="1"/>
  <c r="D72" i="20"/>
  <c r="D95" i="20"/>
  <c r="D18" i="13"/>
  <c r="C32" i="20"/>
  <c r="B17" i="13"/>
  <c r="E37" i="9"/>
  <c r="F21" i="13"/>
  <c r="D24" i="3"/>
  <c r="F17" i="13"/>
  <c r="F36" i="20"/>
  <c r="E14" i="26"/>
  <c r="C96" i="9"/>
  <c r="A42" i="16"/>
  <c r="A3" i="16"/>
  <c r="A9" i="3"/>
  <c r="F40" i="3"/>
  <c r="D7" i="24"/>
  <c r="E7" i="24"/>
  <c r="C7" i="24"/>
  <c r="J27" i="13"/>
  <c r="F38" i="13"/>
  <c r="D38" i="13"/>
  <c r="B13" i="13"/>
  <c r="B38" i="13"/>
  <c r="G14" i="13"/>
  <c r="J41" i="13"/>
  <c r="J26" i="13"/>
  <c r="J40" i="13"/>
  <c r="J42" i="13"/>
  <c r="J34" i="13"/>
  <c r="C65" i="27"/>
  <c r="D65" i="27"/>
  <c r="B18" i="23"/>
  <c r="K17" i="23"/>
  <c r="K30" i="23" s="1"/>
  <c r="D27" i="10"/>
  <c r="C23" i="10"/>
  <c r="B23" i="13"/>
  <c r="B24" i="13"/>
  <c r="C59" i="10"/>
  <c r="G56" i="7"/>
  <c r="C68" i="7"/>
  <c r="H67" i="7"/>
  <c r="G59" i="7"/>
  <c r="H64" i="7"/>
  <c r="H45" i="8"/>
  <c r="B75" i="8"/>
  <c r="D5" i="11"/>
  <c r="B32" i="11"/>
  <c r="D29" i="13"/>
  <c r="D50" i="21"/>
  <c r="D35" i="3"/>
  <c r="E50" i="21"/>
  <c r="F29" i="13"/>
  <c r="D16" i="13"/>
  <c r="D60" i="7"/>
  <c r="D20" i="13"/>
  <c r="D96" i="8"/>
  <c r="B77" i="8" s="1"/>
  <c r="D21" i="13"/>
  <c r="D93" i="9"/>
  <c r="B37" i="9" s="1"/>
  <c r="K31" i="14"/>
  <c r="M31" i="14"/>
  <c r="B65" i="27"/>
  <c r="C27" i="10"/>
  <c r="C34" i="9"/>
  <c r="J83" i="36"/>
  <c r="C95" i="20"/>
  <c r="B77" i="20" s="1"/>
  <c r="C74" i="20"/>
  <c r="C96" i="20" s="1"/>
  <c r="D61" i="11"/>
  <c r="D59" i="10"/>
  <c r="D7" i="35"/>
  <c r="E29" i="12"/>
  <c r="D33" i="3"/>
  <c r="E37" i="20"/>
  <c r="D94" i="20"/>
  <c r="B38" i="20" s="1"/>
  <c r="G33" i="20"/>
  <c r="E31" i="13"/>
  <c r="D23" i="13"/>
  <c r="D31" i="13" s="1"/>
  <c r="D33" i="13" s="1"/>
  <c r="D32" i="8"/>
  <c r="G31" i="14"/>
  <c r="C34" i="8"/>
  <c r="C32" i="8"/>
  <c r="D29" i="12"/>
  <c r="C63" i="10"/>
  <c r="C61" i="10"/>
  <c r="F37" i="3"/>
  <c r="E61" i="11"/>
  <c r="C61" i="11"/>
  <c r="C63" i="11"/>
  <c r="C31" i="12"/>
  <c r="C29" i="11"/>
  <c r="C31" i="11"/>
  <c r="C25" i="10"/>
  <c r="H73" i="7"/>
  <c r="A17" i="26"/>
  <c r="B6" i="26"/>
  <c r="D6" i="26"/>
  <c r="E6" i="26"/>
  <c r="B16" i="13"/>
  <c r="B31" i="13" s="1"/>
  <c r="B33" i="13" s="1"/>
  <c r="C77" i="7"/>
  <c r="B65" i="7" s="1"/>
  <c r="C60" i="7"/>
  <c r="C62" i="7"/>
  <c r="D7" i="7" s="1"/>
  <c r="D34" i="7" s="1"/>
  <c r="D62" i="7" s="1"/>
  <c r="G61" i="7" s="1"/>
  <c r="B37" i="20"/>
  <c r="F9" i="5"/>
  <c r="E13" i="7" s="1"/>
  <c r="E20" i="8"/>
  <c r="G34" i="8" s="1"/>
  <c r="E9" i="5"/>
  <c r="D9" i="5"/>
  <c r="E11" i="7" s="1"/>
  <c r="G86" i="9"/>
  <c r="G46" i="9"/>
  <c r="E58" i="7"/>
  <c r="E61" i="7" s="1"/>
  <c r="D22" i="3" s="1"/>
  <c r="G26" i="16"/>
  <c r="G30" i="16" s="1"/>
  <c r="G32" i="16" s="1"/>
  <c r="J34" i="16" s="1"/>
  <c r="J36" i="16" s="1"/>
  <c r="D25" i="3"/>
  <c r="E37" i="8"/>
  <c r="F36" i="8"/>
  <c r="E32" i="8"/>
  <c r="F19" i="13"/>
  <c r="D32" i="7"/>
  <c r="E60" i="9"/>
  <c r="G74" i="9" s="1"/>
  <c r="E20" i="9"/>
  <c r="G34" i="9" s="1"/>
  <c r="E60" i="8"/>
  <c r="G74" i="8" s="1"/>
  <c r="B18" i="24"/>
  <c r="C6" i="26"/>
  <c r="E50" i="20"/>
  <c r="D16" i="5"/>
  <c r="G86" i="8"/>
  <c r="G46" i="8"/>
  <c r="G74" i="7"/>
  <c r="D66" i="12"/>
  <c r="E46" i="9"/>
  <c r="E20" i="20"/>
  <c r="E77" i="9"/>
  <c r="D28" i="3"/>
  <c r="E72" i="9"/>
  <c r="F76" i="8"/>
  <c r="D26" i="3"/>
  <c r="D14" i="26"/>
  <c r="D46" i="8"/>
  <c r="D61" i="8" s="1"/>
  <c r="D74" i="8" s="1"/>
  <c r="C97" i="8"/>
  <c r="E28" i="38"/>
  <c r="F43" i="13"/>
  <c r="J103" i="36"/>
  <c r="C59" i="8"/>
  <c r="C94" i="9" l="1"/>
  <c r="D6" i="9"/>
  <c r="D21" i="9" s="1"/>
  <c r="D34" i="9" s="1"/>
  <c r="B78" i="9"/>
  <c r="B29" i="23"/>
  <c r="K18" i="23"/>
  <c r="D46" i="20"/>
  <c r="D61" i="20" s="1"/>
  <c r="D74" i="20" s="1"/>
  <c r="E46" i="20" s="1"/>
  <c r="G86" i="20"/>
  <c r="G46" i="20"/>
  <c r="M26" i="13"/>
  <c r="M34" i="13" s="1"/>
  <c r="D6" i="8"/>
  <c r="D21" i="8" s="1"/>
  <c r="D34" i="8" s="1"/>
  <c r="C95" i="8"/>
  <c r="D32" i="10"/>
  <c r="D44" i="10" s="1"/>
  <c r="D61" i="10" s="1"/>
  <c r="C64" i="10"/>
  <c r="D39" i="11"/>
  <c r="D49" i="11" s="1"/>
  <c r="D63" i="11" s="1"/>
  <c r="C66" i="11"/>
  <c r="C34" i="12"/>
  <c r="D6" i="12"/>
  <c r="D16" i="12" s="1"/>
  <c r="D31" i="12" s="1"/>
  <c r="D6" i="11"/>
  <c r="D16" i="11" s="1"/>
  <c r="D31" i="11" s="1"/>
  <c r="C34" i="11"/>
  <c r="D6" i="10"/>
  <c r="D16" i="10" s="1"/>
  <c r="D25" i="10" s="1"/>
  <c r="C28" i="10"/>
  <c r="F64" i="7"/>
  <c r="C78" i="7"/>
  <c r="E61" i="9"/>
  <c r="E78" i="9" s="1"/>
  <c r="E80" i="9" s="1"/>
  <c r="F16" i="5"/>
  <c r="E59" i="8"/>
  <c r="E16" i="5"/>
  <c r="E12" i="7"/>
  <c r="E33" i="7" s="1"/>
  <c r="G62" i="7" s="1"/>
  <c r="E60" i="7"/>
  <c r="F16" i="13"/>
  <c r="F31" i="13" s="1"/>
  <c r="F33" i="13" s="1"/>
  <c r="E65" i="7"/>
  <c r="D78" i="7"/>
  <c r="E7" i="7"/>
  <c r="D97" i="8"/>
  <c r="B78" i="8" s="1"/>
  <c r="E46" i="8"/>
  <c r="E61" i="8" s="1"/>
  <c r="E78" i="8" s="1"/>
  <c r="E80" i="8" s="1"/>
  <c r="G73" i="8"/>
  <c r="E19" i="20"/>
  <c r="G34" i="20"/>
  <c r="E21" i="20"/>
  <c r="E38" i="20" s="1"/>
  <c r="E40" i="20" s="1"/>
  <c r="E60" i="20"/>
  <c r="G17" i="38"/>
  <c r="D37" i="3"/>
  <c r="B30" i="23" l="1"/>
  <c r="K29" i="23"/>
  <c r="E6" i="9"/>
  <c r="E21" i="9" s="1"/>
  <c r="E38" i="9" s="1"/>
  <c r="E40" i="9" s="1"/>
  <c r="G33" i="9"/>
  <c r="D94" i="9"/>
  <c r="B38" i="9" s="1"/>
  <c r="D96" i="20"/>
  <c r="B78" i="20" s="1"/>
  <c r="G73" i="20"/>
  <c r="G33" i="8"/>
  <c r="D95" i="8"/>
  <c r="B38" i="8" s="1"/>
  <c r="E6" i="8"/>
  <c r="E21" i="8" s="1"/>
  <c r="E38" i="8" s="1"/>
  <c r="E40" i="8" s="1"/>
  <c r="E32" i="10"/>
  <c r="E44" i="10" s="1"/>
  <c r="E61" i="10" s="1"/>
  <c r="E62" i="10" s="1"/>
  <c r="D64" i="10"/>
  <c r="E39" i="11"/>
  <c r="E49" i="11" s="1"/>
  <c r="E63" i="11" s="1"/>
  <c r="E64" i="11" s="1"/>
  <c r="D66" i="11"/>
  <c r="E6" i="12"/>
  <c r="E16" i="12" s="1"/>
  <c r="E31" i="12" s="1"/>
  <c r="E32" i="12" s="1"/>
  <c r="D34" i="12"/>
  <c r="E6" i="11"/>
  <c r="E16" i="11" s="1"/>
  <c r="E31" i="11" s="1"/>
  <c r="E32" i="11" s="1"/>
  <c r="D34" i="11"/>
  <c r="E6" i="10"/>
  <c r="E16" i="10" s="1"/>
  <c r="E25" i="10" s="1"/>
  <c r="E26" i="10" s="1"/>
  <c r="D28" i="10"/>
  <c r="B66" i="7"/>
  <c r="E34" i="7"/>
  <c r="E66" i="7" s="1"/>
  <c r="E68" i="7" s="1"/>
  <c r="G63" i="7" s="1"/>
  <c r="K63" i="7" s="1"/>
  <c r="H22" i="13"/>
  <c r="G83" i="9" s="1"/>
  <c r="E28" i="3"/>
  <c r="G75" i="9"/>
  <c r="K75" i="9" s="1"/>
  <c r="G22" i="13"/>
  <c r="E59" i="9"/>
  <c r="H21" i="13"/>
  <c r="G43" i="9" s="1"/>
  <c r="G21" i="13"/>
  <c r="E19" i="9"/>
  <c r="E27" i="3"/>
  <c r="G35" i="9"/>
  <c r="G74" i="20"/>
  <c r="E59" i="20"/>
  <c r="E61" i="20"/>
  <c r="E78" i="20" s="1"/>
  <c r="J38" i="16"/>
  <c r="J40" i="16" s="1"/>
  <c r="G17" i="13"/>
  <c r="H17" i="13"/>
  <c r="G43" i="20" s="1"/>
  <c r="G35" i="20"/>
  <c r="K35" i="20" s="1"/>
  <c r="E23" i="3"/>
  <c r="H20" i="13"/>
  <c r="G83" i="8" s="1"/>
  <c r="E26" i="3"/>
  <c r="G20" i="13"/>
  <c r="G75" i="8"/>
  <c r="K75" i="8" s="1"/>
  <c r="G19" i="13" l="1"/>
  <c r="H19" i="13" s="1"/>
  <c r="G43" i="8" s="1"/>
  <c r="G35" i="8"/>
  <c r="E19" i="8"/>
  <c r="E25" i="3"/>
  <c r="E22" i="3"/>
  <c r="G16" i="13"/>
  <c r="H16" i="13" s="1"/>
  <c r="G71" i="7" s="1"/>
  <c r="E32" i="7"/>
  <c r="G64" i="7"/>
  <c r="G67" i="7" s="1"/>
  <c r="G76" i="9"/>
  <c r="G79" i="9" s="1"/>
  <c r="K35" i="9"/>
  <c r="G36" i="9"/>
  <c r="G39" i="9" s="1"/>
  <c r="G36" i="20"/>
  <c r="G39" i="20" s="1"/>
  <c r="G76" i="8"/>
  <c r="G79" i="8" s="1"/>
  <c r="E79" i="20"/>
  <c r="E80" i="20" s="1"/>
  <c r="G36" i="8" l="1"/>
  <c r="G39" i="8" s="1"/>
  <c r="K35" i="8"/>
  <c r="E24" i="3"/>
  <c r="E37" i="3" s="1"/>
  <c r="E38" i="3" s="1"/>
  <c r="G15" i="38"/>
  <c r="G22" i="38" s="1"/>
  <c r="H18" i="13"/>
  <c r="G18" i="13"/>
  <c r="G31" i="13" s="1"/>
  <c r="M33" i="13" s="1"/>
  <c r="M35" i="13" s="1"/>
  <c r="G75" i="20"/>
  <c r="K75" i="20" l="1"/>
  <c r="G76" i="20"/>
  <c r="G79" i="20" s="1"/>
  <c r="M28" i="13"/>
  <c r="J28" i="13"/>
  <c r="J29" i="13"/>
  <c r="M29" i="13"/>
  <c r="D24" i="38"/>
  <c r="E23" i="38"/>
  <c r="G83" i="20"/>
  <c r="G29" i="38"/>
  <c r="E30" i="38" s="1"/>
  <c r="D31" i="38" s="1"/>
  <c r="H31" i="13"/>
  <c r="I48" i="8"/>
  <c r="I88" i="8"/>
  <c r="I48" i="9"/>
  <c r="I76" i="7"/>
  <c r="I48" i="20"/>
  <c r="I88" i="20"/>
  <c r="I88" i="9"/>
  <c r="M39" i="13" l="1"/>
  <c r="G85" i="20"/>
  <c r="G85" i="8"/>
  <c r="G85" i="9"/>
  <c r="G45" i="20"/>
  <c r="G45" i="8"/>
  <c r="G45" i="9"/>
  <c r="G73" i="7"/>
  <c r="F33" i="38"/>
  <c r="F80" i="20" s="1"/>
</calcChain>
</file>

<file path=xl/sharedStrings.xml><?xml version="1.0" encoding="utf-8"?>
<sst xmlns="http://schemas.openxmlformats.org/spreadsheetml/2006/main" count="1719" uniqueCount="1058">
  <si>
    <t>7. Added a single page for no tax levy fund page.</t>
  </si>
  <si>
    <t>8. Now can key in the official title on the budget summary page.</t>
  </si>
  <si>
    <t xml:space="preserve">9. Now have the indebtedness prior year added to the input page and link with the budget summary page. </t>
  </si>
  <si>
    <t xml:space="preserve">adopt an ordinance to exceed this limit, publish the ordinance, and </t>
  </si>
  <si>
    <t>attach a copy of the published ordinance to this budget.</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</si>
  <si>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</si>
  <si>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</si>
  <si>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</si>
  <si>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</si>
  <si>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</si>
  <si>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</si>
  <si>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</si>
  <si>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</si>
  <si>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</si>
  <si>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</si>
  <si>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</si>
  <si>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</si>
  <si>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</si>
  <si>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</si>
  <si>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</si>
  <si>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</si>
  <si>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</si>
  <si>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</si>
  <si>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</si>
  <si>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</si>
  <si>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</si>
  <si>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</si>
  <si>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</si>
  <si>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</si>
  <si>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</si>
  <si>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</si>
  <si>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</si>
  <si>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</si>
  <si>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</si>
  <si>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</si>
  <si>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</si>
  <si>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Is an Ordinance required  to be passed, published, and attached to the budget?</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</si>
  <si>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</si>
  <si>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</si>
  <si>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</si>
  <si>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</si>
  <si>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</si>
  <si>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</si>
  <si>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</si>
  <si>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</si>
  <si>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</si>
  <si>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</si>
  <si>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</si>
  <si>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</si>
  <si>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</si>
  <si>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</si>
  <si>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</si>
  <si>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</si>
  <si>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</si>
  <si>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</si>
  <si>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</si>
  <si>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</si>
  <si>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</si>
  <si>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</si>
  <si>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</si>
  <si>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</si>
  <si>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</si>
  <si>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</si>
  <si>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</si>
  <si>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</si>
  <si>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</si>
  <si>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OPTIONAL DETAIL PAGE FOR ANY FUND</t>
  </si>
  <si>
    <t xml:space="preserve">           Fund - Detail Expend</t>
  </si>
  <si>
    <t xml:space="preserve">  Salaries</t>
  </si>
  <si>
    <t xml:space="preserve">  Contractual</t>
  </si>
  <si>
    <t xml:space="preserve">  Commodities</t>
  </si>
  <si>
    <t xml:space="preserve">  Capital Outlay</t>
  </si>
  <si>
    <t>Page Total</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</si>
  <si>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</si>
  <si>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</si>
  <si>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</si>
  <si>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</si>
  <si>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</si>
  <si>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</si>
  <si>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</si>
  <si>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</si>
  <si>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</si>
  <si>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</si>
  <si>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</si>
  <si>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</si>
  <si>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</si>
  <si>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</si>
  <si>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</si>
  <si>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</si>
  <si>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</si>
  <si>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</si>
  <si>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</si>
  <si>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</si>
  <si>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</si>
  <si>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</si>
  <si>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</si>
  <si>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</si>
  <si>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</si>
  <si>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</si>
  <si>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</si>
  <si>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</si>
  <si>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</si>
  <si>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</si>
  <si>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</si>
  <si>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</si>
  <si>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</si>
  <si>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</si>
  <si>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</si>
  <si>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</si>
  <si>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</si>
  <si>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</si>
  <si>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</si>
  <si>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</si>
  <si>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</si>
  <si>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</si>
  <si>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</si>
  <si>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</si>
  <si>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</si>
  <si>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Section Two.  After careful public deliberations, the governing body has determined that in</t>
  </si>
  <si>
    <t>order to maintain the public services that are essential for the citizens of this city, it will be</t>
  </si>
  <si>
    <t>budget.</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</si>
  <si>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</si>
  <si>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</si>
  <si>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</si>
  <si>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</si>
  <si>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</si>
  <si>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</si>
  <si>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</si>
  <si>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</si>
  <si>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</si>
  <si>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</si>
  <si>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</si>
  <si>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</si>
  <si>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</si>
  <si>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</si>
  <si>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</si>
  <si>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</si>
  <si>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</si>
  <si>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</si>
  <si>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</si>
  <si>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</si>
  <si>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</si>
  <si>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</si>
  <si>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</si>
  <si>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</si>
  <si>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</si>
  <si>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</si>
  <si>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</si>
  <si>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</si>
  <si>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</si>
  <si>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</si>
  <si>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</si>
  <si>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</si>
  <si>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</si>
  <si>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</si>
  <si>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</si>
  <si>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</si>
  <si>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</si>
  <si>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</si>
  <si>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</si>
  <si>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</si>
  <si>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</si>
  <si>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</si>
  <si>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</si>
  <si>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</si>
  <si>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</si>
  <si>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</si>
  <si>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</si>
  <si>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</si>
  <si>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</si>
  <si>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</si>
  <si>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Interest on Idle Funds</t>
  </si>
  <si>
    <t>Total Receipts</t>
  </si>
  <si>
    <t>Resources Available:</t>
  </si>
  <si>
    <t>Expenditures:</t>
  </si>
  <si>
    <t>Total Expenditures</t>
  </si>
  <si>
    <t>Tax Required</t>
  </si>
  <si>
    <t>%</t>
  </si>
  <si>
    <t>Page No.</t>
  </si>
  <si>
    <t>Actual</t>
  </si>
  <si>
    <t>State of Kansas Gas Tax</t>
  </si>
  <si>
    <t>Charges to Customers</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</si>
  <si>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</si>
  <si>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</si>
  <si>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</si>
  <si>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</si>
  <si>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</si>
  <si>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</si>
  <si>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</si>
  <si>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</si>
  <si>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</si>
  <si>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</si>
  <si>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</si>
  <si>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</si>
  <si>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</si>
  <si>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</si>
  <si>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</si>
  <si>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</si>
  <si>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</si>
  <si>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</si>
  <si>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</si>
  <si>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</si>
  <si>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</si>
  <si>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</si>
  <si>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</si>
  <si>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</si>
  <si>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</si>
  <si>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</si>
  <si>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</si>
  <si>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</si>
  <si>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</si>
  <si>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</si>
  <si>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</si>
  <si>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</si>
  <si>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</si>
  <si>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</si>
  <si>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</si>
  <si>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</si>
  <si>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</si>
  <si>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</si>
  <si>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</si>
  <si>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</si>
  <si>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</si>
  <si>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</si>
  <si>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</si>
  <si>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</si>
  <si>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</si>
  <si>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</si>
  <si>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</si>
  <si>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</si>
  <si>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</si>
  <si>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</si>
  <si>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</si>
  <si>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</si>
  <si>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</si>
  <si>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</si>
  <si>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</si>
  <si>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</si>
  <si>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</si>
  <si>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</si>
  <si>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</si>
  <si>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</si>
  <si>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</si>
  <si>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</si>
  <si>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</si>
  <si>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</si>
  <si>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</si>
  <si>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</si>
  <si>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</si>
  <si>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</si>
  <si>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</si>
  <si>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</si>
  <si>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</si>
  <si>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</si>
  <si>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</si>
  <si>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</si>
  <si>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</si>
  <si>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</si>
  <si>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Licenses</t>
  </si>
  <si>
    <t>Building Permits</t>
  </si>
  <si>
    <t>Miscellaneous</t>
  </si>
  <si>
    <t xml:space="preserve">  3.</t>
  </si>
  <si>
    <t>STATEMENT OF CONDITIONAL LEASE-PURCHASE AND CERTIFICATE OF PARTICIPATION*</t>
  </si>
  <si>
    <t>Gross Earning (Intangible) Tax</t>
  </si>
  <si>
    <t xml:space="preserve">   </t>
  </si>
  <si>
    <t>Tax Levy Excluding Debt Service</t>
  </si>
  <si>
    <t>Increase in Personal Property (5a minus 5b)</t>
  </si>
  <si>
    <t>Real Estate</t>
  </si>
  <si>
    <t>State Assessed</t>
  </si>
  <si>
    <t>New Improvements</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</si>
  <si>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</si>
  <si>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</si>
  <si>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</si>
  <si>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</si>
  <si>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</si>
  <si>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</si>
  <si>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</si>
  <si>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</si>
  <si>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</si>
  <si>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</si>
  <si>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</si>
  <si>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</si>
  <si>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</si>
  <si>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</si>
  <si>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</si>
  <si>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</si>
  <si>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</si>
  <si>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</si>
  <si>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</si>
  <si>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</si>
  <si>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</si>
  <si>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</si>
  <si>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</si>
  <si>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</si>
  <si>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Salaries &amp; Wages</t>
  </si>
  <si>
    <t xml:space="preserve">Total Other </t>
  </si>
  <si>
    <t>Employee Benefits</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</si>
  <si>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</si>
  <si>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</si>
  <si>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</si>
  <si>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</si>
  <si>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</si>
  <si>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</si>
  <si>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</si>
  <si>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</si>
  <si>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</si>
  <si>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</si>
  <si>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</si>
  <si>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</si>
  <si>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</si>
  <si>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</si>
  <si>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</si>
  <si>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</si>
  <si>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</si>
  <si>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</si>
  <si>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</si>
  <si>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</si>
  <si>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</si>
  <si>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</si>
  <si>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</si>
  <si>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</si>
  <si>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</si>
  <si>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</si>
  <si>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</si>
  <si>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</si>
  <si>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</si>
  <si>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</si>
  <si>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</si>
  <si>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</si>
  <si>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</si>
  <si>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</si>
  <si>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</si>
  <si>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</si>
  <si>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</si>
  <si>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</si>
  <si>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</si>
  <si>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</si>
  <si>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The following were changed to this spreadsheet on 4/24/09</t>
  </si>
  <si>
    <t>1. Transfer tab - changed the column heading dates as had wrong reference cell</t>
  </si>
  <si>
    <t>The following were changed to this spreadsheet on 7/16/09</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</si>
  <si>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</si>
  <si>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</si>
  <si>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</si>
  <si>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</si>
  <si>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</si>
  <si>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</si>
  <si>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</si>
  <si>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</si>
  <si>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</si>
  <si>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</si>
  <si>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</si>
  <si>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</si>
  <si>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</si>
  <si>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</si>
  <si>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</si>
  <si>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</si>
  <si>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</si>
  <si>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</si>
  <si>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</si>
  <si>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</si>
  <si>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</si>
  <si>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</si>
  <si>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</si>
  <si>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</si>
  <si>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</si>
  <si>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</si>
  <si>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</si>
  <si>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</si>
  <si>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</si>
  <si>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</si>
  <si>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</si>
  <si>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</si>
  <si>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</si>
  <si>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</si>
  <si>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</si>
  <si>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</si>
  <si>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</si>
  <si>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</si>
  <si>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</si>
  <si>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</si>
  <si>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</si>
  <si>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</si>
  <si>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</si>
  <si>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</si>
  <si>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</si>
  <si>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</si>
  <si>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</si>
  <si>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</si>
  <si>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</si>
  <si>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</si>
  <si>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</si>
  <si>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</si>
  <si>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</si>
  <si>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</si>
  <si>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</si>
  <si>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</si>
  <si>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</si>
  <si>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</si>
  <si>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</si>
  <si>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</si>
  <si>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</si>
  <si>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</si>
  <si>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</si>
  <si>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</si>
  <si>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</si>
  <si>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</si>
  <si>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</si>
  <si>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</si>
  <si>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</si>
  <si>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</si>
  <si>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</si>
  <si>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</si>
  <si>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</si>
  <si>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</si>
  <si>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</si>
  <si>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</si>
  <si>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</si>
  <si>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</si>
  <si>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</si>
  <si>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</si>
  <si>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</si>
  <si>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</si>
  <si>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</si>
  <si>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</si>
  <si>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</si>
  <si>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</si>
  <si>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</si>
  <si>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</si>
  <si>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</si>
  <si>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</si>
  <si>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</si>
  <si>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</si>
  <si>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</si>
  <si>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</si>
  <si>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</si>
  <si>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</si>
  <si>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</si>
  <si>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</si>
  <si>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</si>
  <si>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</si>
  <si>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</si>
  <si>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</si>
  <si>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</si>
  <si>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</si>
  <si>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</si>
  <si>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</si>
  <si>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</si>
  <si>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</si>
  <si>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</si>
  <si>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</si>
  <si>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</si>
  <si>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</si>
  <si>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</si>
  <si>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</si>
  <si>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</si>
  <si>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</si>
  <si>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</si>
  <si>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</si>
  <si>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</si>
  <si>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</si>
  <si>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</si>
  <si>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</si>
  <si>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</si>
  <si>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</si>
  <si>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</si>
  <si>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</si>
  <si>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</si>
  <si>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</si>
  <si>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</si>
  <si>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</si>
  <si>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</si>
  <si>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</si>
  <si>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</si>
  <si>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</si>
  <si>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</si>
  <si>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</si>
  <si>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</si>
  <si>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</si>
  <si>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</si>
  <si>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</si>
  <si>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</si>
  <si>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</si>
  <si>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</si>
  <si>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</si>
  <si>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</si>
  <si>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</si>
  <si>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</si>
  <si>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</si>
  <si>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</si>
  <si>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</si>
  <si>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</si>
  <si>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</si>
  <si>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</si>
  <si>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</si>
  <si>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</si>
  <si>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</si>
  <si>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</si>
  <si>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</si>
  <si>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</si>
  <si>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</si>
  <si>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</si>
  <si>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</si>
  <si>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</si>
  <si>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</si>
  <si>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</si>
  <si>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</si>
  <si>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</si>
  <si>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</si>
  <si>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</si>
  <si>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</si>
  <si>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</si>
  <si>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</si>
  <si>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</si>
  <si>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</si>
  <si>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</si>
  <si>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</si>
  <si>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</si>
  <si>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</si>
  <si>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</si>
  <si>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</si>
  <si>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</si>
  <si>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</si>
  <si>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</si>
  <si>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</si>
  <si>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</si>
  <si>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</si>
  <si>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</si>
  <si>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</si>
  <si>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</si>
  <si>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</si>
  <si>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</si>
  <si>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</si>
  <si>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</si>
  <si>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</si>
  <si>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</si>
  <si>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</si>
  <si>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</si>
  <si>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</si>
  <si>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</si>
  <si>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</si>
  <si>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</si>
  <si>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</si>
  <si>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</si>
  <si>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</si>
  <si>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</si>
  <si>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</si>
  <si>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</si>
  <si>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</si>
  <si>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</si>
  <si>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</si>
  <si>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</si>
  <si>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</si>
  <si>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</si>
  <si>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</si>
  <si>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</si>
  <si>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</si>
  <si>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</si>
  <si>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</si>
  <si>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</si>
  <si>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</si>
  <si>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</si>
  <si>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</si>
  <si>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</si>
  <si>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</si>
  <si>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</si>
  <si>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</si>
  <si>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</si>
  <si>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</si>
  <si>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</si>
  <si>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</si>
  <si>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</si>
  <si>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</si>
  <si>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</si>
  <si>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</si>
  <si>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</si>
  <si>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</si>
  <si>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</si>
  <si>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</si>
  <si>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</si>
  <si>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</si>
  <si>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</si>
  <si>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</si>
  <si>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</si>
  <si>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</si>
  <si>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</si>
  <si>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</si>
  <si>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</si>
  <si>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</si>
  <si>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</si>
  <si>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</si>
  <si>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</si>
  <si>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</si>
  <si>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</si>
  <si>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</si>
  <si>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</si>
  <si>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</si>
  <si>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</si>
  <si>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</si>
  <si>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</si>
  <si>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</si>
  <si>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</si>
  <si>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</si>
  <si>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</si>
  <si>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</si>
  <si>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</si>
  <si>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</si>
  <si>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</si>
  <si>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</si>
  <si>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</si>
  <si>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</si>
  <si>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</si>
  <si>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</si>
  <si>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</si>
  <si>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</si>
  <si>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</si>
  <si>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</si>
  <si>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</si>
  <si>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</si>
  <si>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</si>
  <si>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</si>
  <si>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 Ordinance ....?' which will either show 'Yes' or 'No'. This statement compares the Certificate total Ad Valorem Tax to Computation to Determine Limit line 15. If a 'Yes' appears then a ordinance is required to be completed, published and published copy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</si>
  <si>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</si>
  <si>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</si>
  <si>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</si>
  <si>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</si>
  <si>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</si>
  <si>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The following were changed to this spreadsheet on 12/08/09</t>
  </si>
  <si>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</si>
  <si>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</si>
  <si>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</si>
  <si>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</si>
  <si>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</si>
  <si>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</si>
  <si>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</si>
  <si>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1. Nhood tab added note for computing table</t>
  </si>
  <si>
    <t>2. SpecHwy and No Levy Page 12 tabs changed conditional statements</t>
  </si>
  <si>
    <r>
      <t>Adjustments</t>
    </r>
    <r>
      <rPr>
        <b/>
        <sz val="12"/>
        <color indexed="10"/>
        <rFont val="Times New Roman"/>
        <family val="1"/>
      </rPr>
      <t>*</t>
    </r>
  </si>
  <si>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</si>
  <si>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</si>
  <si>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</si>
  <si>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</si>
  <si>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</si>
  <si>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</si>
  <si>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</si>
  <si>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</si>
  <si>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</si>
  <si>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</si>
  <si>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</si>
  <si>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</si>
  <si>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Official Title:</t>
  </si>
  <si>
    <t>City Clerk, City Treasurer, Mayor</t>
  </si>
  <si>
    <t>Beginning Amt</t>
  </si>
  <si>
    <t>Does miscellaneous exceed 10% of Total Exp</t>
  </si>
  <si>
    <t>Does miscellaneous exceed 10% of Total Rec</t>
  </si>
  <si>
    <t>Compensating Use Tax</t>
  </si>
  <si>
    <t>Non-Appropriated Balance</t>
  </si>
  <si>
    <t>Total Expenditure/Non-Appr Balance</t>
  </si>
  <si>
    <t>Delinquent Comp Rate:</t>
  </si>
  <si>
    <t/>
  </si>
  <si>
    <t>Does miscellanous exceed 10% of Total Exp</t>
  </si>
  <si>
    <t>for Expenditures</t>
  </si>
  <si>
    <t>Estimated Mill Rate Impact:</t>
  </si>
  <si>
    <t>Desired Carryover Amount:</t>
  </si>
  <si>
    <t>The following were changed to this spreadsheet on 8/20/10</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</si>
  <si>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</si>
  <si>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</si>
  <si>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</si>
  <si>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</si>
  <si>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</si>
  <si>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</si>
  <si>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</si>
  <si>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</si>
  <si>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t>The estimated value of one mill would be: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</si>
  <si>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</si>
  <si>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</si>
  <si>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</si>
  <si>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</si>
  <si>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</si>
  <si>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</si>
  <si>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</si>
  <si>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</si>
  <si>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</si>
  <si>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</si>
  <si>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</si>
  <si>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</si>
  <si>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</si>
  <si>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</si>
  <si>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</si>
  <si>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</si>
  <si>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</si>
  <si>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</si>
  <si>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</si>
  <si>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</si>
  <si>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</si>
  <si>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</si>
  <si>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</si>
  <si>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</si>
  <si>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</si>
  <si>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</si>
  <si>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</si>
  <si>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</si>
  <si>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</si>
  <si>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</si>
  <si>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</si>
  <si>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</si>
  <si>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</si>
  <si>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</si>
  <si>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</si>
  <si>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</si>
  <si>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</si>
  <si>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</si>
  <si>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</si>
  <si>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</si>
  <si>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</si>
  <si>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</si>
  <si>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</si>
  <si>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</si>
  <si>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</si>
  <si>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</si>
  <si>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</si>
  <si>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</si>
  <si>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</si>
  <si>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</si>
  <si>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</si>
  <si>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</si>
  <si>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</si>
  <si>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</si>
  <si>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</si>
  <si>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</si>
  <si>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</si>
  <si>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</si>
  <si>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</si>
  <si>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</si>
  <si>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</si>
  <si>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</si>
  <si>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</si>
  <si>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</si>
  <si>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</si>
  <si>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</si>
  <si>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</si>
  <si>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</si>
  <si>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</si>
  <si>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</si>
  <si>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</si>
  <si>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</si>
  <si>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</si>
  <si>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</si>
  <si>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</si>
  <si>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</si>
  <si>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</si>
  <si>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</si>
  <si>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</si>
  <si>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</si>
  <si>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</si>
  <si>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</si>
  <si>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</si>
  <si>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</si>
  <si>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5. The majority of information on the Computation to Determine Limit Page (computation) comes from data on the Input Page (inputOth) and Debt Service Page (DebtService). If there is incorrect information on the Computation Page, please correct the source of the information from either the Input Page or Debt Service Page. If you can not correct the error, please call us for assistance.</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</si>
  <si>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</si>
  <si>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</si>
  <si>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</si>
  <si>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</si>
  <si>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</si>
  <si>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</si>
  <si>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</si>
  <si>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</si>
  <si>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</si>
  <si>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</si>
  <si>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</si>
  <si>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</si>
  <si>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</si>
  <si>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</si>
  <si>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</si>
  <si>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</si>
  <si>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</si>
  <si>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</si>
  <si>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</si>
  <si>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</si>
  <si>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</si>
  <si>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</si>
  <si>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</si>
  <si>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</si>
  <si>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</si>
  <si>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</si>
  <si>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</si>
  <si>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</si>
  <si>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</si>
  <si>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</si>
  <si>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</si>
  <si>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</si>
  <si>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</si>
  <si>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</si>
  <si>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</si>
  <si>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</si>
  <si>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</si>
  <si>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</si>
  <si>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The following were changed to this spreadsheet on 3/16/11</t>
  </si>
  <si>
    <t>1. DebtService tab corrected cell E20 total computation</t>
  </si>
  <si>
    <t>2. Mvalloc tab corrected table link with InputPrYr ad valorem taxes</t>
  </si>
  <si>
    <t>3. Debt Service tab corrected cell G34 from E21 to E20</t>
  </si>
  <si>
    <t>The following were changed to this spreadsheet on 4/19/11</t>
  </si>
  <si>
    <t>1. Summ tab changed proposed year expenditure column to 'Budget Authority for Expenditures'</t>
  </si>
  <si>
    <t>2. Mvalloc/slider column cell corrections.</t>
  </si>
  <si>
    <t>The following were changed to this spreadsheet on 5/6/11</t>
  </si>
  <si>
    <t>1. Summary tab correct cells J28, J29, M28, and M29 as wrong cell reference and formula error</t>
  </si>
  <si>
    <t>The following were changed to this spreadsheet on 5/26/11</t>
  </si>
  <si>
    <t>1. Tabs level page 9 and 10 cell D32 formatting change reference C34 to D34 and cell D69 reference from C71 to D71</t>
  </si>
  <si>
    <t>The following were changed to this spreadsheet on 6/17/11</t>
  </si>
  <si>
    <t>1. Debt Service fund page: total receipts formula changed to eliminate reference to unencumbered cash (cell C6)</t>
  </si>
  <si>
    <t>2. Summary page: corrected cell reference in current year expenditures, cell D26</t>
  </si>
  <si>
    <t>The following were changed to this spreadsheet on 6/30/11</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</si>
  <si>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</si>
  <si>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</si>
  <si>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</si>
  <si>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</si>
  <si>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</si>
  <si>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</si>
  <si>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</si>
  <si>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</si>
  <si>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</si>
  <si>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</si>
  <si>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</si>
  <si>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</si>
  <si>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</si>
  <si>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</si>
  <si>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</si>
  <si>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</si>
  <si>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</si>
  <si>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</si>
  <si>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</si>
  <si>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</si>
  <si>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</si>
  <si>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</si>
  <si>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</si>
  <si>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</si>
  <si>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</si>
  <si>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</si>
  <si>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</si>
  <si>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</si>
  <si>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</si>
  <si>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</si>
  <si>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</si>
  <si>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</si>
  <si>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</si>
  <si>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</si>
  <si>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</si>
  <si>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</si>
  <si>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</si>
  <si>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</si>
  <si>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</si>
  <si>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</si>
  <si>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</si>
  <si>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</si>
  <si>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</si>
  <si>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</si>
  <si>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</si>
  <si>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</si>
  <si>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</si>
  <si>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</si>
  <si>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</si>
  <si>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</si>
  <si>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</si>
  <si>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</si>
  <si>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</si>
  <si>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</si>
  <si>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</si>
  <si>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</si>
  <si>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</si>
  <si>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</si>
  <si>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</si>
  <si>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</si>
  <si>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</si>
  <si>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</si>
  <si>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</si>
  <si>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</si>
  <si>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</si>
  <si>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</si>
  <si>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</si>
  <si>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</si>
  <si>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</si>
  <si>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</si>
  <si>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</si>
  <si>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</si>
  <si>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</si>
  <si>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</si>
  <si>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</si>
  <si>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</si>
  <si>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</si>
  <si>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</si>
  <si>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</si>
  <si>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</si>
  <si>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</si>
  <si>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</si>
  <si>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</si>
  <si>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</si>
  <si>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</si>
  <si>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</si>
  <si>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</si>
  <si>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</si>
  <si>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</si>
  <si>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</si>
  <si>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</si>
  <si>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</si>
  <si>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</si>
  <si>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8/16/11</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</si>
  <si>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</si>
  <si>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</si>
  <si>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</si>
  <si>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</si>
  <si>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</si>
  <si>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</si>
  <si>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</si>
  <si>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</si>
  <si>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</si>
  <si>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</si>
  <si>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</si>
  <si>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</si>
  <si>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</si>
  <si>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</si>
  <si>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</si>
  <si>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</si>
  <si>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</si>
  <si>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</si>
  <si>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</si>
  <si>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</si>
  <si>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</si>
  <si>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</si>
  <si>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</si>
  <si>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</si>
  <si>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</si>
  <si>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</si>
  <si>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</si>
  <si>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</si>
  <si>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</si>
  <si>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</si>
  <si>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</si>
  <si>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</si>
  <si>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</si>
  <si>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</si>
  <si>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</si>
  <si>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</si>
  <si>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</si>
  <si>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</si>
  <si>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</si>
  <si>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</si>
  <si>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</si>
  <si>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</si>
  <si>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</si>
  <si>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</si>
  <si>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</si>
  <si>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</si>
  <si>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</si>
  <si>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eligibility. For more information contact the State Library of Kansas at 785.296.3296, or e-mail:</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</si>
  <si>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</si>
  <si>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</si>
  <si>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</si>
  <si>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</si>
  <si>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</si>
  <si>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</si>
  <si>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</si>
  <si>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</si>
  <si>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</si>
  <si>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</si>
  <si>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</si>
  <si>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</si>
  <si>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</si>
  <si>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</si>
  <si>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</si>
  <si>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</si>
  <si>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</si>
  <si>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</si>
  <si>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</si>
  <si>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</si>
  <si>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</si>
  <si>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</si>
  <si>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</si>
  <si>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</si>
  <si>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</si>
  <si>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</si>
  <si>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peter.haxton@library.ks.gov </t>
  </si>
  <si>
    <t>The following were changed to this spreadsheet on 2/22/12</t>
  </si>
  <si>
    <t>1. Library Grant tab, updated State Library e-mail contact address</t>
  </si>
  <si>
    <t>The following were changed to this spreadsheet on 3/22/12</t>
  </si>
  <si>
    <t>1. Concantenate at line 9 of the Certificate page changed to reference cell F1</t>
  </si>
  <si>
    <t>2. Corrected misspelling of word "limitations" on line 9 of the Certificate page.</t>
  </si>
  <si>
    <t>The following were changed to this spreadsheet on 4/10/12</t>
  </si>
  <si>
    <t>1. Corrected addition computation in column D, inputPrYr tab</t>
  </si>
  <si>
    <t>Is an ordinance required?</t>
  </si>
  <si>
    <t>The following were changed to this spreadsheet on 10/8/12</t>
  </si>
  <si>
    <t>1.  Added "ordinance required?  yes/no" message to area adjacent to each tax levy fund</t>
  </si>
  <si>
    <t>The following were changed to this spreadsheet on 1/31/13</t>
  </si>
  <si>
    <t>1.  Corrected formula in cell e28 of Library Grant tab</t>
  </si>
  <si>
    <t xml:space="preserve">Please read these instructions carefully.  If after reviewing them you still have questions, call Rogers Brazier at 785.296.2846 or email to armunis@da.ks.gov </t>
  </si>
  <si>
    <t>The following were changed to this spreadsheet on 3/21/13</t>
  </si>
  <si>
    <t>1.  Instruction tab narrative modification</t>
  </si>
  <si>
    <t>City of Circleville</t>
  </si>
  <si>
    <t>Jackson County</t>
  </si>
  <si>
    <t>Water Bond and Interest</t>
  </si>
  <si>
    <t>Water</t>
  </si>
  <si>
    <t>Sewer</t>
  </si>
  <si>
    <t>Park</t>
  </si>
  <si>
    <t>Solid Waste</t>
  </si>
  <si>
    <t>Capital Improvements</t>
  </si>
  <si>
    <t>Bond and Interest</t>
  </si>
  <si>
    <t>12-825d</t>
  </si>
  <si>
    <t>Fire Dept.</t>
  </si>
  <si>
    <t>Mowing</t>
  </si>
  <si>
    <t>Ball Park Lights</t>
  </si>
  <si>
    <t>Insurance Dividends</t>
  </si>
  <si>
    <t>Gym Rental</t>
  </si>
  <si>
    <t>Gym Deposits</t>
  </si>
  <si>
    <t>Insurance</t>
  </si>
  <si>
    <t>Utilities</t>
  </si>
  <si>
    <t>Supplies</t>
  </si>
  <si>
    <t>Dues and Pledges</t>
  </si>
  <si>
    <t>Labor</t>
  </si>
  <si>
    <t>Bonding</t>
  </si>
  <si>
    <t>Budget</t>
  </si>
  <si>
    <t>Donations</t>
  </si>
  <si>
    <t>Mileage</t>
  </si>
  <si>
    <t>Attorney Fees</t>
  </si>
  <si>
    <t>Refund Gym Deposits</t>
  </si>
  <si>
    <t>None</t>
  </si>
  <si>
    <t>Dawn Duryea</t>
  </si>
  <si>
    <t>Publications</t>
  </si>
  <si>
    <t>Diesel</t>
  </si>
  <si>
    <t>Street Maintenance and Repair</t>
  </si>
  <si>
    <t>Wages</t>
  </si>
  <si>
    <t>KDHE</t>
  </si>
  <si>
    <t>Transfer to Bond and Interest</t>
  </si>
  <si>
    <t>Repairs and Maintenance</t>
  </si>
  <si>
    <t>Landfill</t>
  </si>
  <si>
    <t>Donation</t>
  </si>
  <si>
    <t>Scrap</t>
  </si>
  <si>
    <t>.4% Sales Tax from Jackson County</t>
  </si>
  <si>
    <t>Park Projects</t>
  </si>
  <si>
    <t>Transfer from Water</t>
  </si>
  <si>
    <t>Turn on Fees</t>
  </si>
  <si>
    <t>RWD #3</t>
  </si>
  <si>
    <t>Transfer to Water Bond and Interest</t>
  </si>
  <si>
    <t>Sales Tax</t>
  </si>
  <si>
    <t>Refund Deposit</t>
  </si>
  <si>
    <t>Sewer Bond</t>
  </si>
  <si>
    <t>Water Bond</t>
  </si>
  <si>
    <t>Apr/Oct</t>
  </si>
  <si>
    <t>Oct</t>
  </si>
  <si>
    <t>Apr</t>
  </si>
  <si>
    <t xml:space="preserve">Apr </t>
  </si>
  <si>
    <t>Tranfer from Sewer</t>
  </si>
  <si>
    <t>7 pm</t>
  </si>
  <si>
    <t>KRWA</t>
  </si>
  <si>
    <t>Certification</t>
  </si>
  <si>
    <t xml:space="preserve">City Hall </t>
  </si>
  <si>
    <t>Animal Catcher</t>
  </si>
  <si>
    <t>August 22, 2013</t>
  </si>
  <si>
    <t>Transfer to Capital Improvements</t>
  </si>
  <si>
    <t>Transfer to Special Hwy</t>
  </si>
  <si>
    <t>Transfer from General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</si>
</sst>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 numFmtId="180" formatCode="0.0%"/>
    <numFmt numFmtId="181" formatCode="#,##0.000_);[Red]\(#,##0.000\)"/>
  </numFmts>
  <fonts count="61">
    <font>
      <sz val="12"/>
      <name val="Courier"/>
    </font>
    <font>
      <b/>
      <sz val="12"/>
      <name val="Courier"/>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sz val="11"/>
      <name val="Souvenir Lt BT"/>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u/>
      <sz val="12"/>
      <color indexed="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sz val="8"/>
      <color indexed="10"/>
      <name val="Times New Roman"/>
      <family val="1"/>
    </font>
    <font>
      <b/>
      <u/>
      <sz val="10"/>
      <name val="Times New Roman"/>
      <family val="1"/>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sz val="10"/>
      <color indexed="10"/>
      <name val="Times New Roman"/>
      <family val="1"/>
    </font>
    <font>
      <sz val="11"/>
      <color theme="1"/>
      <name val="Calibri"/>
      <family val="2"/>
      <scheme val="minor"/>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09">
    <xf numFmtId="0" fontId="0" fillId="0" borderId="0"/>
    <xf numFmtId="43" fontId="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0" fillId="0" borderId="0"/>
    <xf numFmtId="0" fontId="25"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0" borderId="0"/>
    <xf numFmtId="0" fontId="2" fillId="0" borderId="0"/>
    <xf numFmtId="0" fontId="30" fillId="0" borderId="0"/>
    <xf numFmtId="0" fontId="25" fillId="0" borderId="0"/>
    <xf numFmtId="0" fontId="25" fillId="0" borderId="0"/>
    <xf numFmtId="0" fontId="25" fillId="0" borderId="0"/>
    <xf numFmtId="0" fontId="25"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5" fillId="0" borderId="0"/>
    <xf numFmtId="0" fontId="25" fillId="0" borderId="0"/>
    <xf numFmtId="0" fontId="25" fillId="0" borderId="0"/>
    <xf numFmtId="0" fontId="2" fillId="0" borderId="0"/>
    <xf numFmtId="0" fontId="2" fillId="0" borderId="0"/>
    <xf numFmtId="0" fontId="2" fillId="0" borderId="0"/>
    <xf numFmtId="0" fontId="30" fillId="0" borderId="0"/>
    <xf numFmtId="0" fontId="25" fillId="0" borderId="0"/>
    <xf numFmtId="0" fontId="25" fillId="0" borderId="0"/>
    <xf numFmtId="0" fontId="25" fillId="0" borderId="0"/>
    <xf numFmtId="0" fontId="30" fillId="0" borderId="0"/>
    <xf numFmtId="0" fontId="25" fillId="0" borderId="0"/>
    <xf numFmtId="0" fontId="25" fillId="0" borderId="0"/>
    <xf numFmtId="0" fontId="25" fillId="0" borderId="0"/>
    <xf numFmtId="0" fontId="30" fillId="0" borderId="0"/>
    <xf numFmtId="0" fontId="25" fillId="0" borderId="0"/>
    <xf numFmtId="0" fontId="25" fillId="0" borderId="0"/>
    <xf numFmtId="0" fontId="25"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 fillId="0" borderId="0"/>
    <xf numFmtId="0" fontId="25"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5" fillId="0" borderId="0"/>
    <xf numFmtId="0" fontId="2" fillId="0" borderId="0"/>
    <xf numFmtId="0" fontId="2" fillId="0" borderId="0"/>
    <xf numFmtId="0" fontId="2"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25" fillId="0" borderId="0"/>
    <xf numFmtId="0" fontId="25" fillId="0" borderId="0"/>
    <xf numFmtId="0" fontId="25"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5" fillId="0" borderId="0"/>
    <xf numFmtId="0" fontId="25" fillId="0" borderId="0"/>
    <xf numFmtId="0" fontId="25" fillId="0" borderId="0"/>
    <xf numFmtId="0" fontId="2" fillId="0" borderId="0"/>
    <xf numFmtId="0" fontId="25" fillId="0" borderId="0"/>
    <xf numFmtId="0" fontId="2" fillId="0" borderId="0"/>
    <xf numFmtId="0" fontId="25" fillId="0" borderId="0"/>
    <xf numFmtId="0" fontId="25" fillId="0" borderId="0"/>
    <xf numFmtId="0" fontId="25" fillId="0" borderId="0"/>
    <xf numFmtId="0" fontId="2" fillId="0" borderId="0"/>
    <xf numFmtId="0" fontId="2" fillId="0" borderId="0"/>
    <xf numFmtId="0" fontId="2"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 fillId="0" borderId="0"/>
    <xf numFmtId="0" fontId="30" fillId="0" borderId="0"/>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30"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cellStyleXfs>
  <cellXfs count="887">
    <xf numFmtId="0" fontId="0" fillId="0" borderId="0" xfId="0"/>
    <xf numFmtId="0" fontId="5" fillId="0" borderId="0" xfId="0" applyFont="1"/>
    <xf numFmtId="0" fontId="5" fillId="0" borderId="0" xfId="0" applyFont="1" applyProtection="1">
      <protection locked="0"/>
    </xf>
    <xf numFmtId="0" fontId="5" fillId="2" borderId="0" xfId="0" applyFont="1" applyFill="1" applyAlignment="1" applyProtection="1">
      <alignment horizontal="left"/>
      <protection locked="0"/>
    </xf>
    <xf numFmtId="0" fontId="5" fillId="3" borderId="0" xfId="0" applyFont="1" applyFill="1" applyProtection="1">
      <protection locked="0"/>
    </xf>
    <xf numFmtId="37" fontId="5" fillId="3" borderId="1" xfId="0" applyNumberFormat="1" applyFont="1" applyFill="1" applyBorder="1" applyAlignment="1" applyProtection="1">
      <alignment horizontal="left"/>
    </xf>
    <xf numFmtId="37" fontId="5" fillId="3" borderId="1" xfId="0" applyNumberFormat="1" applyFont="1" applyFill="1" applyBorder="1" applyProtection="1"/>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
    </xf>
    <xf numFmtId="37" fontId="5" fillId="3" borderId="3" xfId="0" applyNumberFormat="1" applyFont="1" applyFill="1" applyBorder="1" applyAlignment="1" applyProtection="1">
      <alignment horizontal="center"/>
    </xf>
    <xf numFmtId="0" fontId="5" fillId="3" borderId="1" xfId="0" applyFont="1" applyFill="1" applyBorder="1" applyProtection="1"/>
    <xf numFmtId="37" fontId="5" fillId="3" borderId="0" xfId="0" applyNumberFormat="1" applyFont="1" applyFill="1" applyAlignment="1" applyProtection="1">
      <alignment horizontal="center"/>
    </xf>
    <xf numFmtId="0" fontId="5" fillId="3" borderId="0" xfId="0" applyFont="1" applyFill="1" applyAlignment="1" applyProtection="1">
      <alignment horizontal="right"/>
    </xf>
    <xf numFmtId="0" fontId="5" fillId="3" borderId="3"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37" fontId="5" fillId="3" borderId="4" xfId="0" applyNumberFormat="1" applyFont="1" applyFill="1" applyBorder="1" applyAlignment="1" applyProtection="1">
      <alignment horizontal="left"/>
    </xf>
    <xf numFmtId="0" fontId="11" fillId="0" borderId="0" xfId="0" applyFont="1" applyAlignment="1">
      <alignment vertical="justify" wrapText="1"/>
    </xf>
    <xf numFmtId="0" fontId="0" fillId="0" borderId="0" xfId="0" applyAlignment="1">
      <alignment vertical="justify" wrapText="1"/>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0" fontId="0" fillId="3" borderId="0" xfId="0" applyFill="1"/>
    <xf numFmtId="37" fontId="8" fillId="3" borderId="2"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xf>
    <xf numFmtId="3" fontId="5" fillId="3" borderId="5" xfId="0" applyNumberFormat="1" applyFont="1" applyFill="1" applyBorder="1" applyAlignment="1" applyProtection="1">
      <alignment horizontal="center"/>
    </xf>
    <xf numFmtId="0" fontId="5" fillId="0" borderId="0" xfId="0" applyFont="1" applyAlignment="1">
      <alignment horizontal="left" vertical="top"/>
    </xf>
    <xf numFmtId="0" fontId="8" fillId="0" borderId="0" xfId="0" applyFont="1" applyAlignment="1">
      <alignment horizontal="left" vertical="justify" wrapText="1"/>
    </xf>
    <xf numFmtId="0" fontId="8" fillId="0" borderId="0" xfId="0" applyFont="1" applyAlignment="1">
      <alignment vertical="justify" wrapText="1"/>
    </xf>
    <xf numFmtId="0" fontId="8" fillId="0" borderId="0" xfId="0" applyFont="1" applyAlignment="1">
      <alignment horizontal="left" vertical="top"/>
    </xf>
    <xf numFmtId="0" fontId="8" fillId="0" borderId="0" xfId="0" applyFont="1"/>
    <xf numFmtId="0" fontId="5" fillId="3" borderId="0" xfId="0" applyFont="1" applyFill="1" applyAlignment="1" applyProtection="1">
      <alignment horizontal="center"/>
    </xf>
    <xf numFmtId="0" fontId="0" fillId="3" borderId="0" xfId="0" applyFill="1" applyAlignment="1"/>
    <xf numFmtId="3" fontId="5" fillId="3" borderId="4" xfId="0" applyNumberFormat="1" applyFont="1" applyFill="1" applyBorder="1" applyAlignment="1" applyProtection="1">
      <alignment horizontal="center"/>
    </xf>
    <xf numFmtId="0" fontId="5" fillId="3" borderId="0" xfId="0" applyFont="1" applyFill="1" applyAlignment="1">
      <alignment horizontal="right"/>
    </xf>
    <xf numFmtId="171" fontId="5" fillId="3" borderId="1" xfId="0" applyNumberFormat="1" applyFont="1" applyFill="1" applyBorder="1" applyAlignment="1" applyProtection="1">
      <alignment horizontal="center"/>
    </xf>
    <xf numFmtId="171" fontId="5" fillId="3" borderId="5" xfId="0" applyNumberFormat="1" applyFont="1" applyFill="1" applyBorder="1" applyAlignment="1" applyProtection="1">
      <alignment horizontal="center"/>
    </xf>
    <xf numFmtId="0" fontId="5" fillId="4" borderId="6" xfId="0" applyNumberFormat="1" applyFont="1" applyFill="1" applyBorder="1" applyAlignment="1" applyProtection="1">
      <alignment horizontal="left"/>
      <protection locked="0"/>
    </xf>
    <xf numFmtId="37" fontId="5" fillId="3" borderId="0" xfId="0" applyNumberFormat="1" applyFont="1" applyFill="1" applyProtection="1">
      <protection locked="0"/>
    </xf>
    <xf numFmtId="171" fontId="5" fillId="3" borderId="4" xfId="0" applyNumberFormat="1" applyFont="1" applyFill="1" applyBorder="1" applyAlignment="1" applyProtection="1">
      <alignment horizontal="center"/>
    </xf>
    <xf numFmtId="171" fontId="5" fillId="3" borderId="0" xfId="0" applyNumberFormat="1" applyFont="1" applyFill="1" applyBorder="1" applyAlignment="1" applyProtection="1">
      <alignment horizontal="center"/>
    </xf>
    <xf numFmtId="3" fontId="5" fillId="3" borderId="4" xfId="0" applyNumberFormat="1" applyFont="1" applyFill="1" applyBorder="1" applyAlignment="1">
      <alignment horizontal="center"/>
    </xf>
    <xf numFmtId="0" fontId="0" fillId="3" borderId="0" xfId="0" applyFill="1" applyAlignment="1">
      <alignment horizontal="center"/>
    </xf>
    <xf numFmtId="0" fontId="5" fillId="3" borderId="4" xfId="0" applyFont="1" applyFill="1" applyBorder="1" applyAlignment="1">
      <alignment horizontal="center"/>
    </xf>
    <xf numFmtId="3" fontId="5" fillId="2" borderId="1" xfId="0" applyNumberFormat="1" applyFont="1" applyFill="1" applyBorder="1" applyAlignment="1" applyProtection="1">
      <alignment horizontal="center"/>
      <protection locked="0"/>
    </xf>
    <xf numFmtId="37" fontId="5" fillId="3" borderId="7" xfId="0" applyNumberFormat="1" applyFont="1" applyFill="1" applyBorder="1" applyAlignment="1" applyProtection="1">
      <alignment horizontal="left"/>
    </xf>
    <xf numFmtId="0" fontId="4"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17" fillId="0" borderId="0" xfId="0" applyFont="1" applyAlignment="1">
      <alignment vertical="center" wrapText="1"/>
    </xf>
    <xf numFmtId="0" fontId="4" fillId="0" borderId="0" xfId="0" applyFont="1" applyAlignment="1">
      <alignment vertical="center" wrapText="1"/>
    </xf>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wrapText="1"/>
    </xf>
    <xf numFmtId="0" fontId="5" fillId="5" borderId="0" xfId="0" applyFont="1" applyFill="1" applyAlignment="1">
      <alignment vertical="center" wrapText="1"/>
    </xf>
    <xf numFmtId="0" fontId="5" fillId="6" borderId="0" xfId="0" applyFont="1" applyFill="1" applyAlignment="1">
      <alignment vertical="center"/>
    </xf>
    <xf numFmtId="37" fontId="5"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0" fontId="5" fillId="2" borderId="4" xfId="0" applyFont="1" applyFill="1" applyBorder="1" applyAlignment="1" applyProtection="1">
      <alignment vertical="center"/>
    </xf>
    <xf numFmtId="0" fontId="5" fillId="2" borderId="8" xfId="0" applyFont="1" applyFill="1" applyBorder="1" applyAlignment="1" applyProtection="1">
      <alignmen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3" fillId="3" borderId="0" xfId="0" applyNumberFormat="1" applyFont="1" applyFill="1" applyAlignment="1" applyProtection="1">
      <alignment horizontal="center" vertical="center"/>
    </xf>
    <xf numFmtId="0" fontId="4" fillId="7" borderId="0" xfId="0" applyFont="1" applyFill="1" applyAlignment="1" applyProtection="1">
      <alignment vertical="center"/>
    </xf>
    <xf numFmtId="0" fontId="5" fillId="7"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7" borderId="2"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7" borderId="3"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4"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4" borderId="1" xfId="0" applyFont="1" applyFill="1" applyBorder="1" applyAlignment="1" applyProtection="1">
      <alignment vertical="center"/>
      <protection locked="0"/>
    </xf>
    <xf numFmtId="37" fontId="5" fillId="3" borderId="4" xfId="0" applyNumberFormat="1" applyFont="1" applyFill="1" applyBorder="1" applyAlignment="1" applyProtection="1">
      <alignment horizontal="left" vertical="center"/>
    </xf>
    <xf numFmtId="0" fontId="5" fillId="3" borderId="4" xfId="0" applyFont="1" applyFill="1" applyBorder="1" applyAlignment="1" applyProtection="1">
      <alignment vertical="center"/>
    </xf>
    <xf numFmtId="3" fontId="5" fillId="3" borderId="8" xfId="0" applyNumberFormat="1" applyFont="1" applyFill="1" applyBorder="1" applyAlignment="1" applyProtection="1">
      <alignment vertical="center"/>
    </xf>
    <xf numFmtId="3" fontId="5" fillId="9"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4"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9"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10"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7" borderId="0" xfId="0" applyNumberFormat="1" applyFont="1" applyFill="1" applyAlignment="1" applyProtection="1">
      <alignment horizontal="center" vertical="center"/>
    </xf>
    <xf numFmtId="0" fontId="5" fillId="7" borderId="4"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3" xfId="0" applyFont="1" applyFill="1" applyBorder="1" applyAlignment="1" applyProtection="1">
      <alignment vertical="center"/>
    </xf>
    <xf numFmtId="166" fontId="5" fillId="4" borderId="1" xfId="0" applyNumberFormat="1" applyFont="1" applyFill="1" applyBorder="1" applyAlignment="1" applyProtection="1">
      <alignment vertical="center"/>
      <protection locked="0"/>
    </xf>
    <xf numFmtId="166" fontId="5" fillId="9" borderId="1" xfId="0" applyNumberFormat="1" applyFont="1" applyFill="1" applyBorder="1" applyAlignment="1" applyProtection="1">
      <alignment vertical="center"/>
    </xf>
    <xf numFmtId="37" fontId="5" fillId="7" borderId="4" xfId="0" applyNumberFormat="1" applyFont="1" applyFill="1" applyBorder="1" applyAlignment="1" applyProtection="1">
      <alignment horizontal="left" vertical="center"/>
    </xf>
    <xf numFmtId="0" fontId="5" fillId="7" borderId="4" xfId="0" applyFont="1" applyFill="1" applyBorder="1" applyAlignment="1" applyProtection="1">
      <alignment vertical="center"/>
    </xf>
    <xf numFmtId="0" fontId="5" fillId="7" borderId="8" xfId="0" applyFont="1" applyFill="1" applyBorder="1" applyAlignment="1" applyProtection="1">
      <alignment vertical="center"/>
    </xf>
    <xf numFmtId="0" fontId="5" fillId="3" borderId="8" xfId="0" applyFont="1" applyFill="1" applyBorder="1" applyAlignment="1" applyProtection="1">
      <alignment vertical="center"/>
    </xf>
    <xf numFmtId="0" fontId="5" fillId="3" borderId="11" xfId="0" applyFont="1" applyFill="1" applyBorder="1" applyAlignment="1" applyProtection="1">
      <alignment vertical="center"/>
    </xf>
    <xf numFmtId="0" fontId="5" fillId="7"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5" fillId="7" borderId="4" xfId="0"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7" borderId="8"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8" xfId="0" applyNumberFormat="1" applyFont="1" applyFill="1" applyBorder="1" applyAlignment="1" applyProtection="1">
      <alignment horizontal="left" vertical="center"/>
    </xf>
    <xf numFmtId="37" fontId="5" fillId="2" borderId="1" xfId="0" applyNumberFormat="1" applyFont="1" applyFill="1" applyBorder="1" applyAlignment="1" applyProtection="1">
      <alignment vertical="center"/>
      <protection locked="0"/>
    </xf>
    <xf numFmtId="37" fontId="4" fillId="3" borderId="8"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0" fontId="5"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4" fillId="7" borderId="0" xfId="0" applyNumberFormat="1" applyFont="1" applyFill="1" applyAlignment="1" applyProtection="1">
      <alignment horizontal="left" vertical="center"/>
    </xf>
    <xf numFmtId="3" fontId="5" fillId="7" borderId="0" xfId="0" applyNumberFormat="1" applyFont="1" applyFill="1" applyAlignment="1" applyProtection="1">
      <alignment vertical="center"/>
    </xf>
    <xf numFmtId="3" fontId="5" fillId="3" borderId="10" xfId="0" applyNumberFormat="1" applyFont="1" applyFill="1" applyBorder="1" applyAlignment="1" applyProtection="1">
      <alignment vertical="center"/>
    </xf>
    <xf numFmtId="3" fontId="5" fillId="3" borderId="11" xfId="0" applyNumberFormat="1" applyFont="1" applyFill="1" applyBorder="1" applyAlignment="1" applyProtection="1">
      <alignment vertical="center"/>
    </xf>
    <xf numFmtId="37" fontId="5" fillId="6" borderId="0" xfId="0" applyNumberFormat="1" applyFont="1" applyFill="1" applyBorder="1" applyAlignment="1" applyProtection="1">
      <alignment horizontal="left" vertical="center"/>
    </xf>
    <xf numFmtId="0" fontId="5" fillId="6" borderId="0" xfId="0" applyFont="1" applyFill="1" applyBorder="1" applyAlignment="1" applyProtection="1">
      <alignment vertical="center"/>
    </xf>
    <xf numFmtId="173" fontId="5" fillId="6" borderId="0" xfId="0" applyNumberFormat="1" applyFont="1" applyFill="1" applyBorder="1" applyAlignment="1" applyProtection="1">
      <alignment vertical="center"/>
      <protection locked="0"/>
    </xf>
    <xf numFmtId="0" fontId="4" fillId="7" borderId="0" xfId="0" applyFont="1" applyFill="1" applyAlignment="1">
      <alignment vertical="center"/>
    </xf>
    <xf numFmtId="0" fontId="1" fillId="7" borderId="0" xfId="0" applyFont="1" applyFill="1" applyAlignment="1">
      <alignment vertical="center"/>
    </xf>
    <xf numFmtId="0" fontId="0" fillId="7" borderId="0" xfId="0" applyFill="1" applyAlignment="1" applyProtection="1">
      <alignment vertical="center"/>
      <protection locked="0"/>
    </xf>
    <xf numFmtId="0" fontId="5"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5"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6" fillId="3" borderId="0" xfId="0" applyFont="1" applyFill="1" applyAlignment="1">
      <alignment vertical="center"/>
    </xf>
    <xf numFmtId="0" fontId="18"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4" xfId="0" applyFont="1" applyFill="1" applyBorder="1" applyAlignment="1" applyProtection="1">
      <alignment vertical="center"/>
    </xf>
    <xf numFmtId="0" fontId="5" fillId="3" borderId="7" xfId="0" applyFont="1" applyFill="1" applyBorder="1" applyAlignment="1" applyProtection="1">
      <alignment vertical="center"/>
    </xf>
    <xf numFmtId="1" fontId="5" fillId="3" borderId="6" xfId="0" applyNumberFormat="1" applyFont="1" applyFill="1" applyBorder="1" applyAlignment="1" applyProtection="1">
      <alignment horizontal="right" vertical="center"/>
    </xf>
    <xf numFmtId="0" fontId="5" fillId="3" borderId="8" xfId="0" applyFont="1" applyFill="1" applyBorder="1" applyAlignment="1" applyProtection="1">
      <alignment horizontal="left" vertical="center"/>
    </xf>
    <xf numFmtId="0" fontId="5" fillId="3" borderId="11" xfId="0" applyFont="1" applyFill="1" applyBorder="1" applyAlignment="1" applyProtection="1">
      <alignment horizontal="centerContinuous" vertical="center"/>
    </xf>
    <xf numFmtId="37" fontId="5" fillId="3" borderId="4" xfId="0" applyNumberFormat="1" applyFont="1" applyFill="1" applyBorder="1" applyAlignment="1" applyProtection="1">
      <alignment horizontal="fill"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5" fillId="3" borderId="1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5" fillId="3" borderId="3" xfId="0" applyNumberFormat="1" applyFont="1" applyFill="1" applyBorder="1" applyAlignment="1" applyProtection="1">
      <alignment horizontal="center" vertical="center"/>
    </xf>
    <xf numFmtId="37" fontId="5" fillId="3" borderId="6" xfId="0" applyNumberFormat="1" applyFont="1" applyFill="1" applyBorder="1" applyAlignment="1" applyProtection="1">
      <alignment horizontal="left" vertical="center"/>
    </xf>
    <xf numFmtId="1" fontId="5" fillId="3" borderId="11"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3" xfId="0" applyFont="1" applyFill="1" applyBorder="1" applyAlignment="1" applyProtection="1">
      <alignment vertical="center"/>
    </xf>
    <xf numFmtId="37" fontId="5" fillId="3" borderId="11"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2" fillId="3" borderId="3" xfId="0" applyNumberFormat="1" applyFont="1" applyFill="1" applyBorder="1" applyAlignment="1" applyProtection="1">
      <alignment horizontal="left" vertical="center"/>
    </xf>
    <xf numFmtId="37" fontId="12" fillId="3" borderId="3"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9"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6" xfId="0" applyNumberFormat="1" applyFont="1" applyFill="1" applyBorder="1" applyAlignment="1" applyProtection="1">
      <alignment vertical="center"/>
    </xf>
    <xf numFmtId="0" fontId="5" fillId="3" borderId="6" xfId="0" applyFont="1" applyFill="1" applyBorder="1" applyAlignment="1" applyProtection="1">
      <alignment vertical="center"/>
    </xf>
    <xf numFmtId="0" fontId="5" fillId="3" borderId="15" xfId="0" applyFont="1" applyFill="1" applyBorder="1" applyAlignment="1" applyProtection="1">
      <alignment vertical="center"/>
    </xf>
    <xf numFmtId="0" fontId="5" fillId="3" borderId="2" xfId="0" applyFont="1" applyFill="1" applyBorder="1" applyAlignment="1" applyProtection="1">
      <alignment vertical="center"/>
    </xf>
    <xf numFmtId="0" fontId="5" fillId="3" borderId="9"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4"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4" xfId="0" applyNumberFormat="1" applyFont="1" applyFill="1" applyBorder="1" applyAlignment="1" applyProtection="1">
      <alignment vertical="center"/>
    </xf>
    <xf numFmtId="3" fontId="5" fillId="3" borderId="8"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2" xfId="0" applyNumberFormat="1" applyFont="1" applyFill="1" applyBorder="1" applyAlignment="1" applyProtection="1">
      <alignment vertical="center"/>
    </xf>
    <xf numFmtId="167" fontId="5" fillId="3" borderId="4"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3" fontId="5" fillId="3" borderId="4" xfId="0" applyNumberFormat="1" applyFont="1" applyFill="1" applyBorder="1" applyAlignment="1" applyProtection="1">
      <alignment vertical="center"/>
      <protection locked="0"/>
    </xf>
    <xf numFmtId="0" fontId="7" fillId="0" borderId="0" xfId="0" applyFont="1" applyAlignment="1">
      <alignment vertical="center"/>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2" xfId="0" applyFont="1" applyFill="1" applyBorder="1" applyAlignment="1" applyProtection="1">
      <alignment horizontal="center" vertical="center"/>
    </xf>
    <xf numFmtId="1" fontId="5" fillId="3" borderId="13"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5"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5" fillId="3" borderId="3" xfId="0" applyNumberFormat="1" applyFont="1" applyFill="1" applyBorder="1" applyAlignment="1" applyProtection="1">
      <alignment horizontal="center" vertical="center"/>
    </xf>
    <xf numFmtId="0" fontId="5" fillId="2" borderId="3" xfId="0" applyFont="1" applyFill="1" applyBorder="1" applyAlignment="1" applyProtection="1">
      <alignment horizontal="center" vertical="center"/>
      <protection locked="0"/>
    </xf>
    <xf numFmtId="170" fontId="5" fillId="2" borderId="3"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9"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408" applyFont="1" applyFill="1" applyAlignment="1" applyProtection="1">
      <alignment horizontal="centerContinuous" vertical="center"/>
    </xf>
    <xf numFmtId="0" fontId="5" fillId="3" borderId="4"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13"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3"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4" borderId="1" xfId="0" applyFont="1" applyFill="1" applyBorder="1" applyAlignment="1" applyProtection="1">
      <alignment horizontal="center" vertical="center"/>
      <protection locked="0"/>
    </xf>
    <xf numFmtId="2" fontId="5" fillId="4" borderId="1" xfId="0" applyNumberFormat="1" applyFont="1" applyFill="1" applyBorder="1" applyAlignment="1" applyProtection="1">
      <alignment horizontal="center" vertical="center"/>
      <protection locked="0"/>
    </xf>
    <xf numFmtId="3" fontId="5" fillId="4" borderId="1" xfId="0" applyNumberFormat="1" applyFont="1" applyFill="1" applyBorder="1" applyAlignment="1" applyProtection="1">
      <alignment horizontal="center" vertical="center"/>
      <protection locked="0"/>
    </xf>
    <xf numFmtId="37" fontId="5" fillId="4" borderId="1" xfId="0" applyNumberFormat="1" applyFont="1" applyFill="1" applyBorder="1" applyAlignment="1" applyProtection="1">
      <alignment horizontal="center" vertical="center"/>
      <protection locked="0"/>
    </xf>
    <xf numFmtId="169" fontId="5" fillId="4"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9" xfId="0" applyFont="1" applyBorder="1" applyAlignment="1" applyProtection="1">
      <alignment vertical="center"/>
      <protection locked="0"/>
    </xf>
    <xf numFmtId="0" fontId="8" fillId="3" borderId="3" xfId="0" applyFont="1" applyFill="1" applyBorder="1" applyAlignment="1" applyProtection="1">
      <alignment horizontal="center" vertical="center"/>
    </xf>
    <xf numFmtId="14" fontId="5" fillId="4" borderId="1" xfId="0" applyNumberFormat="1" applyFont="1" applyFill="1" applyBorder="1" applyAlignment="1" applyProtection="1">
      <alignment horizontal="center" vertical="center"/>
      <protection locked="0"/>
    </xf>
    <xf numFmtId="3" fontId="4" fillId="9" borderId="5" xfId="0" applyNumberFormat="1" applyFont="1" applyFill="1" applyBorder="1" applyAlignment="1" applyProtection="1">
      <alignment horizontal="center" vertical="center"/>
    </xf>
    <xf numFmtId="3" fontId="4" fillId="9" borderId="18" xfId="0" applyNumberFormat="1" applyFont="1" applyFill="1" applyBorder="1" applyAlignment="1" applyProtection="1">
      <alignment horizontal="center" vertical="center"/>
    </xf>
    <xf numFmtId="0" fontId="5" fillId="6" borderId="0" xfId="407" applyFont="1" applyFill="1" applyAlignment="1" applyProtection="1">
      <alignment vertical="center"/>
    </xf>
    <xf numFmtId="0" fontId="5" fillId="6"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10"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11" xfId="1" applyNumberFormat="1" applyFont="1" applyFill="1" applyBorder="1" applyAlignment="1" applyProtection="1">
      <alignment horizontal="right" vertical="center"/>
    </xf>
    <xf numFmtId="3" fontId="5" fillId="3" borderId="11" xfId="0" applyNumberFormat="1" applyFont="1" applyFill="1" applyBorder="1" applyAlignment="1" applyProtection="1">
      <alignment horizontal="fill" vertical="center"/>
    </xf>
    <xf numFmtId="3" fontId="5" fillId="4" borderId="11" xfId="0" applyNumberFormat="1" applyFont="1" applyFill="1" applyBorder="1" applyAlignment="1" applyProtection="1">
      <alignment horizontal="right" vertical="center"/>
      <protection locked="0"/>
    </xf>
    <xf numFmtId="3" fontId="5" fillId="3" borderId="11" xfId="0" applyNumberFormat="1" applyFont="1" applyFill="1" applyBorder="1" applyAlignment="1" applyProtection="1">
      <alignment horizontal="right" vertical="center"/>
    </xf>
    <xf numFmtId="0" fontId="5" fillId="3" borderId="6" xfId="0" applyNumberFormat="1" applyFont="1" applyFill="1" applyBorder="1" applyAlignment="1" applyProtection="1">
      <alignment horizontal="left" vertical="center"/>
    </xf>
    <xf numFmtId="0" fontId="5" fillId="4" borderId="6" xfId="0" applyNumberFormat="1" applyFont="1" applyFill="1" applyBorder="1" applyAlignment="1" applyProtection="1">
      <alignment horizontal="left" vertical="center"/>
      <protection locked="0"/>
    </xf>
    <xf numFmtId="3" fontId="5" fillId="2" borderId="11" xfId="0" applyNumberFormat="1" applyFont="1" applyFill="1" applyBorder="1" applyAlignment="1" applyProtection="1">
      <alignment horizontal="right" vertical="center"/>
      <protection locked="0"/>
    </xf>
    <xf numFmtId="0" fontId="5" fillId="4" borderId="17" xfId="0" applyNumberFormat="1" applyFont="1" applyFill="1" applyBorder="1" applyAlignment="1" applyProtection="1">
      <alignment horizontal="left" vertical="center"/>
      <protection locked="0"/>
    </xf>
    <xf numFmtId="3" fontId="5" fillId="4" borderId="10" xfId="0" applyNumberFormat="1" applyFont="1" applyFill="1" applyBorder="1" applyAlignment="1" applyProtection="1">
      <alignment horizontal="right" vertical="center"/>
      <protection locked="0"/>
    </xf>
    <xf numFmtId="3" fontId="16" fillId="10" borderId="11" xfId="0" applyNumberFormat="1" applyFont="1" applyFill="1" applyBorder="1" applyAlignment="1" applyProtection="1">
      <alignment horizontal="center" vertical="center"/>
    </xf>
    <xf numFmtId="37" fontId="4" fillId="3" borderId="6" xfId="0" applyNumberFormat="1" applyFont="1" applyFill="1" applyBorder="1" applyAlignment="1" applyProtection="1">
      <alignment horizontal="left" vertical="center"/>
    </xf>
    <xf numFmtId="3" fontId="4" fillId="9" borderId="10" xfId="0" applyNumberFormat="1" applyFont="1" applyFill="1" applyBorder="1" applyAlignment="1" applyProtection="1">
      <alignment horizontal="right" vertical="center"/>
    </xf>
    <xf numFmtId="3" fontId="4" fillId="9" borderId="11" xfId="0" applyNumberFormat="1" applyFont="1" applyFill="1" applyBorder="1" applyAlignment="1" applyProtection="1">
      <alignment horizontal="right" vertical="center"/>
    </xf>
    <xf numFmtId="0" fontId="5" fillId="4" borderId="6" xfId="0" applyFont="1" applyFill="1" applyBorder="1" applyAlignment="1" applyProtection="1">
      <alignment vertical="center"/>
      <protection locked="0"/>
    </xf>
    <xf numFmtId="3" fontId="5"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3"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5" fillId="3" borderId="11" xfId="0" applyFont="1" applyFill="1" applyBorder="1" applyAlignment="1">
      <alignment vertical="center"/>
    </xf>
    <xf numFmtId="0" fontId="15" fillId="3" borderId="2" xfId="0" applyFont="1" applyFill="1" applyBorder="1" applyAlignment="1">
      <alignment vertical="center"/>
    </xf>
    <xf numFmtId="0" fontId="15" fillId="3" borderId="11" xfId="0" applyFont="1" applyFill="1" applyBorder="1" applyAlignment="1">
      <alignment horizontal="center" vertical="center"/>
    </xf>
    <xf numFmtId="0" fontId="15" fillId="3" borderId="14" xfId="0" applyFont="1" applyFill="1" applyBorder="1" applyAlignment="1">
      <alignment vertical="center"/>
    </xf>
    <xf numFmtId="0" fontId="15"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5" fillId="3" borderId="15" xfId="0" applyFont="1" applyFill="1" applyBorder="1" applyAlignment="1">
      <alignment vertical="center"/>
    </xf>
    <xf numFmtId="3" fontId="15" fillId="2" borderId="1" xfId="0" applyNumberFormat="1" applyFont="1" applyFill="1" applyBorder="1" applyAlignment="1" applyProtection="1">
      <alignment horizontal="center" vertical="center"/>
      <protection locked="0"/>
    </xf>
    <xf numFmtId="0" fontId="15" fillId="3" borderId="4" xfId="0" applyFont="1" applyFill="1" applyBorder="1" applyAlignment="1">
      <alignment vertical="center"/>
    </xf>
    <xf numFmtId="3" fontId="15" fillId="9" borderId="1" xfId="0" applyNumberFormat="1" applyFont="1" applyFill="1" applyBorder="1" applyAlignment="1">
      <alignment horizontal="center" vertical="center"/>
    </xf>
    <xf numFmtId="0" fontId="15" fillId="3" borderId="0" xfId="0" applyFont="1" applyFill="1" applyAlignment="1">
      <alignment vertical="center"/>
    </xf>
    <xf numFmtId="3" fontId="15" fillId="3" borderId="0" xfId="0" applyNumberFormat="1" applyFont="1" applyFill="1" applyAlignment="1">
      <alignment horizontal="center" vertical="center"/>
    </xf>
    <xf numFmtId="0" fontId="15" fillId="3" borderId="0" xfId="0" applyFont="1" applyFill="1" applyAlignment="1">
      <alignment horizontal="center" vertical="center"/>
    </xf>
    <xf numFmtId="0" fontId="15" fillId="2" borderId="1" xfId="0" applyFont="1" applyFill="1" applyBorder="1" applyAlignment="1" applyProtection="1">
      <alignment vertical="center"/>
      <protection locked="0"/>
    </xf>
    <xf numFmtId="0" fontId="15" fillId="2" borderId="14" xfId="0" applyFont="1" applyFill="1" applyBorder="1" applyAlignment="1" applyProtection="1">
      <alignment vertical="center"/>
      <protection locked="0"/>
    </xf>
    <xf numFmtId="3" fontId="15" fillId="2" borderId="14" xfId="0" applyNumberFormat="1" applyFont="1" applyFill="1" applyBorder="1" applyAlignment="1" applyProtection="1">
      <alignment horizontal="center" vertical="center"/>
      <protection locked="0"/>
    </xf>
    <xf numFmtId="0" fontId="15" fillId="2" borderId="0" xfId="0" applyFont="1" applyFill="1" applyAlignment="1" applyProtection="1">
      <alignment vertical="center"/>
      <protection locked="0"/>
    </xf>
    <xf numFmtId="3" fontId="15" fillId="2" borderId="10" xfId="0" applyNumberFormat="1" applyFont="1" applyFill="1" applyBorder="1" applyAlignment="1" applyProtection="1">
      <alignment horizontal="center" vertical="center"/>
      <protection locked="0"/>
    </xf>
    <xf numFmtId="3" fontId="15" fillId="2" borderId="11" xfId="0" applyNumberFormat="1" applyFont="1" applyFill="1" applyBorder="1" applyAlignment="1" applyProtection="1">
      <alignment horizontal="center" vertical="center"/>
      <protection locked="0"/>
    </xf>
    <xf numFmtId="0" fontId="15" fillId="2" borderId="11" xfId="0" applyFont="1" applyFill="1" applyBorder="1" applyAlignment="1" applyProtection="1">
      <alignment vertical="center"/>
      <protection locked="0"/>
    </xf>
    <xf numFmtId="0" fontId="15" fillId="2" borderId="3" xfId="0" applyFont="1" applyFill="1" applyBorder="1" applyAlignment="1" applyProtection="1">
      <alignment vertical="center"/>
      <protection locked="0"/>
    </xf>
    <xf numFmtId="3" fontId="15" fillId="2" borderId="7" xfId="0" applyNumberFormat="1" applyFont="1" applyFill="1" applyBorder="1" applyAlignment="1" applyProtection="1">
      <alignment horizontal="center" vertical="center"/>
      <protection locked="0"/>
    </xf>
    <xf numFmtId="0" fontId="15" fillId="2" borderId="7" xfId="0" applyFont="1" applyFill="1" applyBorder="1" applyAlignment="1" applyProtection="1">
      <alignment vertical="center"/>
      <protection locked="0"/>
    </xf>
    <xf numFmtId="3" fontId="15" fillId="9" borderId="3" xfId="0" applyNumberFormat="1" applyFont="1" applyFill="1" applyBorder="1" applyAlignment="1">
      <alignment horizontal="center" vertical="center"/>
    </xf>
    <xf numFmtId="3" fontId="15" fillId="11" borderId="1" xfId="0" applyNumberFormat="1" applyFont="1" applyFill="1" applyBorder="1" applyAlignment="1">
      <alignment horizontal="center" vertical="center"/>
    </xf>
    <xf numFmtId="3" fontId="20"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0" fontId="6" fillId="0" borderId="0" xfId="0" applyFont="1" applyAlignment="1">
      <alignment vertical="center"/>
    </xf>
    <xf numFmtId="165" fontId="5" fillId="3" borderId="4" xfId="0" applyNumberFormat="1" applyFont="1" applyFill="1" applyBorder="1" applyAlignment="1" applyProtection="1">
      <alignment vertical="center"/>
    </xf>
    <xf numFmtId="37" fontId="5" fillId="3" borderId="4" xfId="0" quotePrefix="1" applyNumberFormat="1" applyFont="1" applyFill="1" applyBorder="1" applyAlignment="1" applyProtection="1">
      <alignment horizontal="right" vertical="center"/>
    </xf>
    <xf numFmtId="0" fontId="5" fillId="3" borderId="3" xfId="0" applyNumberFormat="1" applyFont="1" applyFill="1" applyBorder="1" applyAlignment="1" applyProtection="1">
      <alignment horizontal="center" vertical="center"/>
    </xf>
    <xf numFmtId="3" fontId="5" fillId="4" borderId="11" xfId="0" applyNumberFormat="1" applyFont="1" applyFill="1" applyBorder="1" applyAlignment="1" applyProtection="1">
      <alignment vertical="center"/>
      <protection locked="0"/>
    </xf>
    <xf numFmtId="37" fontId="5" fillId="4" borderId="1" xfId="0" applyNumberFormat="1"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37" fontId="5" fillId="4" borderId="6" xfId="0" applyNumberFormat="1" applyFont="1" applyFill="1" applyBorder="1" applyAlignment="1" applyProtection="1">
      <alignment horizontal="left" vertical="center"/>
      <protection locked="0"/>
    </xf>
    <xf numFmtId="3" fontId="16" fillId="11" borderId="1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vertical="center"/>
    </xf>
    <xf numFmtId="3" fontId="4" fillId="9" borderId="1" xfId="0" applyNumberFormat="1" applyFont="1" applyFill="1" applyBorder="1" applyAlignment="1" applyProtection="1">
      <alignment vertical="center"/>
    </xf>
    <xf numFmtId="37" fontId="5" fillId="3" borderId="6"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6" xfId="0" applyFont="1" applyFill="1" applyBorder="1" applyAlignment="1" applyProtection="1">
      <alignment vertical="center"/>
      <protection locked="0"/>
    </xf>
    <xf numFmtId="0" fontId="4" fillId="3" borderId="4" xfId="0" applyFont="1" applyFill="1" applyBorder="1" applyAlignment="1" applyProtection="1">
      <alignment vertical="center"/>
    </xf>
    <xf numFmtId="3" fontId="5" fillId="3" borderId="1" xfId="0" applyNumberFormat="1" applyFont="1" applyFill="1" applyBorder="1" applyAlignment="1" applyProtection="1">
      <alignment horizontal="fill" vertical="center"/>
    </xf>
    <xf numFmtId="37" fontId="5" fillId="2" borderId="0" xfId="0" applyNumberFormat="1" applyFont="1" applyFill="1" applyAlignment="1" applyProtection="1">
      <alignment horizontal="left" vertical="center"/>
      <protection locked="0"/>
    </xf>
    <xf numFmtId="0" fontId="5" fillId="4" borderId="6"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3" borderId="0" xfId="0" applyFont="1" applyFill="1" applyAlignment="1" applyProtection="1">
      <alignment horizontal="left" vertical="center"/>
    </xf>
    <xf numFmtId="0" fontId="5" fillId="3" borderId="0" xfId="0" applyFont="1" applyFill="1" applyAlignment="1" applyProtection="1">
      <alignment horizontal="fill" vertical="center"/>
    </xf>
    <xf numFmtId="0" fontId="5" fillId="2"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protection locked="0"/>
    </xf>
    <xf numFmtId="37" fontId="4" fillId="9" borderId="5" xfId="0" applyNumberFormat="1" applyFont="1" applyFill="1" applyBorder="1" applyAlignment="1" applyProtection="1">
      <alignment vertical="center"/>
    </xf>
    <xf numFmtId="0" fontId="34" fillId="0" borderId="0" xfId="0" applyFont="1"/>
    <xf numFmtId="0" fontId="24" fillId="0" borderId="0" xfId="0" applyFont="1" applyAlignment="1">
      <alignment horizontal="center"/>
    </xf>
    <xf numFmtId="0" fontId="4" fillId="0" borderId="0" xfId="0" applyFont="1" applyAlignment="1">
      <alignment wrapText="1"/>
    </xf>
    <xf numFmtId="0" fontId="5" fillId="0" borderId="0" xfId="96" applyFont="1" applyAlignment="1">
      <alignment vertical="center" wrapText="1"/>
    </xf>
    <xf numFmtId="0" fontId="5" fillId="0" borderId="0" xfId="339" applyFont="1" applyAlignment="1">
      <alignment vertical="center" wrapText="1"/>
    </xf>
    <xf numFmtId="0" fontId="5" fillId="0" borderId="0" xfId="359" applyNumberFormat="1" applyFont="1" applyAlignment="1">
      <alignment vertical="center" wrapText="1"/>
    </xf>
    <xf numFmtId="0" fontId="5" fillId="0" borderId="0" xfId="239" applyFont="1" applyAlignment="1">
      <alignment vertical="center" wrapText="1"/>
    </xf>
    <xf numFmtId="0" fontId="5" fillId="0" borderId="0" xfId="377" applyFont="1" applyAlignment="1">
      <alignment vertical="center"/>
    </xf>
    <xf numFmtId="0" fontId="0"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wrapText="1"/>
    </xf>
    <xf numFmtId="0" fontId="23" fillId="0" borderId="0" xfId="0" applyNumberFormat="1" applyFont="1" applyFill="1" applyBorder="1" applyAlignment="1" applyProtection="1">
      <alignment vertical="center"/>
    </xf>
    <xf numFmtId="0" fontId="27"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8" fillId="0" borderId="0" xfId="0" applyNumberFormat="1" applyFont="1" applyFill="1" applyBorder="1" applyAlignment="1" applyProtection="1">
      <alignment vertical="center"/>
    </xf>
    <xf numFmtId="37" fontId="5" fillId="3" borderId="0" xfId="0" applyNumberFormat="1" applyFont="1" applyFill="1" applyBorder="1" applyAlignment="1" applyProtection="1">
      <alignment horizontal="fill" vertical="center"/>
    </xf>
    <xf numFmtId="0" fontId="5" fillId="2" borderId="8" xfId="0" applyFont="1" applyFill="1" applyBorder="1" applyAlignment="1" applyProtection="1">
      <alignment vertical="center"/>
      <protection locked="0"/>
    </xf>
    <xf numFmtId="0" fontId="0" fillId="0" borderId="0" xfId="0" applyAlignment="1"/>
    <xf numFmtId="0" fontId="30" fillId="0" borderId="0" xfId="382"/>
    <xf numFmtId="0" fontId="5" fillId="0" borderId="0" xfId="382" applyFont="1" applyAlignment="1">
      <alignment horizontal="left" vertical="center"/>
    </xf>
    <xf numFmtId="49" fontId="5" fillId="2" borderId="0" xfId="382" applyNumberFormat="1" applyFont="1" applyFill="1" applyAlignment="1" applyProtection="1">
      <alignment horizontal="left" vertical="center"/>
      <protection locked="0"/>
    </xf>
    <xf numFmtId="174" fontId="15" fillId="0" borderId="0" xfId="382" applyNumberFormat="1" applyFont="1" applyAlignment="1">
      <alignment horizontal="left" vertical="center"/>
    </xf>
    <xf numFmtId="49" fontId="5" fillId="0" borderId="0" xfId="382" applyNumberFormat="1" applyFont="1" applyAlignment="1">
      <alignment horizontal="left" vertical="center"/>
    </xf>
    <xf numFmtId="0" fontId="15" fillId="0" borderId="0" xfId="382" applyFont="1" applyAlignment="1">
      <alignment horizontal="left" vertical="center"/>
    </xf>
    <xf numFmtId="175" fontId="15" fillId="0" borderId="0" xfId="382" applyNumberFormat="1" applyFont="1" applyAlignment="1">
      <alignment horizontal="left" vertical="center"/>
    </xf>
    <xf numFmtId="0" fontId="5" fillId="2" borderId="0" xfId="382" applyFont="1" applyFill="1" applyAlignment="1" applyProtection="1">
      <alignment horizontal="left" vertical="center"/>
      <protection locked="0"/>
    </xf>
    <xf numFmtId="0" fontId="30" fillId="2" borderId="0" xfId="382" applyFill="1" applyAlignment="1" applyProtection="1">
      <alignment horizontal="left" vertical="center"/>
      <protection locked="0"/>
    </xf>
    <xf numFmtId="0" fontId="31" fillId="0" borderId="0" xfId="0" applyFont="1"/>
    <xf numFmtId="0" fontId="2" fillId="0" borderId="0" xfId="0" applyFont="1"/>
    <xf numFmtId="0" fontId="14" fillId="0" borderId="0" xfId="0" applyFont="1" applyAlignment="1">
      <alignment horizontal="center"/>
    </xf>
    <xf numFmtId="0" fontId="31" fillId="0" borderId="0" xfId="0" applyFont="1" applyAlignment="1"/>
    <xf numFmtId="0" fontId="2" fillId="0" borderId="0" xfId="0" quotePrefix="1" applyFont="1"/>
    <xf numFmtId="0" fontId="2" fillId="0" borderId="0" xfId="165" applyFont="1"/>
    <xf numFmtId="0" fontId="2" fillId="0" borderId="0" xfId="165" applyFont="1" applyFill="1"/>
    <xf numFmtId="0" fontId="2" fillId="0" borderId="0" xfId="0" applyFont="1" applyAlignment="1"/>
    <xf numFmtId="0" fontId="31" fillId="0" borderId="0" xfId="0" applyFont="1" applyAlignment="1">
      <alignment horizontal="center"/>
    </xf>
    <xf numFmtId="0" fontId="5" fillId="0" borderId="0" xfId="400" applyFont="1" applyAlignment="1">
      <alignment vertical="center" wrapText="1"/>
    </xf>
    <xf numFmtId="0" fontId="5" fillId="0" borderId="0" xfId="17" applyFont="1" applyAlignment="1">
      <alignment vertical="center" wrapText="1"/>
    </xf>
    <xf numFmtId="0" fontId="5" fillId="0" borderId="0" xfId="27" applyFont="1" applyAlignment="1">
      <alignment vertical="center" wrapText="1"/>
    </xf>
    <xf numFmtId="0" fontId="5" fillId="0" borderId="0" xfId="59" applyFont="1" applyAlignment="1">
      <alignment vertical="center" wrapText="1"/>
    </xf>
    <xf numFmtId="0" fontId="5" fillId="0" borderId="0" xfId="66" applyFont="1" applyAlignment="1">
      <alignment vertical="center" wrapText="1"/>
    </xf>
    <xf numFmtId="0" fontId="5" fillId="0" borderId="0" xfId="74" applyFont="1" applyAlignment="1">
      <alignment vertical="center"/>
    </xf>
    <xf numFmtId="0" fontId="6" fillId="0" borderId="0" xfId="70" applyFont="1" applyAlignment="1">
      <alignment vertical="center"/>
    </xf>
    <xf numFmtId="0" fontId="5" fillId="3" borderId="0" xfId="0" applyFont="1" applyFill="1"/>
    <xf numFmtId="0" fontId="5" fillId="3" borderId="2"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8" fillId="3" borderId="0" xfId="0" applyFont="1" applyFill="1" applyAlignment="1" applyProtection="1">
      <alignment horizontal="left" vertical="center"/>
      <protection locked="0"/>
    </xf>
    <xf numFmtId="0" fontId="36" fillId="3" borderId="0" xfId="0" applyFont="1" applyFill="1" applyAlignment="1" applyProtection="1">
      <alignment horizontal="right" vertical="center"/>
      <protection locked="0"/>
    </xf>
    <xf numFmtId="176" fontId="5" fillId="4" borderId="1" xfId="0" applyNumberFormat="1" applyFont="1" applyFill="1" applyBorder="1" applyAlignment="1" applyProtection="1">
      <alignment horizontal="center" vertical="center"/>
      <protection locked="0"/>
    </xf>
    <xf numFmtId="0" fontId="5" fillId="4" borderId="6" xfId="87" applyFont="1" applyFill="1" applyBorder="1" applyProtection="1">
      <protection locked="0"/>
    </xf>
    <xf numFmtId="0" fontId="5" fillId="4" borderId="6" xfId="322" applyFont="1" applyFill="1" applyBorder="1" applyProtection="1">
      <protection locked="0"/>
    </xf>
    <xf numFmtId="0" fontId="5" fillId="4" borderId="6" xfId="326" applyFont="1" applyFill="1" applyBorder="1" applyProtection="1">
      <protection locked="0"/>
    </xf>
    <xf numFmtId="3" fontId="5" fillId="4" borderId="1" xfId="329" applyNumberFormat="1" applyFont="1" applyFill="1" applyBorder="1" applyProtection="1">
      <protection locked="0"/>
    </xf>
    <xf numFmtId="0" fontId="5" fillId="4" borderId="6" xfId="332" applyFont="1" applyFill="1" applyBorder="1" applyProtection="1">
      <protection locked="0"/>
    </xf>
    <xf numFmtId="3" fontId="5" fillId="4" borderId="1" xfId="335" applyNumberFormat="1" applyFont="1" applyFill="1" applyBorder="1" applyProtection="1">
      <protection locked="0"/>
    </xf>
    <xf numFmtId="164" fontId="5" fillId="4" borderId="1" xfId="0" applyNumberFormat="1" applyFont="1" applyFill="1" applyBorder="1" applyProtection="1">
      <protection locked="0"/>
    </xf>
    <xf numFmtId="3" fontId="5" fillId="9" borderId="6" xfId="0" applyNumberFormat="1" applyFont="1" applyFill="1" applyBorder="1" applyAlignment="1" applyProtection="1">
      <alignment horizontal="right" vertical="center"/>
    </xf>
    <xf numFmtId="3" fontId="16" fillId="10" borderId="6"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3" fontId="5" fillId="2" borderId="2"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3" fontId="4" fillId="9" borderId="6" xfId="0" applyNumberFormat="1" applyFont="1" applyFill="1" applyBorder="1" applyAlignment="1" applyProtection="1">
      <alignment horizontal="right" vertical="center"/>
    </xf>
    <xf numFmtId="3" fontId="5" fillId="4" borderId="6" xfId="0" applyNumberFormat="1" applyFont="1" applyFill="1" applyBorder="1" applyAlignment="1" applyProtection="1">
      <alignment horizontal="right" vertical="center"/>
      <protection locked="0"/>
    </xf>
    <xf numFmtId="3" fontId="5" fillId="3" borderId="6" xfId="0" applyNumberFormat="1" applyFont="1" applyFill="1" applyBorder="1" applyAlignment="1" applyProtection="1">
      <alignment horizontal="right" vertical="center"/>
    </xf>
    <xf numFmtId="3" fontId="5" fillId="4"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4" borderId="1" xfId="0" applyNumberFormat="1" applyFont="1" applyFill="1" applyBorder="1" applyAlignment="1" applyProtection="1">
      <alignment horizontal="right" vertical="center"/>
      <protection locked="0"/>
    </xf>
    <xf numFmtId="3" fontId="16" fillId="10"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49" fillId="3" borderId="0" xfId="0" applyFont="1" applyFill="1" applyAlignment="1" applyProtection="1">
      <alignment horizontal="center" vertical="center"/>
    </xf>
    <xf numFmtId="0" fontId="3" fillId="5" borderId="3" xfId="0" applyFont="1" applyFill="1" applyBorder="1" applyAlignment="1" applyProtection="1">
      <alignment horizontal="center" vertical="center" shrinkToFit="1"/>
    </xf>
    <xf numFmtId="37" fontId="5" fillId="3" borderId="6" xfId="0" applyNumberFormat="1" applyFont="1" applyFill="1" applyBorder="1" applyAlignment="1" applyProtection="1">
      <alignment horizontal="fill" vertical="center"/>
    </xf>
    <xf numFmtId="37" fontId="12"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6" fillId="11" borderId="3" xfId="0" applyFont="1" applyFill="1" applyBorder="1" applyAlignment="1" applyProtection="1">
      <alignment horizontal="center" vertical="center"/>
    </xf>
    <xf numFmtId="3" fontId="5" fillId="12" borderId="10" xfId="0" applyNumberFormat="1" applyFont="1" applyFill="1" applyBorder="1" applyAlignment="1" applyProtection="1">
      <alignment vertical="center"/>
    </xf>
    <xf numFmtId="37" fontId="5" fillId="12" borderId="6" xfId="0" applyNumberFormat="1" applyFont="1" applyFill="1" applyBorder="1" applyAlignment="1" applyProtection="1">
      <alignment horizontal="fill" vertical="center"/>
    </xf>
    <xf numFmtId="0" fontId="5" fillId="12" borderId="1" xfId="0" applyFont="1" applyFill="1" applyBorder="1" applyAlignment="1" applyProtection="1">
      <alignment vertical="center"/>
    </xf>
    <xf numFmtId="37" fontId="5" fillId="12" borderId="1" xfId="0" applyNumberFormat="1" applyFont="1" applyFill="1" applyBorder="1" applyAlignment="1" applyProtection="1">
      <alignment horizontal="left" vertical="center"/>
    </xf>
    <xf numFmtId="3" fontId="5" fillId="4" borderId="11"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4" borderId="6" xfId="37" applyNumberFormat="1" applyFont="1" applyFill="1" applyBorder="1" applyAlignment="1" applyProtection="1">
      <alignment horizontal="left" vertical="center"/>
      <protection locked="0"/>
    </xf>
    <xf numFmtId="0" fontId="5" fillId="3" borderId="0" xfId="37" applyFont="1" applyFill="1" applyAlignment="1" applyProtection="1">
      <alignment horizontal="right" vertical="center"/>
    </xf>
    <xf numFmtId="37" fontId="5" fillId="2" borderId="6" xfId="0" applyNumberFormat="1" applyFont="1" applyFill="1" applyBorder="1" applyAlignment="1" applyProtection="1">
      <alignment horizontal="right" vertical="center"/>
      <protection locked="0"/>
    </xf>
    <xf numFmtId="3" fontId="16" fillId="11" borderId="6" xfId="0" applyNumberFormat="1" applyFont="1" applyFill="1" applyBorder="1" applyAlignment="1" applyProtection="1">
      <alignment horizontal="center" vertical="center"/>
    </xf>
    <xf numFmtId="3" fontId="4" fillId="9" borderId="6" xfId="0" applyNumberFormat="1" applyFont="1" applyFill="1" applyBorder="1" applyAlignment="1" applyProtection="1">
      <alignment vertical="center"/>
    </xf>
    <xf numFmtId="3" fontId="5" fillId="3" borderId="6" xfId="0" applyNumberFormat="1" applyFont="1" applyFill="1" applyBorder="1" applyAlignment="1" applyProtection="1">
      <alignment vertical="center"/>
    </xf>
    <xf numFmtId="37" fontId="5" fillId="2" borderId="6" xfId="0" applyNumberFormat="1" applyFont="1" applyFill="1" applyBorder="1" applyAlignment="1" applyProtection="1">
      <alignment vertical="center"/>
      <protection locked="0"/>
    </xf>
    <xf numFmtId="3" fontId="5"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5" fillId="9" borderId="6" xfId="0" applyNumberFormat="1" applyFont="1" applyFill="1" applyBorder="1" applyAlignment="1" applyProtection="1">
      <alignment vertical="center"/>
    </xf>
    <xf numFmtId="3" fontId="16" fillId="11" borderId="6" xfId="0" applyNumberFormat="1" applyFont="1" applyFill="1" applyBorder="1" applyAlignment="1" applyProtection="1">
      <alignment horizontal="right" vertical="center"/>
    </xf>
    <xf numFmtId="37" fontId="4" fillId="3" borderId="4"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6" fillId="11" borderId="1" xfId="0" applyNumberFormat="1" applyFont="1" applyFill="1" applyBorder="1" applyAlignment="1" applyProtection="1">
      <alignment horizontal="center" vertical="center"/>
    </xf>
    <xf numFmtId="0" fontId="49" fillId="3" borderId="0" xfId="0" applyFont="1" applyFill="1" applyAlignment="1" applyProtection="1">
      <alignment horizontal="center" vertical="center"/>
    </xf>
    <xf numFmtId="0" fontId="49" fillId="0" borderId="0" xfId="37" applyFont="1" applyAlignment="1" applyProtection="1">
      <alignment vertical="center"/>
      <protection locked="0"/>
    </xf>
    <xf numFmtId="0" fontId="49" fillId="0" borderId="0" xfId="0" applyFont="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3" fontId="49"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3" fontId="13" fillId="3"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xf>
    <xf numFmtId="0" fontId="49" fillId="0" borderId="0" xfId="0" applyFont="1" applyProtection="1">
      <protection locked="0"/>
    </xf>
    <xf numFmtId="0" fontId="5" fillId="13" borderId="0" xfId="0" applyFont="1" applyFill="1" applyBorder="1" applyAlignment="1" applyProtection="1">
      <alignment vertical="center"/>
    </xf>
    <xf numFmtId="0" fontId="5" fillId="13" borderId="0" xfId="0" applyFont="1" applyFill="1" applyAlignment="1" applyProtection="1">
      <alignment vertical="center"/>
    </xf>
    <xf numFmtId="37" fontId="5" fillId="13" borderId="0" xfId="0" applyNumberFormat="1" applyFont="1" applyFill="1" applyBorder="1" applyAlignment="1" applyProtection="1">
      <alignment horizontal="left" vertical="center"/>
    </xf>
    <xf numFmtId="37" fontId="5" fillId="13" borderId="0" xfId="0" applyNumberFormat="1" applyFont="1" applyFill="1" applyBorder="1" applyAlignment="1" applyProtection="1">
      <alignment vertical="center"/>
    </xf>
    <xf numFmtId="0" fontId="0" fillId="13" borderId="0" xfId="0" applyFill="1" applyBorder="1" applyAlignment="1">
      <alignment vertical="center"/>
    </xf>
    <xf numFmtId="0" fontId="16" fillId="13" borderId="0" xfId="0" applyFont="1" applyFill="1" applyBorder="1" applyAlignment="1" applyProtection="1">
      <alignment horizontal="center" vertical="center"/>
    </xf>
    <xf numFmtId="0" fontId="38"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177" fontId="3" fillId="14" borderId="1" xfId="0" applyNumberFormat="1" applyFont="1" applyFill="1" applyBorder="1" applyAlignment="1" applyProtection="1">
      <alignment horizontal="center" vertical="center"/>
      <protection locked="0"/>
    </xf>
    <xf numFmtId="0" fontId="5" fillId="13" borderId="9" xfId="0" applyFont="1" applyFill="1" applyBorder="1" applyAlignment="1" applyProtection="1">
      <alignment vertical="center"/>
    </xf>
    <xf numFmtId="0" fontId="5" fillId="13" borderId="7" xfId="0" applyFont="1" applyFill="1" applyBorder="1" applyAlignment="1" applyProtection="1">
      <alignment vertical="center"/>
    </xf>
    <xf numFmtId="177" fontId="3" fillId="13" borderId="9"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center"/>
    </xf>
    <xf numFmtId="0" fontId="3" fillId="13" borderId="7" xfId="0" applyFont="1" applyFill="1" applyBorder="1" applyAlignment="1" applyProtection="1">
      <alignment vertical="center"/>
    </xf>
    <xf numFmtId="0" fontId="3" fillId="13" borderId="0" xfId="0" applyFont="1" applyFill="1" applyBorder="1" applyAlignment="1" applyProtection="1">
      <alignment vertical="center"/>
    </xf>
    <xf numFmtId="177" fontId="3" fillId="13" borderId="15" xfId="0" applyNumberFormat="1" applyFont="1" applyFill="1" applyBorder="1" applyAlignment="1" applyProtection="1">
      <alignment horizontal="center" vertical="center"/>
    </xf>
    <xf numFmtId="177" fontId="3" fillId="13" borderId="9" xfId="0" applyNumberFormat="1" applyFont="1" applyFill="1" applyBorder="1" applyAlignment="1" applyProtection="1">
      <alignment vertical="center"/>
    </xf>
    <xf numFmtId="0" fontId="40" fillId="12" borderId="4" xfId="0" applyFont="1" applyFill="1" applyBorder="1" applyAlignment="1" applyProtection="1">
      <alignment vertical="center"/>
    </xf>
    <xf numFmtId="0" fontId="3" fillId="12" borderId="10" xfId="0" applyFont="1" applyFill="1" applyBorder="1" applyAlignment="1" applyProtection="1">
      <alignment vertical="center"/>
    </xf>
    <xf numFmtId="0" fontId="5" fillId="12" borderId="10" xfId="0" applyFont="1" applyFill="1" applyBorder="1" applyAlignment="1" applyProtection="1">
      <alignment vertical="center"/>
    </xf>
    <xf numFmtId="0" fontId="3" fillId="13" borderId="9" xfId="0" applyFont="1" applyFill="1" applyBorder="1" applyAlignment="1" applyProtection="1">
      <alignment horizontal="left" vertical="center"/>
    </xf>
    <xf numFmtId="177" fontId="40" fillId="12" borderId="15" xfId="0" applyNumberFormat="1" applyFont="1" applyFill="1" applyBorder="1" applyAlignment="1" applyProtection="1">
      <alignment horizontal="center" vertical="center"/>
    </xf>
    <xf numFmtId="0" fontId="0" fillId="13" borderId="0" xfId="0" applyFill="1" applyAlignment="1" applyProtection="1"/>
    <xf numFmtId="49" fontId="5" fillId="13" borderId="0" xfId="0" applyNumberFormat="1" applyFont="1" applyFill="1" applyAlignment="1" applyProtection="1">
      <alignment horizontal="left"/>
    </xf>
    <xf numFmtId="0" fontId="0" fillId="13" borderId="0" xfId="0" applyFill="1" applyBorder="1" applyAlignment="1">
      <alignment horizontal="center"/>
    </xf>
    <xf numFmtId="0" fontId="5" fillId="0" borderId="0" xfId="37" applyFont="1" applyAlignment="1">
      <alignment vertical="center" wrapText="1"/>
    </xf>
    <xf numFmtId="0" fontId="5" fillId="0" borderId="0" xfId="37" applyFont="1" applyAlignment="1">
      <alignment vertical="center"/>
    </xf>
    <xf numFmtId="0" fontId="41" fillId="0" borderId="0" xfId="0" applyFont="1" applyAlignment="1" applyProtection="1">
      <alignment vertical="center"/>
    </xf>
    <xf numFmtId="3" fontId="5" fillId="2" borderId="6"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177" fontId="5" fillId="0" borderId="0" xfId="0" applyNumberFormat="1" applyFont="1" applyAlignment="1" applyProtection="1">
      <alignment vertical="center"/>
      <protection locked="0"/>
    </xf>
    <xf numFmtId="0" fontId="50" fillId="0" borderId="0" xfId="0" applyFont="1" applyAlignment="1">
      <alignment wrapText="1"/>
    </xf>
    <xf numFmtId="0" fontId="5" fillId="0" borderId="0" xfId="0" applyFont="1" applyBorder="1" applyProtection="1">
      <protection locked="0"/>
    </xf>
    <xf numFmtId="171" fontId="5" fillId="14" borderId="7" xfId="0" applyNumberFormat="1" applyFont="1" applyFill="1" applyBorder="1" applyAlignment="1" applyProtection="1">
      <alignment horizontal="center"/>
      <protection locked="0"/>
    </xf>
    <xf numFmtId="0" fontId="3" fillId="13" borderId="9" xfId="0" applyFont="1" applyFill="1" applyBorder="1" applyProtection="1"/>
    <xf numFmtId="0" fontId="5" fillId="13" borderId="0" xfId="0" applyFont="1" applyFill="1" applyBorder="1" applyProtection="1"/>
    <xf numFmtId="177" fontId="5" fillId="13" borderId="7" xfId="0" applyNumberFormat="1" applyFont="1" applyFill="1" applyBorder="1" applyAlignment="1" applyProtection="1">
      <alignment horizontal="center"/>
    </xf>
    <xf numFmtId="0" fontId="5" fillId="13" borderId="15" xfId="0" applyFont="1" applyFill="1" applyBorder="1" applyProtection="1"/>
    <xf numFmtId="0" fontId="5" fillId="13" borderId="4" xfId="0" applyFont="1" applyFill="1" applyBorder="1" applyProtection="1"/>
    <xf numFmtId="177" fontId="5" fillId="12" borderId="10" xfId="0" applyNumberFormat="1" applyFont="1" applyFill="1" applyBorder="1" applyAlignment="1" applyProtection="1">
      <alignment horizontal="center"/>
    </xf>
    <xf numFmtId="0" fontId="5" fillId="0" borderId="0" xfId="0" applyFont="1" applyFill="1" applyBorder="1" applyProtection="1"/>
    <xf numFmtId="0" fontId="5" fillId="13" borderId="9" xfId="0" applyFont="1" applyFill="1" applyBorder="1" applyProtection="1"/>
    <xf numFmtId="0" fontId="5" fillId="13" borderId="7" xfId="0" applyFont="1" applyFill="1" applyBorder="1" applyProtection="1"/>
    <xf numFmtId="166" fontId="5" fillId="13" borderId="7" xfId="0" applyNumberFormat="1" applyFont="1" applyFill="1" applyBorder="1" applyAlignment="1" applyProtection="1">
      <alignment horizontal="center"/>
    </xf>
    <xf numFmtId="0" fontId="5" fillId="12" borderId="9" xfId="0" applyFont="1" applyFill="1" applyBorder="1" applyProtection="1"/>
    <xf numFmtId="0" fontId="5" fillId="12" borderId="0" xfId="0" applyFont="1" applyFill="1" applyBorder="1" applyProtection="1"/>
    <xf numFmtId="0" fontId="5" fillId="12" borderId="15" xfId="0" applyFont="1" applyFill="1" applyBorder="1" applyProtection="1"/>
    <xf numFmtId="0" fontId="5" fillId="12" borderId="4" xfId="0" applyFont="1" applyFill="1" applyBorder="1" applyProtection="1"/>
    <xf numFmtId="0" fontId="5" fillId="0" borderId="0" xfId="0" applyFont="1" applyProtection="1"/>
    <xf numFmtId="177" fontId="5" fillId="13" borderId="10" xfId="0" applyNumberFormat="1" applyFont="1" applyFill="1" applyBorder="1" applyAlignment="1" applyProtection="1">
      <alignment horizontal="center"/>
    </xf>
    <xf numFmtId="0" fontId="51" fillId="13" borderId="0" xfId="0" applyFont="1" applyFill="1"/>
    <xf numFmtId="0" fontId="51" fillId="13" borderId="19" xfId="0" applyFont="1" applyFill="1" applyBorder="1"/>
    <xf numFmtId="0" fontId="52" fillId="0" borderId="0" xfId="0" applyFont="1" applyBorder="1"/>
    <xf numFmtId="0" fontId="51" fillId="0" borderId="0" xfId="0" applyFont="1" applyBorder="1" applyAlignment="1">
      <alignment horizontal="centerContinuous"/>
    </xf>
    <xf numFmtId="0" fontId="51" fillId="13" borderId="19" xfId="0" applyFont="1" applyFill="1" applyBorder="1" applyAlignment="1"/>
    <xf numFmtId="0" fontId="43" fillId="0" borderId="0" xfId="0" applyFont="1"/>
    <xf numFmtId="0" fontId="43" fillId="13" borderId="0" xfId="0" applyFont="1" applyFill="1"/>
    <xf numFmtId="0" fontId="43" fillId="13" borderId="0" xfId="0" applyFont="1" applyFill="1" applyAlignment="1">
      <alignment horizontal="center"/>
    </xf>
    <xf numFmtId="0" fontId="43" fillId="13" borderId="20" xfId="0" applyFont="1" applyFill="1" applyBorder="1"/>
    <xf numFmtId="0" fontId="43" fillId="13" borderId="21" xfId="0" applyFont="1" applyFill="1" applyBorder="1"/>
    <xf numFmtId="177" fontId="43" fillId="13" borderId="22" xfId="0" applyNumberFormat="1" applyFont="1" applyFill="1" applyBorder="1"/>
    <xf numFmtId="0" fontId="43" fillId="13" borderId="0" xfId="0" applyFont="1" applyFill="1" applyBorder="1"/>
    <xf numFmtId="177" fontId="43" fillId="13" borderId="4" xfId="0" applyNumberFormat="1" applyFont="1" applyFill="1" applyBorder="1" applyAlignment="1">
      <alignment horizontal="center"/>
    </xf>
    <xf numFmtId="0" fontId="43" fillId="13" borderId="23" xfId="0" applyFont="1" applyFill="1" applyBorder="1"/>
    <xf numFmtId="0" fontId="43" fillId="13" borderId="24" xfId="0" applyFont="1" applyFill="1" applyBorder="1"/>
    <xf numFmtId="0" fontId="43" fillId="13" borderId="25" xfId="0" applyFont="1" applyFill="1" applyBorder="1"/>
    <xf numFmtId="0" fontId="43" fillId="13" borderId="26" xfId="0" applyFont="1" applyFill="1" applyBorder="1"/>
    <xf numFmtId="177" fontId="43" fillId="13" borderId="0" xfId="0" applyNumberFormat="1" applyFont="1" applyFill="1"/>
    <xf numFmtId="0" fontId="43" fillId="13" borderId="19" xfId="0" applyFont="1" applyFill="1" applyBorder="1"/>
    <xf numFmtId="0" fontId="43" fillId="13" borderId="27" xfId="0" applyFont="1" applyFill="1" applyBorder="1"/>
    <xf numFmtId="177" fontId="43" fillId="14" borderId="22" xfId="0" applyNumberFormat="1" applyFont="1" applyFill="1" applyBorder="1" applyAlignment="1" applyProtection="1">
      <alignment horizontal="center"/>
      <protection locked="0"/>
    </xf>
    <xf numFmtId="171" fontId="43" fillId="13" borderId="0" xfId="0" applyNumberFormat="1" applyFont="1" applyFill="1" applyBorder="1" applyAlignment="1">
      <alignment horizontal="center"/>
    </xf>
    <xf numFmtId="0" fontId="43" fillId="0" borderId="0" xfId="0" applyFont="1" applyBorder="1"/>
    <xf numFmtId="0" fontId="43" fillId="0" borderId="0" xfId="0" applyFont="1" applyBorder="1" applyAlignment="1">
      <alignment horizontal="centerContinuous"/>
    </xf>
    <xf numFmtId="0" fontId="43" fillId="13" borderId="28" xfId="0" applyFont="1" applyFill="1" applyBorder="1"/>
    <xf numFmtId="0" fontId="43" fillId="13" borderId="12" xfId="0" applyFont="1" applyFill="1" applyBorder="1"/>
    <xf numFmtId="0" fontId="43" fillId="13" borderId="29" xfId="0" applyFont="1" applyFill="1" applyBorder="1"/>
    <xf numFmtId="178" fontId="43" fillId="13" borderId="0" xfId="0" applyNumberFormat="1" applyFont="1" applyFill="1" applyBorder="1" applyAlignment="1">
      <alignment horizontal="center"/>
    </xf>
    <xf numFmtId="5" fontId="43" fillId="13" borderId="25" xfId="0" applyNumberFormat="1" applyFont="1" applyFill="1" applyBorder="1" applyAlignment="1">
      <alignment horizontal="center"/>
    </xf>
    <xf numFmtId="0" fontId="43" fillId="13" borderId="25" xfId="0" applyFont="1" applyFill="1" applyBorder="1" applyAlignment="1">
      <alignment horizontal="center"/>
    </xf>
    <xf numFmtId="171" fontId="43" fillId="13" borderId="25" xfId="0" applyNumberFormat="1" applyFont="1" applyFill="1" applyBorder="1" applyAlignment="1">
      <alignment horizontal="center"/>
    </xf>
    <xf numFmtId="178" fontId="43" fillId="13" borderId="25" xfId="0" applyNumberFormat="1" applyFont="1" applyFill="1" applyBorder="1" applyAlignment="1">
      <alignment horizontal="center"/>
    </xf>
    <xf numFmtId="0" fontId="43" fillId="13" borderId="0" xfId="0" applyFont="1" applyFill="1" applyAlignment="1">
      <alignment horizontal="center" wrapText="1"/>
    </xf>
    <xf numFmtId="0" fontId="43" fillId="13" borderId="20" xfId="0" applyFont="1" applyFill="1" applyBorder="1" applyAlignment="1"/>
    <xf numFmtId="0" fontId="43" fillId="13" borderId="21" xfId="0" applyFont="1" applyFill="1" applyBorder="1" applyAlignment="1"/>
    <xf numFmtId="0" fontId="43" fillId="13" borderId="27" xfId="0" applyFont="1" applyFill="1" applyBorder="1" applyAlignment="1"/>
    <xf numFmtId="0" fontId="43" fillId="13" borderId="23" xfId="0" applyFont="1" applyFill="1" applyBorder="1" applyAlignment="1"/>
    <xf numFmtId="0" fontId="43" fillId="13" borderId="28" xfId="0" applyFont="1" applyFill="1" applyBorder="1" applyAlignment="1"/>
    <xf numFmtId="0" fontId="43" fillId="13" borderId="12" xfId="0" applyFont="1" applyFill="1" applyBorder="1" applyAlignment="1"/>
    <xf numFmtId="0" fontId="43" fillId="13" borderId="29" xfId="0" applyFont="1" applyFill="1" applyBorder="1" applyAlignment="1"/>
    <xf numFmtId="166" fontId="43" fillId="13" borderId="0" xfId="0" applyNumberFormat="1" applyFont="1" applyFill="1" applyBorder="1" applyAlignment="1">
      <alignment horizontal="center"/>
    </xf>
    <xf numFmtId="0" fontId="43" fillId="13" borderId="24" xfId="0" applyFont="1" applyFill="1" applyBorder="1" applyAlignment="1"/>
    <xf numFmtId="5" fontId="43" fillId="13" borderId="0" xfId="0" applyNumberFormat="1" applyFont="1" applyFill="1" applyBorder="1" applyAlignment="1">
      <alignment horizontal="center"/>
    </xf>
    <xf numFmtId="171" fontId="43" fillId="14" borderId="4" xfId="0" applyNumberFormat="1" applyFont="1" applyFill="1" applyBorder="1" applyAlignment="1" applyProtection="1">
      <alignment horizontal="center"/>
      <protection locked="0"/>
    </xf>
    <xf numFmtId="178" fontId="43" fillId="13" borderId="0" xfId="0" applyNumberFormat="1" applyFont="1" applyFill="1" applyBorder="1"/>
    <xf numFmtId="0" fontId="43" fillId="15" borderId="0" xfId="0" applyFont="1" applyFill="1"/>
    <xf numFmtId="0" fontId="3" fillId="13" borderId="9" xfId="0" applyFont="1" applyFill="1" applyBorder="1" applyAlignment="1" applyProtection="1">
      <alignment vertical="center"/>
    </xf>
    <xf numFmtId="177" fontId="3" fillId="13" borderId="7" xfId="0" applyNumberFormat="1" applyFont="1" applyFill="1" applyBorder="1" applyAlignment="1" applyProtection="1">
      <alignment horizontal="center" vertical="center"/>
    </xf>
    <xf numFmtId="177" fontId="15" fillId="13" borderId="9" xfId="0" applyNumberFormat="1" applyFont="1" applyFill="1" applyBorder="1" applyAlignment="1" applyProtection="1">
      <alignment horizontal="center" vertical="center"/>
    </xf>
    <xf numFmtId="0" fontId="15" fillId="13" borderId="0" xfId="0" applyFont="1" applyFill="1" applyBorder="1" applyAlignment="1" applyProtection="1">
      <alignment vertical="center"/>
    </xf>
    <xf numFmtId="177" fontId="15" fillId="13" borderId="15" xfId="0" applyNumberFormat="1" applyFont="1" applyFill="1" applyBorder="1" applyAlignment="1" applyProtection="1">
      <alignment horizontal="center" vertical="center"/>
    </xf>
    <xf numFmtId="177" fontId="15" fillId="13" borderId="9" xfId="0" applyNumberFormat="1" applyFont="1" applyFill="1" applyBorder="1" applyAlignment="1" applyProtection="1">
      <alignment vertical="center"/>
    </xf>
    <xf numFmtId="0" fontId="27" fillId="0" borderId="0" xfId="0" applyFont="1" applyAlignment="1">
      <alignment wrapText="1"/>
    </xf>
    <xf numFmtId="0" fontId="43" fillId="16" borderId="0" xfId="0" applyFont="1" applyFill="1"/>
    <xf numFmtId="0" fontId="51" fillId="16" borderId="0" xfId="0" applyFont="1" applyFill="1" applyAlignment="1">
      <alignment horizontal="center" wrapText="1"/>
    </xf>
    <xf numFmtId="0" fontId="43" fillId="16" borderId="0" xfId="0" applyFont="1" applyFill="1" applyBorder="1"/>
    <xf numFmtId="0" fontId="43" fillId="16" borderId="0" xfId="0" applyFont="1" applyFill="1" applyAlignment="1"/>
    <xf numFmtId="0" fontId="44" fillId="0" borderId="0" xfId="0" applyFont="1" applyAlignment="1">
      <alignment horizontal="center"/>
    </xf>
    <xf numFmtId="0" fontId="5" fillId="0" borderId="0" xfId="0" applyFont="1" applyAlignment="1">
      <alignment wrapText="1"/>
    </xf>
    <xf numFmtId="0" fontId="45" fillId="0" borderId="0" xfId="10" applyFont="1" applyAlignment="1" applyProtection="1"/>
    <xf numFmtId="177" fontId="15" fillId="12" borderId="15" xfId="0" applyNumberFormat="1" applyFont="1" applyFill="1" applyBorder="1" applyAlignment="1" applyProtection="1">
      <alignment horizontal="center" vertical="center"/>
    </xf>
    <xf numFmtId="0" fontId="15" fillId="12" borderId="4" xfId="0" applyFont="1" applyFill="1" applyBorder="1" applyAlignment="1" applyProtection="1">
      <alignment vertical="center"/>
    </xf>
    <xf numFmtId="171" fontId="5" fillId="9" borderId="3" xfId="0" applyNumberFormat="1"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 fontId="5" fillId="2" borderId="1" xfId="0" applyNumberFormat="1" applyFont="1" applyFill="1" applyBorder="1" applyAlignment="1" applyProtection="1">
      <alignment horizontal="right" vertical="center"/>
      <protection locked="0"/>
    </xf>
    <xf numFmtId="37" fontId="5" fillId="3" borderId="0" xfId="0" applyNumberFormat="1" applyFont="1" applyFill="1" applyBorder="1" applyAlignment="1" applyProtection="1">
      <alignment horizontal="left"/>
    </xf>
    <xf numFmtId="37" fontId="5" fillId="3" borderId="4" xfId="0" applyNumberFormat="1" applyFont="1" applyFill="1" applyBorder="1" applyAlignment="1" applyProtection="1">
      <alignment vertical="center"/>
      <protection locked="0"/>
    </xf>
    <xf numFmtId="0" fontId="51" fillId="13" borderId="0" xfId="0" applyFont="1" applyFill="1" applyAlignment="1">
      <alignment horizontal="center" wrapText="1"/>
    </xf>
    <xf numFmtId="0" fontId="51" fillId="13" borderId="0" xfId="0" applyFont="1" applyFill="1" applyAlignment="1">
      <alignment horizontal="center"/>
    </xf>
    <xf numFmtId="177" fontId="43" fillId="13" borderId="0" xfId="0" applyNumberFormat="1" applyFont="1" applyFill="1" applyAlignment="1">
      <alignment horizontal="center"/>
    </xf>
    <xf numFmtId="177" fontId="43" fillId="14" borderId="4" xfId="0" applyNumberFormat="1" applyFont="1" applyFill="1" applyBorder="1" applyAlignment="1" applyProtection="1">
      <alignment horizontal="center"/>
      <protection locked="0"/>
    </xf>
    <xf numFmtId="0" fontId="43" fillId="13" borderId="0" xfId="0" applyFont="1" applyFill="1" applyBorder="1" applyAlignment="1"/>
    <xf numFmtId="0" fontId="43" fillId="13" borderId="26" xfId="0" applyFont="1" applyFill="1" applyBorder="1" applyAlignment="1"/>
    <xf numFmtId="0" fontId="43" fillId="13" borderId="0" xfId="0" applyFont="1" applyFill="1" applyBorder="1" applyAlignment="1">
      <alignment horizontal="center"/>
    </xf>
    <xf numFmtId="177" fontId="43" fillId="13" borderId="0" xfId="0" applyNumberFormat="1" applyFont="1" applyFill="1" applyBorder="1" applyAlignment="1">
      <alignment horizontal="center"/>
    </xf>
    <xf numFmtId="0" fontId="43" fillId="13" borderId="12" xfId="0" applyFont="1" applyFill="1" applyBorder="1" applyAlignment="1">
      <alignment horizontal="center"/>
    </xf>
    <xf numFmtId="0" fontId="51" fillId="13" borderId="27" xfId="0" applyFont="1" applyFill="1" applyBorder="1" applyAlignment="1">
      <alignment horizontal="centerContinuous" vertical="center"/>
    </xf>
    <xf numFmtId="177" fontId="51" fillId="13" borderId="0" xfId="0" applyNumberFormat="1" applyFont="1" applyFill="1" applyBorder="1" applyAlignment="1">
      <alignment horizontal="centerContinuous" vertical="center"/>
    </xf>
    <xf numFmtId="0" fontId="51" fillId="13" borderId="0" xfId="0" applyFont="1" applyFill="1" applyBorder="1" applyAlignment="1">
      <alignment horizontal="centerContinuous" vertical="center"/>
    </xf>
    <xf numFmtId="171" fontId="51" fillId="13" borderId="0" xfId="0" applyNumberFormat="1" applyFont="1" applyFill="1" applyBorder="1" applyAlignment="1" applyProtection="1">
      <alignment horizontal="centerContinuous" vertical="center"/>
      <protection locked="0"/>
    </xf>
    <xf numFmtId="178" fontId="51" fillId="13" borderId="0" xfId="0" applyNumberFormat="1" applyFont="1" applyFill="1" applyBorder="1" applyAlignment="1">
      <alignment horizontal="centerContinuous" vertical="center"/>
    </xf>
    <xf numFmtId="0" fontId="51" fillId="13" borderId="23" xfId="0" applyFont="1" applyFill="1" applyBorder="1" applyAlignment="1">
      <alignment horizontal="centerContinuous" vertical="center"/>
    </xf>
    <xf numFmtId="0" fontId="51" fillId="13" borderId="27" xfId="0" applyFont="1" applyFill="1" applyBorder="1" applyAlignment="1">
      <alignment horizontal="centerContinuous"/>
    </xf>
    <xf numFmtId="177" fontId="51" fillId="13" borderId="0" xfId="0" applyNumberFormat="1" applyFont="1" applyFill="1" applyBorder="1" applyAlignment="1">
      <alignment horizontal="centerContinuous"/>
    </xf>
    <xf numFmtId="0" fontId="51" fillId="13" borderId="0" xfId="0" applyFont="1" applyFill="1" applyBorder="1" applyAlignment="1">
      <alignment horizontal="centerContinuous"/>
    </xf>
    <xf numFmtId="171" fontId="51" fillId="13" borderId="0" xfId="0" applyNumberFormat="1" applyFont="1" applyFill="1" applyBorder="1" applyAlignment="1" applyProtection="1">
      <alignment horizontal="centerContinuous"/>
      <protection locked="0"/>
    </xf>
    <xf numFmtId="178" fontId="51" fillId="13" borderId="0" xfId="0" applyNumberFormat="1" applyFont="1" applyFill="1" applyBorder="1" applyAlignment="1">
      <alignment horizontal="centerContinuous"/>
    </xf>
    <xf numFmtId="0" fontId="51" fillId="13" borderId="23" xfId="0" applyFont="1" applyFill="1" applyBorder="1" applyAlignment="1">
      <alignment horizontal="centerContinuous"/>
    </xf>
    <xf numFmtId="177" fontId="43" fillId="0" borderId="0" xfId="0" applyNumberFormat="1" applyFont="1"/>
    <xf numFmtId="177" fontId="43" fillId="13" borderId="25" xfId="0" applyNumberFormat="1" applyFont="1" applyFill="1" applyBorder="1" applyAlignment="1">
      <alignment horizontal="center"/>
    </xf>
    <xf numFmtId="171" fontId="43" fillId="13" borderId="25" xfId="0" applyNumberFormat="1" applyFont="1" applyFill="1" applyBorder="1" applyAlignment="1" applyProtection="1">
      <alignment horizontal="center"/>
      <protection locked="0"/>
    </xf>
    <xf numFmtId="178" fontId="43" fillId="13" borderId="25" xfId="0" applyNumberFormat="1" applyFont="1" applyFill="1" applyBorder="1"/>
    <xf numFmtId="171" fontId="43" fillId="13" borderId="0" xfId="0" applyNumberFormat="1" applyFont="1" applyFill="1" applyBorder="1" applyAlignment="1" applyProtection="1">
      <alignment horizontal="center"/>
      <protection locked="0"/>
    </xf>
    <xf numFmtId="177" fontId="43" fillId="13" borderId="20" xfId="0" applyNumberFormat="1" applyFont="1" applyFill="1" applyBorder="1" applyAlignment="1">
      <alignment horizontal="center"/>
    </xf>
    <xf numFmtId="0" fontId="43" fillId="13" borderId="20" xfId="0" applyFont="1" applyFill="1" applyBorder="1" applyAlignment="1">
      <alignment horizontal="center"/>
    </xf>
    <xf numFmtId="171" fontId="43" fillId="13" borderId="20" xfId="0" applyNumberFormat="1" applyFont="1" applyFill="1" applyBorder="1" applyAlignment="1" applyProtection="1">
      <alignment horizontal="center"/>
      <protection locked="0"/>
    </xf>
    <xf numFmtId="178" fontId="43" fillId="13" borderId="20" xfId="0" applyNumberFormat="1" applyFont="1" applyFill="1" applyBorder="1"/>
    <xf numFmtId="177" fontId="43" fillId="13" borderId="0" xfId="0" applyNumberFormat="1" applyFont="1" applyFill="1" applyBorder="1" applyAlignment="1" applyProtection="1">
      <alignment horizontal="center"/>
      <protection locked="0"/>
    </xf>
    <xf numFmtId="177" fontId="5" fillId="12" borderId="7" xfId="0" applyNumberFormat="1" applyFont="1" applyFill="1" applyBorder="1" applyAlignment="1" applyProtection="1">
      <alignment horizontal="center"/>
    </xf>
    <xf numFmtId="177" fontId="5" fillId="12" borderId="10" xfId="0" applyNumberFormat="1" applyFont="1" applyFill="1" applyBorder="1" applyAlignment="1" applyProtection="1">
      <alignment horizontal="center" vertical="center"/>
    </xf>
    <xf numFmtId="0" fontId="6" fillId="0" borderId="0" xfId="71" applyFont="1" applyAlignment="1">
      <alignment vertical="center"/>
    </xf>
    <xf numFmtId="3" fontId="5" fillId="4" borderId="1" xfId="37" applyNumberFormat="1" applyFont="1" applyFill="1" applyBorder="1" applyAlignment="1" applyProtection="1">
      <alignment horizontal="right"/>
      <protection locked="0"/>
    </xf>
    <xf numFmtId="37" fontId="5" fillId="2" borderId="4" xfId="37" applyNumberFormat="1" applyFont="1" applyFill="1" applyBorder="1" applyAlignment="1" applyProtection="1">
      <alignment horizontal="left"/>
      <protection locked="0"/>
    </xf>
    <xf numFmtId="37" fontId="5" fillId="2" borderId="8" xfId="37" applyNumberFormat="1" applyFont="1" applyFill="1" applyBorder="1" applyAlignment="1" applyProtection="1">
      <alignment horizontal="left"/>
      <protection locked="0"/>
    </xf>
    <xf numFmtId="0" fontId="5" fillId="4" borderId="6" xfId="37" applyFont="1" applyFill="1" applyBorder="1" applyProtection="1">
      <protection locked="0"/>
    </xf>
    <xf numFmtId="0" fontId="5" fillId="0" borderId="0" xfId="383" applyFont="1" applyAlignment="1">
      <alignment horizontal="left" vertical="center"/>
    </xf>
    <xf numFmtId="49" fontId="5" fillId="2" borderId="0" xfId="383" applyNumberFormat="1" applyFont="1" applyFill="1" applyAlignment="1" applyProtection="1">
      <alignment horizontal="left" vertical="center"/>
      <protection locked="0"/>
    </xf>
    <xf numFmtId="0" fontId="5" fillId="2" borderId="0" xfId="383" applyFont="1" applyFill="1" applyAlignment="1" applyProtection="1">
      <alignment horizontal="left" vertical="center"/>
      <protection locked="0"/>
    </xf>
    <xf numFmtId="0" fontId="5" fillId="4" borderId="6" xfId="78" applyFont="1" applyFill="1" applyBorder="1" applyProtection="1">
      <protection locked="0"/>
    </xf>
    <xf numFmtId="3" fontId="5" fillId="4" borderId="11" xfId="37" applyNumberFormat="1" applyFont="1" applyFill="1" applyBorder="1" applyAlignment="1" applyProtection="1">
      <alignment horizontal="right"/>
      <protection locked="0"/>
    </xf>
    <xf numFmtId="0" fontId="5" fillId="3" borderId="0" xfId="10" applyNumberFormat="1" applyFont="1" applyFill="1" applyBorder="1" applyAlignment="1" applyProtection="1">
      <alignment horizontal="right" vertical="center"/>
    </xf>
    <xf numFmtId="0" fontId="5" fillId="3" borderId="0" xfId="0" applyNumberFormat="1" applyFont="1" applyFill="1" applyBorder="1" applyAlignment="1" applyProtection="1">
      <alignment horizontal="right" vertical="center"/>
    </xf>
    <xf numFmtId="0" fontId="43" fillId="13" borderId="0" xfId="0" applyFont="1" applyFill="1" applyBorder="1" applyAlignment="1">
      <alignment horizontal="center"/>
    </xf>
    <xf numFmtId="0" fontId="53" fillId="0" borderId="0" xfId="0" applyFont="1"/>
    <xf numFmtId="0" fontId="54" fillId="0" borderId="0" xfId="383" applyFont="1"/>
    <xf numFmtId="174" fontId="55" fillId="0" borderId="0" xfId="383" applyNumberFormat="1" applyFont="1" applyAlignment="1">
      <alignment horizontal="left" vertical="center"/>
    </xf>
    <xf numFmtId="0" fontId="55" fillId="0" borderId="0" xfId="383" applyNumberFormat="1" applyFont="1" applyAlignment="1">
      <alignment horizontal="left" vertical="center"/>
    </xf>
    <xf numFmtId="1" fontId="55" fillId="0" borderId="0" xfId="383" applyNumberFormat="1" applyFont="1" applyAlignment="1">
      <alignment horizontal="left" vertical="center"/>
    </xf>
    <xf numFmtId="0" fontId="56" fillId="0" borderId="0" xfId="383" applyFont="1" applyAlignment="1">
      <alignment horizontal="left" vertical="center"/>
    </xf>
    <xf numFmtId="49" fontId="5" fillId="0" borderId="0" xfId="382" applyNumberFormat="1" applyFont="1" applyFill="1" applyAlignment="1" applyProtection="1">
      <alignment horizontal="left" vertical="center"/>
      <protection locked="0"/>
    </xf>
    <xf numFmtId="0" fontId="0" fillId="0" borderId="0" xfId="0" applyAlignment="1" applyProtection="1">
      <alignment vertical="center"/>
      <protection locked="0"/>
    </xf>
    <xf numFmtId="0" fontId="5" fillId="3" borderId="0" xfId="0" applyFont="1" applyFill="1" applyBorder="1" applyAlignment="1" applyProtection="1">
      <alignment horizontal="center" vertical="center"/>
    </xf>
    <xf numFmtId="3" fontId="5" fillId="3" borderId="0" xfId="0" applyNumberFormat="1" applyFont="1" applyFill="1" applyBorder="1" applyAlignment="1" applyProtection="1">
      <alignment horizontal="center" vertical="center"/>
    </xf>
    <xf numFmtId="3" fontId="5" fillId="17" borderId="1" xfId="0" applyNumberFormat="1" applyFont="1" applyFill="1" applyBorder="1" applyAlignment="1" applyProtection="1">
      <alignment vertical="center"/>
    </xf>
    <xf numFmtId="0" fontId="3" fillId="13" borderId="4" xfId="0" applyFont="1" applyFill="1" applyBorder="1" applyAlignment="1" applyProtection="1">
      <alignment horizontal="left" vertical="center"/>
    </xf>
    <xf numFmtId="0" fontId="39" fillId="13" borderId="4" xfId="0" applyFont="1" applyFill="1" applyBorder="1" applyAlignment="1" applyProtection="1">
      <alignment horizontal="center" vertical="center"/>
    </xf>
    <xf numFmtId="0" fontId="0" fillId="13" borderId="10" xfId="0" applyFill="1" applyBorder="1" applyAlignment="1" applyProtection="1">
      <alignment vertical="center"/>
    </xf>
    <xf numFmtId="179" fontId="5" fillId="3" borderId="1" xfId="0" applyNumberFormat="1" applyFont="1" applyFill="1" applyBorder="1" applyAlignment="1" applyProtection="1">
      <alignment horizontal="right" vertical="center"/>
    </xf>
    <xf numFmtId="3" fontId="5" fillId="3" borderId="30" xfId="0" applyNumberFormat="1" applyFont="1" applyFill="1" applyBorder="1" applyAlignment="1" applyProtection="1">
      <alignment horizontal="right" vertical="center"/>
    </xf>
    <xf numFmtId="0" fontId="5" fillId="3" borderId="30" xfId="0" applyFont="1" applyFill="1" applyBorder="1" applyAlignment="1" applyProtection="1">
      <alignment horizontal="right" vertical="center"/>
    </xf>
    <xf numFmtId="3" fontId="5" fillId="9" borderId="3" xfId="0" applyNumberFormat="1" applyFont="1" applyFill="1" applyBorder="1" applyAlignment="1" applyProtection="1">
      <alignment horizontal="right" vertical="center"/>
    </xf>
    <xf numFmtId="171" fontId="5" fillId="3" borderId="1" xfId="37" applyNumberFormat="1"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37" fontId="5" fillId="3" borderId="0" xfId="0" applyNumberFormat="1" applyFont="1" applyFill="1" applyBorder="1" applyAlignment="1" applyProtection="1">
      <alignment horizontal="centerContinuous" vertical="center"/>
      <protection locked="0"/>
    </xf>
    <xf numFmtId="0" fontId="5" fillId="3" borderId="0" xfId="0" applyFont="1" applyFill="1" applyBorder="1" applyAlignment="1" applyProtection="1">
      <alignment horizontal="centerContinuous" vertical="center"/>
      <protection locked="0"/>
    </xf>
    <xf numFmtId="177" fontId="40" fillId="12" borderId="11" xfId="0" applyNumberFormat="1" applyFont="1" applyFill="1" applyBorder="1" applyAlignment="1" applyProtection="1">
      <alignment horizontal="center" vertical="center"/>
    </xf>
    <xf numFmtId="0" fontId="39" fillId="13" borderId="0" xfId="0" applyFont="1" applyFill="1" applyBorder="1" applyAlignment="1" applyProtection="1">
      <alignment horizontal="center" vertical="center"/>
    </xf>
    <xf numFmtId="0" fontId="0" fillId="13" borderId="7" xfId="0" applyFill="1" applyBorder="1" applyAlignment="1" applyProtection="1">
      <alignment vertical="center"/>
    </xf>
    <xf numFmtId="0" fontId="5" fillId="12" borderId="0" xfId="0" applyFont="1" applyFill="1" applyBorder="1" applyAlignment="1" applyProtection="1">
      <alignment vertical="center"/>
    </xf>
    <xf numFmtId="0" fontId="3" fillId="12" borderId="0" xfId="0" applyFont="1" applyFill="1" applyBorder="1" applyAlignment="1" applyProtection="1">
      <alignment vertical="center"/>
    </xf>
    <xf numFmtId="0" fontId="40" fillId="13" borderId="11" xfId="0" applyFont="1" applyFill="1" applyBorder="1" applyAlignment="1" applyProtection="1">
      <alignment horizontal="center" vertical="center"/>
    </xf>
    <xf numFmtId="0" fontId="40" fillId="12" borderId="9" xfId="0" applyFont="1" applyFill="1" applyBorder="1" applyAlignment="1" applyProtection="1">
      <alignment vertical="center"/>
    </xf>
    <xf numFmtId="177" fontId="40" fillId="12" borderId="10" xfId="0" applyNumberFormat="1" applyFont="1" applyFill="1" applyBorder="1" applyAlignment="1" applyProtection="1">
      <alignment horizontal="center" vertical="center"/>
      <protection locked="0"/>
    </xf>
    <xf numFmtId="180" fontId="5" fillId="2" borderId="1" xfId="0" applyNumberFormat="1" applyFont="1" applyFill="1" applyBorder="1" applyAlignment="1" applyProtection="1">
      <alignment vertical="center"/>
      <protection locked="0"/>
    </xf>
    <xf numFmtId="180" fontId="5" fillId="4" borderId="1" xfId="0" applyNumberFormat="1" applyFont="1" applyFill="1" applyBorder="1" applyAlignment="1" applyProtection="1">
      <alignment vertical="center"/>
      <protection locked="0"/>
    </xf>
    <xf numFmtId="6" fontId="3" fillId="0" borderId="0" xfId="0" applyNumberFormat="1"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5" fillId="13" borderId="0" xfId="24" applyFont="1" applyFill="1"/>
    <xf numFmtId="0" fontId="2" fillId="0" borderId="0" xfId="24"/>
    <xf numFmtId="0" fontId="5" fillId="13" borderId="0" xfId="24" applyFont="1" applyFill="1" applyAlignment="1">
      <alignment vertical="center"/>
    </xf>
    <xf numFmtId="37" fontId="5" fillId="13" borderId="0" xfId="24" applyNumberFormat="1" applyFont="1" applyFill="1" applyAlignment="1">
      <alignment vertical="center"/>
    </xf>
    <xf numFmtId="0" fontId="5" fillId="13" borderId="4" xfId="24" applyFont="1" applyFill="1" applyBorder="1" applyAlignment="1">
      <alignment vertical="center"/>
    </xf>
    <xf numFmtId="0" fontId="5" fillId="13" borderId="0" xfId="24" applyFont="1" applyFill="1" applyAlignment="1">
      <alignment horizontal="center" vertical="center"/>
    </xf>
    <xf numFmtId="0" fontId="6" fillId="13" borderId="0" xfId="24" applyFont="1" applyFill="1" applyAlignment="1">
      <alignment horizontal="center" vertical="center"/>
    </xf>
    <xf numFmtId="177" fontId="5" fillId="13" borderId="0" xfId="24" applyNumberFormat="1" applyFont="1" applyFill="1" applyAlignment="1">
      <alignment vertical="center"/>
    </xf>
    <xf numFmtId="177" fontId="5" fillId="13" borderId="12" xfId="24" applyNumberFormat="1" applyFont="1" applyFill="1" applyBorder="1" applyAlignment="1">
      <alignment vertical="center"/>
    </xf>
    <xf numFmtId="6" fontId="5" fillId="13" borderId="0" xfId="24" applyNumberFormat="1" applyFont="1" applyFill="1" applyBorder="1" applyAlignment="1">
      <alignment vertical="center"/>
    </xf>
    <xf numFmtId="177" fontId="5" fillId="13" borderId="0" xfId="24" applyNumberFormat="1" applyFont="1" applyFill="1" applyBorder="1" applyAlignment="1">
      <alignment vertical="center"/>
    </xf>
    <xf numFmtId="0" fontId="57" fillId="12" borderId="0" xfId="24" applyFont="1" applyFill="1" applyAlignment="1">
      <alignment vertical="center"/>
    </xf>
    <xf numFmtId="0" fontId="57" fillId="13" borderId="0" xfId="24" applyFont="1" applyFill="1" applyAlignment="1">
      <alignment horizontal="center" vertical="center"/>
    </xf>
    <xf numFmtId="0" fontId="57" fillId="12" borderId="0" xfId="24" applyFont="1" applyFill="1" applyAlignment="1">
      <alignment horizontal="center" vertical="center"/>
    </xf>
    <xf numFmtId="0" fontId="5" fillId="13" borderId="0" xfId="19" applyFont="1" applyFill="1"/>
    <xf numFmtId="0" fontId="2" fillId="13" borderId="0" xfId="24" applyFill="1"/>
    <xf numFmtId="0" fontId="4" fillId="13" borderId="0" xfId="19" applyFont="1" applyFill="1"/>
    <xf numFmtId="0" fontId="2" fillId="13" borderId="0" xfId="19" applyFill="1"/>
    <xf numFmtId="0" fontId="5" fillId="13" borderId="0" xfId="24" applyFont="1" applyFill="1" applyAlignment="1">
      <alignment horizontal="left" vertical="center"/>
    </xf>
    <xf numFmtId="0" fontId="5" fillId="13" borderId="0" xfId="24" applyFont="1" applyFill="1" applyAlignment="1">
      <alignment horizontal="right" vertical="center"/>
    </xf>
    <xf numFmtId="171" fontId="5" fillId="13" borderId="0" xfId="24" applyNumberFormat="1" applyFont="1" applyFill="1" applyAlignment="1">
      <alignment horizontal="center" vertical="center"/>
    </xf>
    <xf numFmtId="181" fontId="57" fillId="13" borderId="0" xfId="24" applyNumberFormat="1" applyFont="1" applyFill="1" applyAlignment="1">
      <alignment horizontal="center" vertical="center"/>
    </xf>
    <xf numFmtId="0" fontId="58" fillId="12" borderId="0" xfId="24" applyFont="1" applyFill="1" applyAlignment="1">
      <alignment horizontal="center" vertical="center"/>
    </xf>
    <xf numFmtId="0" fontId="47" fillId="0" borderId="0" xfId="0" applyFont="1" applyAlignment="1" applyProtection="1">
      <alignment horizontal="right" vertical="center"/>
    </xf>
    <xf numFmtId="0" fontId="59" fillId="0" borderId="0" xfId="0" applyFont="1"/>
    <xf numFmtId="37" fontId="3" fillId="3" borderId="15" xfId="0" applyNumberFormat="1" applyFont="1" applyFill="1" applyBorder="1" applyAlignment="1" applyProtection="1">
      <alignment horizontal="left" vertical="center"/>
    </xf>
    <xf numFmtId="37" fontId="5" fillId="3" borderId="7" xfId="0" applyNumberFormat="1" applyFont="1" applyFill="1" applyBorder="1" applyAlignment="1" applyProtection="1">
      <alignment horizontal="right" vertical="center"/>
    </xf>
    <xf numFmtId="171" fontId="40" fillId="13" borderId="11" xfId="0" applyNumberFormat="1" applyFont="1" applyFill="1" applyBorder="1" applyAlignment="1" applyProtection="1">
      <alignment horizontal="center" vertical="center"/>
    </xf>
    <xf numFmtId="177" fontId="3" fillId="12" borderId="15" xfId="0" applyNumberFormat="1" applyFont="1" applyFill="1" applyBorder="1" applyAlignment="1" applyProtection="1">
      <alignment horizontal="center" vertical="center"/>
    </xf>
    <xf numFmtId="0" fontId="3" fillId="12" borderId="4" xfId="0" applyFont="1" applyFill="1" applyBorder="1" applyAlignment="1" applyProtection="1">
      <alignment vertical="center"/>
    </xf>
    <xf numFmtId="0" fontId="46" fillId="13" borderId="4" xfId="0" applyFont="1" applyFill="1" applyBorder="1" applyAlignment="1">
      <alignment horizontal="left" vertical="center"/>
    </xf>
    <xf numFmtId="177" fontId="5" fillId="0" borderId="0" xfId="0" applyNumberFormat="1" applyFont="1" applyProtection="1">
      <protection locked="0"/>
    </xf>
    <xf numFmtId="0" fontId="59" fillId="0" borderId="0" xfId="0" applyFont="1" applyProtection="1">
      <protection locked="0"/>
    </xf>
    <xf numFmtId="10" fontId="5" fillId="4" borderId="1" xfId="0" applyNumberFormat="1" applyFont="1" applyFill="1" applyBorder="1" applyAlignment="1" applyProtection="1">
      <alignment vertical="center"/>
      <protection locked="0"/>
    </xf>
    <xf numFmtId="0" fontId="5" fillId="13" borderId="0" xfId="0" applyFont="1" applyFill="1" applyAlignment="1" applyProtection="1">
      <alignment vertical="center"/>
      <protection locked="0"/>
    </xf>
    <xf numFmtId="0" fontId="9" fillId="0" borderId="0" xfId="10" applyAlignment="1" applyProtection="1"/>
    <xf numFmtId="180" fontId="5" fillId="13" borderId="0" xfId="37" applyNumberFormat="1" applyFont="1" applyFill="1" applyAlignment="1">
      <alignment horizontal="center" vertical="center"/>
    </xf>
    <xf numFmtId="3" fontId="4" fillId="11" borderId="5" xfId="0" applyNumberFormat="1" applyFont="1" applyFill="1" applyBorder="1" applyAlignment="1" applyProtection="1">
      <alignment vertical="center"/>
    </xf>
    <xf numFmtId="171" fontId="3" fillId="13" borderId="9" xfId="0" applyNumberFormat="1" applyFont="1" applyFill="1" applyBorder="1" applyAlignment="1" applyProtection="1">
      <alignment horizontal="center" vertical="center"/>
    </xf>
    <xf numFmtId="171" fontId="3" fillId="13" borderId="6" xfId="0" applyNumberFormat="1" applyFont="1" applyFill="1" applyBorder="1" applyAlignment="1" applyProtection="1">
      <alignment horizontal="center" vertical="center"/>
    </xf>
    <xf numFmtId="171" fontId="3" fillId="12" borderId="15" xfId="0" applyNumberFormat="1" applyFont="1" applyFill="1" applyBorder="1" applyAlignment="1" applyProtection="1">
      <alignment horizontal="center" vertical="center"/>
    </xf>
    <xf numFmtId="171" fontId="3" fillId="12" borderId="6" xfId="0" applyNumberFormat="1" applyFont="1" applyFill="1" applyBorder="1" applyAlignment="1" applyProtection="1">
      <alignment horizontal="center" vertical="center"/>
    </xf>
    <xf numFmtId="0" fontId="5" fillId="13" borderId="7" xfId="0" applyFont="1" applyFill="1" applyBorder="1" applyProtection="1">
      <protection locked="0"/>
    </xf>
    <xf numFmtId="3" fontId="5" fillId="11" borderId="5" xfId="0" applyNumberFormat="1" applyFont="1" applyFill="1" applyBorder="1" applyAlignment="1" applyProtection="1">
      <alignment vertical="center"/>
    </xf>
    <xf numFmtId="171" fontId="5" fillId="13" borderId="0" xfId="0" applyNumberFormat="1" applyFont="1" applyFill="1" applyBorder="1" applyAlignment="1" applyProtection="1">
      <alignment vertical="center"/>
    </xf>
    <xf numFmtId="171" fontId="3" fillId="0" borderId="0" xfId="10" applyNumberFormat="1" applyFont="1" applyFill="1" applyBorder="1" applyAlignment="1" applyProtection="1">
      <alignment horizontal="center" vertical="center"/>
    </xf>
    <xf numFmtId="1" fontId="5" fillId="3"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1" fontId="5" fillId="3" borderId="6" xfId="0" applyNumberFormat="1" applyFont="1" applyFill="1" applyBorder="1" applyAlignment="1" applyProtection="1">
      <alignment horizontal="centerContinuous" vertical="center"/>
    </xf>
    <xf numFmtId="37" fontId="5" fillId="3" borderId="6" xfId="0" applyNumberFormat="1" applyFont="1" applyFill="1" applyBorder="1" applyAlignment="1" applyProtection="1">
      <alignment horizontal="centerContinuous" vertical="center"/>
    </xf>
    <xf numFmtId="0" fontId="5" fillId="3" borderId="8" xfId="0" applyFont="1" applyFill="1" applyBorder="1" applyAlignment="1" applyProtection="1">
      <alignment horizontal="centerContinuous" vertical="center"/>
    </xf>
    <xf numFmtId="166" fontId="5" fillId="3" borderId="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center" vertical="center"/>
    </xf>
    <xf numFmtId="3" fontId="5" fillId="9" borderId="1" xfId="0" applyNumberFormat="1" applyFont="1" applyFill="1" applyBorder="1" applyAlignment="1" applyProtection="1">
      <alignment horizontal="center" vertical="center"/>
    </xf>
    <xf numFmtId="166" fontId="5" fillId="9" borderId="1" xfId="0"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xf>
    <xf numFmtId="172" fontId="5" fillId="3" borderId="0" xfId="0" applyNumberFormat="1" applyFont="1" applyFill="1" applyBorder="1" applyAlignment="1" applyProtection="1">
      <alignment horizontal="center" vertical="center"/>
    </xf>
    <xf numFmtId="171" fontId="5" fillId="3" borderId="0" xfId="0" applyNumberFormat="1" applyFont="1" applyFill="1" applyBorder="1" applyAlignment="1" applyProtection="1">
      <alignment horizontal="center" vertical="center"/>
    </xf>
    <xf numFmtId="166" fontId="5" fillId="3" borderId="0" xfId="0" applyNumberFormat="1" applyFont="1" applyFill="1" applyBorder="1" applyAlignment="1" applyProtection="1">
      <alignment horizontal="center" vertical="center"/>
    </xf>
    <xf numFmtId="3" fontId="5" fillId="9" borderId="5" xfId="0" applyNumberFormat="1" applyFont="1" applyFill="1" applyBorder="1" applyAlignment="1" applyProtection="1">
      <alignment horizontal="center" vertical="center"/>
    </xf>
    <xf numFmtId="1" fontId="5" fillId="3" borderId="0" xfId="0" applyNumberFormat="1" applyFont="1" applyFill="1" applyAlignment="1" applyProtection="1">
      <alignment horizontal="center" vertical="center"/>
    </xf>
    <xf numFmtId="165" fontId="5" fillId="3" borderId="0" xfId="0" applyNumberFormat="1" applyFont="1" applyFill="1" applyAlignment="1" applyProtection="1">
      <alignment horizontal="center" vertical="center"/>
    </xf>
    <xf numFmtId="3" fontId="5" fillId="3" borderId="3" xfId="0" applyNumberFormat="1" applyFont="1" applyFill="1" applyBorder="1" applyAlignment="1" applyProtection="1">
      <alignment horizontal="fill" vertical="center"/>
    </xf>
    <xf numFmtId="0" fontId="5" fillId="3" borderId="0" xfId="0" applyFont="1" applyFill="1" applyAlignment="1" applyProtection="1">
      <alignment horizontal="center" vertical="center"/>
    </xf>
    <xf numFmtId="0" fontId="5" fillId="13" borderId="0" xfId="0" applyFont="1" applyFill="1" applyAlignment="1" applyProtection="1">
      <alignment horizontal="center" vertical="center"/>
    </xf>
    <xf numFmtId="1" fontId="6" fillId="3" borderId="4"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protection locked="0"/>
    </xf>
    <xf numFmtId="37" fontId="5" fillId="12" borderId="10" xfId="0" applyNumberFormat="1" applyFont="1" applyFill="1" applyBorder="1" applyAlignment="1" applyProtection="1">
      <alignment horizontal="right" vertical="center"/>
    </xf>
    <xf numFmtId="0" fontId="5" fillId="12" borderId="10" xfId="0" applyFont="1" applyFill="1" applyBorder="1" applyProtection="1">
      <protection locked="0"/>
    </xf>
    <xf numFmtId="0" fontId="5" fillId="13" borderId="7" xfId="0" applyFont="1" applyFill="1" applyBorder="1" applyAlignment="1" applyProtection="1">
      <alignment vertical="center"/>
      <protection locked="0"/>
    </xf>
    <xf numFmtId="0" fontId="3" fillId="3" borderId="7" xfId="10" applyNumberFormat="1" applyFont="1" applyFill="1" applyBorder="1" applyAlignment="1" applyProtection="1">
      <alignment horizontal="center" vertical="center"/>
    </xf>
    <xf numFmtId="0" fontId="5" fillId="0" borderId="0" xfId="71" applyFont="1" applyAlignment="1">
      <alignment vertical="center"/>
    </xf>
    <xf numFmtId="37" fontId="5" fillId="13" borderId="0" xfId="0" applyNumberFormat="1" applyFont="1" applyFill="1" applyAlignment="1" applyProtection="1">
      <alignment horizontal="left" vertical="center"/>
    </xf>
    <xf numFmtId="0" fontId="5" fillId="0" borderId="0" xfId="19" applyFont="1" applyAlignment="1">
      <alignment vertical="center" wrapText="1"/>
    </xf>
    <xf numFmtId="0" fontId="9" fillId="18" borderId="0" xfId="10" applyFill="1" applyAlignment="1" applyProtection="1"/>
    <xf numFmtId="0" fontId="48" fillId="18" borderId="0" xfId="338" applyFill="1"/>
    <xf numFmtId="0" fontId="5" fillId="0" borderId="0" xfId="97" applyFont="1" applyAlignment="1">
      <alignment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0" fontId="60"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40" fillId="13" borderId="6" xfId="0" applyFont="1" applyFill="1" applyBorder="1" applyAlignment="1">
      <alignment horizontal="centerContinuous" vertical="center"/>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0" fontId="5"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5" fillId="6" borderId="12" xfId="0" applyFont="1" applyFill="1" applyBorder="1" applyAlignment="1">
      <alignment vertical="center" wrapText="1"/>
    </xf>
    <xf numFmtId="0" fontId="0" fillId="0" borderId="12" xfId="0" applyBorder="1" applyAlignment="1">
      <alignment vertical="center" wrapText="1"/>
    </xf>
    <xf numFmtId="0" fontId="4"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5" fillId="0" borderId="0" xfId="382" applyFont="1" applyAlignment="1">
      <alignment horizontal="left" vertical="center" wrapText="1"/>
    </xf>
    <xf numFmtId="0" fontId="30" fillId="0" borderId="0" xfId="382" applyAlignment="1">
      <alignment horizontal="left" vertical="center" wrapText="1"/>
    </xf>
    <xf numFmtId="0" fontId="12" fillId="0" borderId="0" xfId="382" applyFont="1" applyAlignment="1">
      <alignment horizontal="left" vertical="center"/>
    </xf>
    <xf numFmtId="37" fontId="5" fillId="3" borderId="0" xfId="0" applyNumberFormat="1" applyFont="1" applyFill="1" applyAlignment="1" applyProtection="1">
      <alignment horizontal="center" vertical="center"/>
    </xf>
    <xf numFmtId="1" fontId="5" fillId="3" borderId="2" xfId="0"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5" fillId="3" borderId="0" xfId="0" applyFont="1" applyFill="1" applyBorder="1" applyAlignment="1" applyProtection="1">
      <alignment horizontal="center" vertical="center"/>
      <protection locked="0"/>
    </xf>
    <xf numFmtId="0" fontId="0" fillId="0" borderId="0" xfId="0" applyBorder="1" applyAlignment="1">
      <alignment vertical="center"/>
    </xf>
    <xf numFmtId="0" fontId="3" fillId="5" borderId="2" xfId="0" applyFont="1" applyFill="1" applyBorder="1" applyAlignment="1" applyProtection="1">
      <alignment horizontal="center" vertical="center" wrapText="1"/>
    </xf>
    <xf numFmtId="0" fontId="0" fillId="0" borderId="3" xfId="0" applyBorder="1" applyAlignment="1">
      <alignment vertical="center" wrapText="1"/>
    </xf>
    <xf numFmtId="0" fontId="5" fillId="3" borderId="0" xfId="0" applyFont="1" applyFill="1" applyAlignment="1">
      <alignment horizontal="center" vertical="center"/>
    </xf>
    <xf numFmtId="0" fontId="7"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37" fontId="5" fillId="3" borderId="6" xfId="0" applyNumberFormat="1" applyFont="1" applyFill="1" applyBorder="1" applyAlignment="1" applyProtection="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5" fillId="3" borderId="15" xfId="0" applyFont="1" applyFill="1" applyBorder="1" applyAlignment="1" applyProtection="1">
      <alignment horizontal="center" vertical="center"/>
    </xf>
    <xf numFmtId="0" fontId="0" fillId="0" borderId="10"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10" xfId="0" applyBorder="1" applyAlignment="1" applyProtection="1">
      <alignment horizontal="center" vertical="center"/>
    </xf>
    <xf numFmtId="0" fontId="12" fillId="13" borderId="0" xfId="399" applyFont="1" applyFill="1" applyAlignment="1">
      <alignment horizontal="center"/>
    </xf>
    <xf numFmtId="0" fontId="2" fillId="13" borderId="0" xfId="24" applyFill="1" applyAlignment="1">
      <alignment horizontal="center"/>
    </xf>
    <xf numFmtId="0" fontId="4" fillId="13" borderId="0" xfId="24" applyFont="1" applyFill="1" applyAlignment="1">
      <alignment horizontal="center" vertical="center"/>
    </xf>
    <xf numFmtId="0" fontId="12" fillId="13" borderId="0" xfId="24" applyFont="1" applyFill="1" applyAlignment="1">
      <alignment horizontal="center" vertical="center"/>
    </xf>
    <xf numFmtId="0" fontId="5" fillId="13" borderId="0" xfId="24" applyFont="1" applyFill="1" applyAlignment="1">
      <alignment vertical="center" wrapText="1"/>
    </xf>
    <xf numFmtId="0" fontId="39"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5" fillId="3"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3" fontId="5" fillId="3" borderId="12" xfId="37" applyNumberFormat="1" applyFont="1" applyFill="1" applyBorder="1" applyAlignment="1" applyProtection="1">
      <alignment horizontal="right" vertical="center"/>
    </xf>
    <xf numFmtId="0" fontId="2" fillId="0" borderId="14" xfId="37" applyBorder="1" applyAlignment="1">
      <alignment horizontal="right" vertical="center"/>
    </xf>
    <xf numFmtId="0" fontId="5" fillId="3" borderId="0" xfId="37" applyFont="1" applyFill="1" applyAlignment="1" applyProtection="1">
      <alignment horizontal="right" vertical="center"/>
    </xf>
    <xf numFmtId="0" fontId="5" fillId="0" borderId="7" xfId="37" applyFont="1" applyBorder="1" applyAlignment="1">
      <alignment horizontal="right" vertical="center"/>
    </xf>
    <xf numFmtId="171" fontId="39" fillId="13" borderId="17" xfId="0" applyNumberFormat="1" applyFont="1" applyFill="1" applyBorder="1" applyAlignment="1" applyProtection="1">
      <alignment horizontal="center"/>
    </xf>
    <xf numFmtId="0" fontId="14" fillId="0" borderId="12" xfId="0" applyFont="1" applyBorder="1" applyAlignment="1"/>
    <xf numFmtId="0" fontId="14" fillId="0" borderId="14" xfId="0" applyFont="1" applyBorder="1" applyAlignment="1"/>
    <xf numFmtId="0" fontId="0" fillId="0" borderId="0" xfId="0" applyFill="1" applyBorder="1" applyAlignment="1">
      <alignment vertical="center"/>
    </xf>
    <xf numFmtId="0" fontId="39" fillId="13" borderId="17" xfId="0" applyFont="1" applyFill="1" applyBorder="1" applyAlignment="1" applyProtection="1">
      <alignment horizontal="center" vertical="center"/>
    </xf>
    <xf numFmtId="0" fontId="0" fillId="0" borderId="12" xfId="0" applyBorder="1" applyAlignment="1">
      <alignment vertical="center"/>
    </xf>
    <xf numFmtId="0" fontId="0" fillId="0" borderId="14" xfId="0" applyBorder="1" applyAlignment="1">
      <alignment vertical="center"/>
    </xf>
    <xf numFmtId="37" fontId="3" fillId="3" borderId="6" xfId="0" applyNumberFormat="1" applyFont="1" applyFill="1" applyBorder="1" applyAlignment="1" applyProtection="1">
      <alignment horizontal="left" vertical="center"/>
    </xf>
    <xf numFmtId="0" fontId="46" fillId="0" borderId="8" xfId="0" applyFont="1" applyBorder="1" applyAlignment="1">
      <alignment horizontal="left" vertical="center"/>
    </xf>
    <xf numFmtId="0" fontId="0" fillId="0" borderId="12" xfId="0" applyBorder="1" applyAlignment="1">
      <alignment horizontal="center" vertical="center"/>
    </xf>
    <xf numFmtId="0" fontId="0" fillId="0" borderId="14" xfId="0" applyBorder="1" applyAlignment="1"/>
    <xf numFmtId="0" fontId="46" fillId="0" borderId="12" xfId="0" applyFont="1" applyBorder="1" applyAlignment="1">
      <alignment horizontal="center" vertical="center"/>
    </xf>
    <xf numFmtId="0" fontId="5" fillId="3" borderId="0" xfId="0" applyNumberFormat="1" applyFont="1" applyFill="1" applyBorder="1" applyAlignment="1" applyProtection="1">
      <alignment horizontal="right" vertical="center"/>
    </xf>
    <xf numFmtId="0" fontId="0" fillId="0" borderId="0" xfId="0" applyAlignment="1">
      <alignment vertical="center"/>
    </xf>
    <xf numFmtId="0" fontId="4" fillId="3" borderId="6" xfId="0" applyFont="1" applyFill="1" applyBorder="1" applyAlignment="1">
      <alignment vertical="center"/>
    </xf>
    <xf numFmtId="0" fontId="4" fillId="3" borderId="11" xfId="0" applyFont="1" applyFill="1" applyBorder="1" applyAlignment="1">
      <alignment vertical="center"/>
    </xf>
    <xf numFmtId="0" fontId="12" fillId="13" borderId="17" xfId="0" applyFont="1" applyFill="1"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12" fillId="13" borderId="12" xfId="0" applyFont="1" applyFill="1" applyBorder="1" applyAlignment="1" applyProtection="1">
      <alignment horizontal="center"/>
    </xf>
    <xf numFmtId="0" fontId="12" fillId="13" borderId="14" xfId="0" applyFont="1" applyFill="1" applyBorder="1" applyAlignment="1" applyProtection="1">
      <alignment horizontal="center"/>
    </xf>
    <xf numFmtId="0" fontId="0" fillId="0" borderId="12" xfId="0" applyBorder="1" applyAlignment="1">
      <alignment horizontal="center"/>
    </xf>
    <xf numFmtId="0" fontId="0" fillId="0" borderId="14" xfId="0" applyBorder="1" applyAlignment="1">
      <alignment horizontal="center"/>
    </xf>
    <xf numFmtId="49" fontId="4" fillId="3" borderId="4" xfId="0" applyNumberFormat="1" applyFont="1" applyFill="1" applyBorder="1" applyAlignment="1" applyProtection="1">
      <alignment horizontal="center" vertical="center"/>
      <protection locked="0"/>
    </xf>
    <xf numFmtId="0" fontId="31" fillId="0" borderId="4" xfId="0" applyFont="1" applyBorder="1" applyAlignment="1" applyProtection="1">
      <alignment horizontal="center" vertical="center"/>
      <protection locked="0"/>
    </xf>
    <xf numFmtId="37" fontId="5" fillId="3" borderId="0" xfId="0" applyNumberFormat="1" applyFont="1" applyFill="1" applyAlignment="1" applyProtection="1">
      <alignment horizontal="center"/>
    </xf>
    <xf numFmtId="37" fontId="4" fillId="3" borderId="0" xfId="0" applyNumberFormat="1" applyFont="1" applyFill="1" applyAlignment="1" applyProtection="1">
      <alignment horizontal="center"/>
    </xf>
    <xf numFmtId="37" fontId="12" fillId="3" borderId="0" xfId="0" applyNumberFormat="1" applyFont="1" applyFill="1" applyAlignment="1" applyProtection="1">
      <alignment horizontal="center"/>
    </xf>
    <xf numFmtId="49" fontId="5" fillId="3" borderId="0" xfId="0" applyNumberFormat="1" applyFont="1" applyFill="1" applyAlignment="1" applyProtection="1">
      <alignment horizontal="center"/>
    </xf>
    <xf numFmtId="0" fontId="4" fillId="3" borderId="0" xfId="0" applyFont="1" applyFill="1" applyAlignment="1" applyProtection="1">
      <alignment horizontal="center"/>
    </xf>
    <xf numFmtId="0" fontId="0" fillId="0" borderId="0" xfId="0" applyAlignment="1" applyProtection="1"/>
    <xf numFmtId="0" fontId="0" fillId="0" borderId="0" xfId="0" applyAlignment="1"/>
    <xf numFmtId="0" fontId="5" fillId="3" borderId="0" xfId="0" applyFont="1" applyFill="1" applyAlignment="1">
      <alignment horizontal="right"/>
    </xf>
    <xf numFmtId="0" fontId="0" fillId="0" borderId="0" xfId="0" applyAlignment="1">
      <alignment horizontal="right"/>
    </xf>
    <xf numFmtId="0" fontId="5" fillId="3" borderId="0" xfId="0" applyFont="1" applyFill="1" applyAlignment="1" applyProtection="1">
      <alignment horizontal="right"/>
    </xf>
    <xf numFmtId="0" fontId="8" fillId="0" borderId="0" xfId="0" applyFont="1" applyAlignment="1">
      <alignment horizontal="left" vertical="justify" wrapText="1"/>
    </xf>
    <xf numFmtId="0" fontId="8"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right"/>
    </xf>
    <xf numFmtId="166" fontId="43" fillId="14" borderId="4" xfId="0" applyNumberFormat="1" applyFont="1" applyFill="1" applyBorder="1" applyAlignment="1" applyProtection="1">
      <alignment horizontal="center"/>
      <protection locked="0"/>
    </xf>
    <xf numFmtId="178" fontId="43" fillId="13" borderId="0" xfId="0" applyNumberFormat="1" applyFont="1" applyFill="1" applyBorder="1" applyAlignment="1">
      <alignment horizontal="center"/>
    </xf>
    <xf numFmtId="178" fontId="43" fillId="0" borderId="23" xfId="0" applyNumberFormat="1" applyFont="1" applyBorder="1" applyAlignment="1">
      <alignment horizontal="center"/>
    </xf>
    <xf numFmtId="5" fontId="43" fillId="13" borderId="4" xfId="0" applyNumberFormat="1" applyFont="1" applyFill="1" applyBorder="1" applyAlignment="1">
      <alignment horizontal="center"/>
    </xf>
    <xf numFmtId="0" fontId="43" fillId="13" borderId="0" xfId="0" applyFont="1" applyFill="1" applyBorder="1" applyAlignment="1">
      <alignment horizontal="center"/>
    </xf>
    <xf numFmtId="177" fontId="43" fillId="14" borderId="4" xfId="0" applyNumberFormat="1" applyFont="1" applyFill="1" applyBorder="1" applyAlignment="1" applyProtection="1">
      <alignment horizontal="center"/>
      <protection locked="0"/>
    </xf>
    <xf numFmtId="177" fontId="43" fillId="13" borderId="0" xfId="0" applyNumberFormat="1" applyFont="1" applyFill="1" applyBorder="1" applyAlignment="1">
      <alignment horizontal="center"/>
    </xf>
    <xf numFmtId="0" fontId="51" fillId="13" borderId="20" xfId="0" applyFont="1" applyFill="1" applyBorder="1" applyAlignment="1">
      <alignment horizontal="center" vertical="center"/>
    </xf>
    <xf numFmtId="0" fontId="43" fillId="13" borderId="0" xfId="0" applyFont="1" applyFill="1" applyBorder="1" applyAlignment="1">
      <alignment wrapText="1"/>
    </xf>
    <xf numFmtId="0" fontId="43" fillId="0" borderId="0" xfId="0" applyFont="1" applyAlignment="1">
      <alignment wrapText="1"/>
    </xf>
    <xf numFmtId="0" fontId="43" fillId="0" borderId="23" xfId="0" applyFont="1" applyBorder="1" applyAlignment="1">
      <alignment horizontal="center"/>
    </xf>
    <xf numFmtId="0" fontId="43" fillId="0" borderId="20" xfId="0" applyFont="1" applyBorder="1" applyAlignment="1">
      <alignment horizontal="center" vertical="center"/>
    </xf>
    <xf numFmtId="0" fontId="43" fillId="13" borderId="27" xfId="0" applyFont="1" applyFill="1" applyBorder="1" applyAlignment="1">
      <alignment vertical="top" wrapText="1"/>
    </xf>
    <xf numFmtId="0" fontId="43" fillId="0" borderId="0" xfId="0" applyFont="1" applyAlignment="1">
      <alignment vertical="top" wrapText="1"/>
    </xf>
    <xf numFmtId="0" fontId="43" fillId="0" borderId="23" xfId="0" applyFont="1" applyBorder="1" applyAlignment="1">
      <alignment vertical="top" wrapText="1"/>
    </xf>
    <xf numFmtId="0" fontId="51" fillId="13" borderId="0" xfId="0" applyFont="1" applyFill="1" applyBorder="1" applyAlignment="1">
      <alignment horizontal="center" wrapText="1"/>
    </xf>
    <xf numFmtId="0" fontId="43" fillId="0" borderId="0" xfId="0" applyFont="1" applyAlignment="1">
      <alignment horizontal="center" wrapText="1"/>
    </xf>
    <xf numFmtId="0" fontId="51" fillId="13" borderId="0" xfId="0" applyFont="1" applyFill="1" applyAlignment="1">
      <alignment horizontal="center" wrapText="1"/>
    </xf>
    <xf numFmtId="0" fontId="43" fillId="13" borderId="12" xfId="0" applyFont="1" applyFill="1" applyBorder="1" applyAlignment="1">
      <alignment horizontal="center"/>
    </xf>
    <xf numFmtId="0" fontId="51" fillId="0" borderId="0" xfId="0" applyFont="1" applyAlignment="1">
      <alignment horizontal="center" wrapText="1"/>
    </xf>
    <xf numFmtId="0" fontId="43" fillId="13" borderId="0" xfId="0" applyFont="1" applyFill="1" applyAlignment="1">
      <alignment wrapText="1"/>
    </xf>
    <xf numFmtId="0" fontId="51" fillId="13" borderId="0" xfId="0" applyFont="1" applyFill="1" applyAlignment="1">
      <alignment horizontal="center"/>
    </xf>
    <xf numFmtId="0" fontId="51" fillId="13" borderId="0" xfId="0" applyFont="1" applyFill="1" applyAlignment="1">
      <alignment horizontal="center" vertical="center"/>
    </xf>
    <xf numFmtId="0" fontId="51" fillId="0" borderId="0" xfId="0" applyFont="1" applyAlignment="1">
      <alignment horizontal="center" vertical="center"/>
    </xf>
    <xf numFmtId="177" fontId="43" fillId="13" borderId="0" xfId="0" applyNumberFormat="1" applyFont="1" applyFill="1" applyAlignment="1"/>
    <xf numFmtId="177" fontId="43" fillId="13" borderId="0" xfId="0" applyNumberFormat="1" applyFont="1" applyFill="1" applyAlignment="1">
      <alignment horizontal="center"/>
    </xf>
    <xf numFmtId="177" fontId="43" fillId="14" borderId="22" xfId="0" applyNumberFormat="1" applyFont="1" applyFill="1" applyBorder="1" applyAlignment="1" applyProtection="1">
      <alignment horizontal="center"/>
      <protection locked="0"/>
    </xf>
    <xf numFmtId="0" fontId="43" fillId="13" borderId="0" xfId="0" applyFont="1" applyFill="1" applyBorder="1" applyAlignment="1"/>
    <xf numFmtId="0" fontId="43" fillId="0" borderId="0" xfId="0" applyFont="1" applyBorder="1" applyAlignment="1"/>
    <xf numFmtId="0" fontId="43" fillId="13" borderId="25" xfId="0" applyFont="1" applyFill="1" applyBorder="1" applyAlignment="1"/>
    <xf numFmtId="0" fontId="43" fillId="13" borderId="26" xfId="0" applyFont="1" applyFill="1" applyBorder="1" applyAlignment="1"/>
  </cellXfs>
  <cellStyles count="409">
    <cellStyle name="Comma" xfId="1" builtinId="3"/>
    <cellStyle name="Comma 11 2" xfId="2"/>
    <cellStyle name="Comma 16" xfId="3"/>
    <cellStyle name="Comma 16 2" xfId="4"/>
    <cellStyle name="Comma 16 3" xfId="5"/>
    <cellStyle name="Comma 2 2" xfId="6"/>
    <cellStyle name="Comma 4 2" xfId="7"/>
    <cellStyle name="Comma 7 2" xfId="8"/>
    <cellStyle name="Comma 7 3" xfId="9"/>
    <cellStyle name="Hyperlink" xfId="10" builtinId="8"/>
    <cellStyle name="Hyperlink 2 2" xfId="11"/>
    <cellStyle name="Hyperlink 3 2" xfId="12"/>
    <cellStyle name="Hyperlink 3 3" xfId="13"/>
    <cellStyle name="Hyperlink 4 2" xfId="14"/>
    <cellStyle name="Hyperlink 7 2" xfId="15"/>
    <cellStyle name="Hyperlink 8 2" xfId="16"/>
    <cellStyle name="Normal" xfId="0" builtinId="0"/>
    <cellStyle name="Normal 10" xfId="17"/>
    <cellStyle name="Normal 10 2" xfId="18"/>
    <cellStyle name="Normal 10 2 2" xfId="19"/>
    <cellStyle name="Normal 10 2 2 2" xfId="20"/>
    <cellStyle name="Normal 10 2 2 3" xfId="21"/>
    <cellStyle name="Normal 10 3" xfId="22"/>
    <cellStyle name="Normal 10 4" xfId="23"/>
    <cellStyle name="Normal 10 5" xfId="24"/>
    <cellStyle name="Normal 10 6" xfId="25"/>
    <cellStyle name="Normal 10 7" xfId="26"/>
    <cellStyle name="Normal 11" xfId="27"/>
    <cellStyle name="Normal 11 2" xfId="28"/>
    <cellStyle name="Normal 11 2 2" xfId="29"/>
    <cellStyle name="Normal 11 3" xfId="30"/>
    <cellStyle name="Normal 11 4" xfId="31"/>
    <cellStyle name="Normal 11 5" xfId="32"/>
    <cellStyle name="Normal 12" xfId="33"/>
    <cellStyle name="Normal 12 10" xfId="34"/>
    <cellStyle name="Normal 12 11" xfId="35"/>
    <cellStyle name="Normal 12 12" xfId="36"/>
    <cellStyle name="Normal 12 2" xfId="37"/>
    <cellStyle name="Normal 12 2 2" xfId="38"/>
    <cellStyle name="Normal 12 3" xfId="39"/>
    <cellStyle name="Normal 12 4" xfId="40"/>
    <cellStyle name="Normal 12 5" xfId="41"/>
    <cellStyle name="Normal 12 6" xfId="42"/>
    <cellStyle name="Normal 12 7" xfId="43"/>
    <cellStyle name="Normal 12 8" xfId="44"/>
    <cellStyle name="Normal 12 9" xfId="45"/>
    <cellStyle name="Normal 13" xfId="46"/>
    <cellStyle name="Normal 13 10" xfId="47"/>
    <cellStyle name="Normal 13 11" xfId="48"/>
    <cellStyle name="Normal 13 12" xfId="49"/>
    <cellStyle name="Normal 13 2" xfId="50"/>
    <cellStyle name="Normal 13 2 2" xfId="51"/>
    <cellStyle name="Normal 13 3" xfId="52"/>
    <cellStyle name="Normal 13 4" xfId="53"/>
    <cellStyle name="Normal 13 5" xfId="54"/>
    <cellStyle name="Normal 13 6" xfId="55"/>
    <cellStyle name="Normal 13 7" xfId="56"/>
    <cellStyle name="Normal 13 8" xfId="57"/>
    <cellStyle name="Normal 13 9" xfId="58"/>
    <cellStyle name="Normal 14" xfId="59"/>
    <cellStyle name="Normal 14 2" xfId="60"/>
    <cellStyle name="Normal 14 3" xfId="61"/>
    <cellStyle name="Normal 14 4" xfId="62"/>
    <cellStyle name="Normal 14 5" xfId="63"/>
    <cellStyle name="Normal 14 6" xfId="64"/>
    <cellStyle name="Normal 14 7" xfId="65"/>
    <cellStyle name="Normal 15" xfId="66"/>
    <cellStyle name="Normal 15 2" xfId="67"/>
    <cellStyle name="Normal 15 3" xfId="68"/>
    <cellStyle name="Normal 15 4" xfId="69"/>
    <cellStyle name="Normal 16" xfId="70"/>
    <cellStyle name="Normal 16 2" xfId="71"/>
    <cellStyle name="Normal 16 3" xfId="72"/>
    <cellStyle name="Normal 16 4" xfId="73"/>
    <cellStyle name="Normal 17" xfId="74"/>
    <cellStyle name="Normal 17 2" xfId="75"/>
    <cellStyle name="Normal 17 3" xfId="76"/>
    <cellStyle name="Normal 17 4" xfId="77"/>
    <cellStyle name="Normal 18 2" xfId="78"/>
    <cellStyle name="Normal 18 2 2" xfId="79"/>
    <cellStyle name="Normal 18 2 3" xfId="80"/>
    <cellStyle name="Normal 18 3" xfId="81"/>
    <cellStyle name="Normal 18 4" xfId="82"/>
    <cellStyle name="Normal 18 5" xfId="83"/>
    <cellStyle name="Normal 18 6" xfId="84"/>
    <cellStyle name="Normal 18 7" xfId="85"/>
    <cellStyle name="Normal 18 8" xfId="86"/>
    <cellStyle name="Normal 19" xfId="87"/>
    <cellStyle name="Normal 19 2" xfId="88"/>
    <cellStyle name="Normal 19 2 2" xfId="89"/>
    <cellStyle name="Normal 19 2 3" xfId="90"/>
    <cellStyle name="Normal 19 3" xfId="91"/>
    <cellStyle name="Normal 19 4" xfId="92"/>
    <cellStyle name="Normal 19 5" xfId="93"/>
    <cellStyle name="Normal 19 6" xfId="94"/>
    <cellStyle name="Normal 19 7" xfId="95"/>
    <cellStyle name="Normal 2" xfId="96"/>
    <cellStyle name="Normal 2 10" xfId="97"/>
    <cellStyle name="Normal 2 10 10" xfId="98"/>
    <cellStyle name="Normal 2 10 11" xfId="99"/>
    <cellStyle name="Normal 2 10 2" xfId="100"/>
    <cellStyle name="Normal 2 10 2 2" xfId="101"/>
    <cellStyle name="Normal 2 10 3" xfId="102"/>
    <cellStyle name="Normal 2 10 3 2" xfId="103"/>
    <cellStyle name="Normal 2 10 4" xfId="104"/>
    <cellStyle name="Normal 2 10 4 2" xfId="105"/>
    <cellStyle name="Normal 2 10 5" xfId="106"/>
    <cellStyle name="Normal 2 10 5 2" xfId="107"/>
    <cellStyle name="Normal 2 10 6" xfId="108"/>
    <cellStyle name="Normal 2 10 6 2" xfId="109"/>
    <cellStyle name="Normal 2 10 7" xfId="110"/>
    <cellStyle name="Normal 2 10 7 2" xfId="111"/>
    <cellStyle name="Normal 2 10 8" xfId="112"/>
    <cellStyle name="Normal 2 10 8 2" xfId="113"/>
    <cellStyle name="Normal 2 10 9" xfId="114"/>
    <cellStyle name="Normal 2 11" xfId="115"/>
    <cellStyle name="Normal 2 11 10" xfId="116"/>
    <cellStyle name="Normal 2 11 11" xfId="117"/>
    <cellStyle name="Normal 2 11 2" xfId="118"/>
    <cellStyle name="Normal 2 11 2 2" xfId="119"/>
    <cellStyle name="Normal 2 11 3" xfId="120"/>
    <cellStyle name="Normal 2 11 3 2" xfId="121"/>
    <cellStyle name="Normal 2 11 4" xfId="122"/>
    <cellStyle name="Normal 2 11 4 2" xfId="123"/>
    <cellStyle name="Normal 2 11 5" xfId="124"/>
    <cellStyle name="Normal 2 11 5 2" xfId="125"/>
    <cellStyle name="Normal 2 11 6" xfId="126"/>
    <cellStyle name="Normal 2 11 6 2" xfId="127"/>
    <cellStyle name="Normal 2 11 7" xfId="128"/>
    <cellStyle name="Normal 2 11 7 2" xfId="129"/>
    <cellStyle name="Normal 2 11 8" xfId="130"/>
    <cellStyle name="Normal 2 11 8 2" xfId="131"/>
    <cellStyle name="Normal 2 11 9" xfId="132"/>
    <cellStyle name="Normal 2 12" xfId="133"/>
    <cellStyle name="Normal 2 13" xfId="134"/>
    <cellStyle name="Normal 2 14" xfId="135"/>
    <cellStyle name="Normal 2 15" xfId="136"/>
    <cellStyle name="Normal 2 16" xfId="137"/>
    <cellStyle name="Normal 2 2" xfId="138"/>
    <cellStyle name="Normal 2 2 10" xfId="139"/>
    <cellStyle name="Normal 2 2 10 2" xfId="140"/>
    <cellStyle name="Normal 2 2 11" xfId="141"/>
    <cellStyle name="Normal 2 2 11 2" xfId="142"/>
    <cellStyle name="Normal 2 2 12" xfId="143"/>
    <cellStyle name="Normal 2 2 12 2" xfId="144"/>
    <cellStyle name="Normal 2 2 12 2 2" xfId="145"/>
    <cellStyle name="Normal 2 2 12 2 3" xfId="146"/>
    <cellStyle name="Normal 2 2 12 3" xfId="147"/>
    <cellStyle name="Normal 2 2 12 4" xfId="148"/>
    <cellStyle name="Normal 2 2 13" xfId="149"/>
    <cellStyle name="Normal 2 2 13 2" xfId="150"/>
    <cellStyle name="Normal 2 2 13 2 2" xfId="151"/>
    <cellStyle name="Normal 2 2 13 2 3" xfId="152"/>
    <cellStyle name="Normal 2 2 13 3" xfId="153"/>
    <cellStyle name="Normal 2 2 13 4" xfId="154"/>
    <cellStyle name="Normal 2 2 14" xfId="155"/>
    <cellStyle name="Normal 2 2 14 2" xfId="156"/>
    <cellStyle name="Normal 2 2 15" xfId="157"/>
    <cellStyle name="Normal 2 2 15 2" xfId="158"/>
    <cellStyle name="Normal 2 2 16" xfId="159"/>
    <cellStyle name="Normal 2 2 16 2" xfId="160"/>
    <cellStyle name="Normal 2 2 16 3" xfId="161"/>
    <cellStyle name="Normal 2 2 17" xfId="162"/>
    <cellStyle name="Normal 2 2 18" xfId="163"/>
    <cellStyle name="Normal 2 2 19" xfId="164"/>
    <cellStyle name="Normal 2 2 2" xfId="165"/>
    <cellStyle name="Normal 2 2 2 2" xfId="166"/>
    <cellStyle name="Normal 2 2 2 2 2" xfId="167"/>
    <cellStyle name="Normal 2 2 2 2 3" xfId="168"/>
    <cellStyle name="Normal 2 2 2 3" xfId="169"/>
    <cellStyle name="Normal 2 2 2 3 2" xfId="170"/>
    <cellStyle name="Normal 2 2 2 4" xfId="171"/>
    <cellStyle name="Normal 2 2 2 4 2" xfId="172"/>
    <cellStyle name="Normal 2 2 2 5" xfId="173"/>
    <cellStyle name="Normal 2 2 2 5 2" xfId="174"/>
    <cellStyle name="Normal 2 2 2 6" xfId="175"/>
    <cellStyle name="Normal 2 2 2 6 2" xfId="176"/>
    <cellStyle name="Normal 2 2 2 7" xfId="177"/>
    <cellStyle name="Normal 2 2 2 8" xfId="178"/>
    <cellStyle name="Normal 2 2 20" xfId="179"/>
    <cellStyle name="Normal 2 2 21" xfId="180"/>
    <cellStyle name="Normal 2 2 3" xfId="181"/>
    <cellStyle name="Normal 2 2 3 2" xfId="182"/>
    <cellStyle name="Normal 2 2 4" xfId="183"/>
    <cellStyle name="Normal 2 2 4 2" xfId="184"/>
    <cellStyle name="Normal 2 2 5" xfId="185"/>
    <cellStyle name="Normal 2 2 5 2" xfId="186"/>
    <cellStyle name="Normal 2 2 6" xfId="187"/>
    <cellStyle name="Normal 2 2 6 2" xfId="188"/>
    <cellStyle name="Normal 2 2 7" xfId="189"/>
    <cellStyle name="Normal 2 2 7 2" xfId="190"/>
    <cellStyle name="Normal 2 2 8" xfId="191"/>
    <cellStyle name="Normal 2 2 8 2" xfId="192"/>
    <cellStyle name="Normal 2 2 9" xfId="193"/>
    <cellStyle name="Normal 2 2 9 2" xfId="194"/>
    <cellStyle name="Normal 2 3" xfId="195"/>
    <cellStyle name="Normal 2 3 10" xfId="196"/>
    <cellStyle name="Normal 2 3 11" xfId="197"/>
    <cellStyle name="Normal 2 3 12" xfId="198"/>
    <cellStyle name="Normal 2 3 13" xfId="199"/>
    <cellStyle name="Normal 2 3 14" xfId="200"/>
    <cellStyle name="Normal 2 3 15" xfId="201"/>
    <cellStyle name="Normal 2 3 2" xfId="202"/>
    <cellStyle name="Normal 2 3 2 2" xfId="203"/>
    <cellStyle name="Normal 2 3 2 2 2" xfId="204"/>
    <cellStyle name="Normal 2 3 2 2 3" xfId="205"/>
    <cellStyle name="Normal 2 3 2 3" xfId="206"/>
    <cellStyle name="Normal 2 3 2 4" xfId="207"/>
    <cellStyle name="Normal 2 3 2 5" xfId="208"/>
    <cellStyle name="Normal 2 3 3" xfId="209"/>
    <cellStyle name="Normal 2 3 3 2" xfId="210"/>
    <cellStyle name="Normal 2 3 3 3" xfId="211"/>
    <cellStyle name="Normal 2 3 4" xfId="212"/>
    <cellStyle name="Normal 2 3 5" xfId="213"/>
    <cellStyle name="Normal 2 3 6" xfId="214"/>
    <cellStyle name="Normal 2 3 7" xfId="215"/>
    <cellStyle name="Normal 2 3 8" xfId="216"/>
    <cellStyle name="Normal 2 3 9" xfId="217"/>
    <cellStyle name="Normal 2 4" xfId="218"/>
    <cellStyle name="Normal 2 4 10" xfId="219"/>
    <cellStyle name="Normal 2 4 11" xfId="220"/>
    <cellStyle name="Normal 2 4 12" xfId="221"/>
    <cellStyle name="Normal 2 4 13" xfId="222"/>
    <cellStyle name="Normal 2 4 2" xfId="223"/>
    <cellStyle name="Normal 2 4 2 2" xfId="224"/>
    <cellStyle name="Normal 2 4 2 2 2" xfId="225"/>
    <cellStyle name="Normal 2 4 2 2 3" xfId="226"/>
    <cellStyle name="Normal 2 4 2 3" xfId="227"/>
    <cellStyle name="Normal 2 4 2 4" xfId="228"/>
    <cellStyle name="Normal 2 4 2 5" xfId="229"/>
    <cellStyle name="Normal 2 4 3" xfId="230"/>
    <cellStyle name="Normal 2 4 3 2" xfId="231"/>
    <cellStyle name="Normal 2 4 3 3" xfId="232"/>
    <cellStyle name="Normal 2 4 4" xfId="233"/>
    <cellStyle name="Normal 2 4 5" xfId="234"/>
    <cellStyle name="Normal 2 4 6" xfId="235"/>
    <cellStyle name="Normal 2 4 7" xfId="236"/>
    <cellStyle name="Normal 2 4 8" xfId="237"/>
    <cellStyle name="Normal 2 4 9" xfId="238"/>
    <cellStyle name="Normal 2 5" xfId="239"/>
    <cellStyle name="Normal 2 5 10" xfId="240"/>
    <cellStyle name="Normal 2 5 11" xfId="241"/>
    <cellStyle name="Normal 2 5 12" xfId="242"/>
    <cellStyle name="Normal 2 5 12 2" xfId="243"/>
    <cellStyle name="Normal 2 5 2" xfId="244"/>
    <cellStyle name="Normal 2 5 2 2" xfId="245"/>
    <cellStyle name="Normal 2 5 3" xfId="246"/>
    <cellStyle name="Normal 2 5 3 2" xfId="247"/>
    <cellStyle name="Normal 2 5 4" xfId="248"/>
    <cellStyle name="Normal 2 5 5" xfId="249"/>
    <cellStyle name="Normal 2 5 6" xfId="250"/>
    <cellStyle name="Normal 2 5 7" xfId="251"/>
    <cellStyle name="Normal 2 5 8" xfId="252"/>
    <cellStyle name="Normal 2 5 9" xfId="253"/>
    <cellStyle name="Normal 2 6" xfId="254"/>
    <cellStyle name="Normal 2 6 10" xfId="255"/>
    <cellStyle name="Normal 2 6 11" xfId="256"/>
    <cellStyle name="Normal 2 6 12" xfId="257"/>
    <cellStyle name="Normal 2 6 2" xfId="258"/>
    <cellStyle name="Normal 2 6 2 2" xfId="259"/>
    <cellStyle name="Normal 2 6 3" xfId="260"/>
    <cellStyle name="Normal 2 6 3 2" xfId="261"/>
    <cellStyle name="Normal 2 6 4" xfId="262"/>
    <cellStyle name="Normal 2 6 5" xfId="263"/>
    <cellStyle name="Normal 2 6 6" xfId="264"/>
    <cellStyle name="Normal 2 6 7" xfId="265"/>
    <cellStyle name="Normal 2 6 8" xfId="266"/>
    <cellStyle name="Normal 2 6 9" xfId="267"/>
    <cellStyle name="Normal 2 7" xfId="268"/>
    <cellStyle name="Normal 2 7 10" xfId="269"/>
    <cellStyle name="Normal 2 7 2" xfId="270"/>
    <cellStyle name="Normal 2 7 2 2" xfId="271"/>
    <cellStyle name="Normal 2 7 2 3" xfId="272"/>
    <cellStyle name="Normal 2 7 3" xfId="273"/>
    <cellStyle name="Normal 2 7 3 2" xfId="274"/>
    <cellStyle name="Normal 2 7 4" xfId="275"/>
    <cellStyle name="Normal 2 7 4 2" xfId="276"/>
    <cellStyle name="Normal 2 7 5" xfId="277"/>
    <cellStyle name="Normal 2 7 5 2" xfId="278"/>
    <cellStyle name="Normal 2 7 6" xfId="279"/>
    <cellStyle name="Normal 2 7 6 2" xfId="280"/>
    <cellStyle name="Normal 2 7 7" xfId="281"/>
    <cellStyle name="Normal 2 7 7 2" xfId="282"/>
    <cellStyle name="Normal 2 7 8" xfId="283"/>
    <cellStyle name="Normal 2 7 8 2" xfId="284"/>
    <cellStyle name="Normal 2 7 9" xfId="285"/>
    <cellStyle name="Normal 2 8" xfId="286"/>
    <cellStyle name="Normal 2 8 10" xfId="287"/>
    <cellStyle name="Normal 2 8 11" xfId="288"/>
    <cellStyle name="Normal 2 8 2" xfId="289"/>
    <cellStyle name="Normal 2 8 2 2" xfId="290"/>
    <cellStyle name="Normal 2 8 3" xfId="291"/>
    <cellStyle name="Normal 2 8 3 2" xfId="292"/>
    <cellStyle name="Normal 2 8 4" xfId="293"/>
    <cellStyle name="Normal 2 8 4 2" xfId="294"/>
    <cellStyle name="Normal 2 8 5" xfId="295"/>
    <cellStyle name="Normal 2 8 5 2" xfId="296"/>
    <cellStyle name="Normal 2 8 6" xfId="297"/>
    <cellStyle name="Normal 2 8 6 2" xfId="298"/>
    <cellStyle name="Normal 2 8 7" xfId="299"/>
    <cellStyle name="Normal 2 8 7 2" xfId="300"/>
    <cellStyle name="Normal 2 8 8" xfId="301"/>
    <cellStyle name="Normal 2 8 8 2" xfId="302"/>
    <cellStyle name="Normal 2 8 9" xfId="303"/>
    <cellStyle name="Normal 2 9" xfId="304"/>
    <cellStyle name="Normal 2 9 10" xfId="305"/>
    <cellStyle name="Normal 2 9 11" xfId="306"/>
    <cellStyle name="Normal 2 9 2" xfId="307"/>
    <cellStyle name="Normal 2 9 2 2" xfId="308"/>
    <cellStyle name="Normal 2 9 3" xfId="309"/>
    <cellStyle name="Normal 2 9 3 2" xfId="310"/>
    <cellStyle name="Normal 2 9 4" xfId="311"/>
    <cellStyle name="Normal 2 9 4 2" xfId="312"/>
    <cellStyle name="Normal 2 9 5" xfId="313"/>
    <cellStyle name="Normal 2 9 5 2" xfId="314"/>
    <cellStyle name="Normal 2 9 6" xfId="315"/>
    <cellStyle name="Normal 2 9 6 2" xfId="316"/>
    <cellStyle name="Normal 2 9 7" xfId="317"/>
    <cellStyle name="Normal 2 9 7 2" xfId="318"/>
    <cellStyle name="Normal 2 9 8" xfId="319"/>
    <cellStyle name="Normal 2 9 8 2" xfId="320"/>
    <cellStyle name="Normal 2 9 9" xfId="321"/>
    <cellStyle name="Normal 20" xfId="322"/>
    <cellStyle name="Normal 20 2" xfId="323"/>
    <cellStyle name="Normal 20 3" xfId="324"/>
    <cellStyle name="Normal 21 2"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xfId="339"/>
    <cellStyle name="Normal 3 2" xfId="340"/>
    <cellStyle name="Normal 3 2 2" xfId="341"/>
    <cellStyle name="Normal 3 2 2 2" xfId="342"/>
    <cellStyle name="Normal 3 2 2 3" xfId="343"/>
    <cellStyle name="Normal 3 2 3" xfId="344"/>
    <cellStyle name="Normal 3 2 4" xfId="345"/>
    <cellStyle name="Normal 3 2 5" xfId="346"/>
    <cellStyle name="Normal 3 3" xfId="347"/>
    <cellStyle name="Normal 3 3 2" xfId="348"/>
    <cellStyle name="Normal 3 3 2 2" xfId="349"/>
    <cellStyle name="Normal 3 3 2 3" xfId="350"/>
    <cellStyle name="Normal 3 3 3" xfId="351"/>
    <cellStyle name="Normal 3 3 4" xfId="352"/>
    <cellStyle name="Normal 3 4" xfId="353"/>
    <cellStyle name="Normal 3 5" xfId="354"/>
    <cellStyle name="Normal 3 6" xfId="355"/>
    <cellStyle name="Normal 3 7" xfId="356"/>
    <cellStyle name="Normal 3 8" xfId="357"/>
    <cellStyle name="Normal 3 9" xfId="358"/>
    <cellStyle name="Normal 4" xfId="359"/>
    <cellStyle name="Normal 4 2" xfId="360"/>
    <cellStyle name="Normal 4 2 2" xfId="361"/>
    <cellStyle name="Normal 4 2 2 2" xfId="362"/>
    <cellStyle name="Normal 4 2 3" xfId="363"/>
    <cellStyle name="Normal 4 2 4" xfId="364"/>
    <cellStyle name="Normal 4 3" xfId="365"/>
    <cellStyle name="Normal 4 3 2" xfId="366"/>
    <cellStyle name="Normal 4 3 3" xfId="367"/>
    <cellStyle name="Normal 4 4" xfId="368"/>
    <cellStyle name="Normal 4 5" xfId="369"/>
    <cellStyle name="Normal 4 6" xfId="370"/>
    <cellStyle name="Normal 5 2" xfId="371"/>
    <cellStyle name="Normal 5 3" xfId="372"/>
    <cellStyle name="Normal 5 3 2" xfId="373"/>
    <cellStyle name="Normal 5 3 3" xfId="374"/>
    <cellStyle name="Normal 5 4" xfId="375"/>
    <cellStyle name="Normal 5 5" xfId="376"/>
    <cellStyle name="Normal 6" xfId="377"/>
    <cellStyle name="Normal 6 2" xfId="378"/>
    <cellStyle name="Normal 6 3" xfId="379"/>
    <cellStyle name="Normal 6 4" xfId="380"/>
    <cellStyle name="Normal 6 5" xfId="381"/>
    <cellStyle name="Normal 7" xfId="382"/>
    <cellStyle name="Normal 7 2" xfId="383"/>
    <cellStyle name="Normal 7 2 2" xfId="384"/>
    <cellStyle name="Normal 7 2 2 2" xfId="385"/>
    <cellStyle name="Normal 7 2 3" xfId="386"/>
    <cellStyle name="Normal 7 2 4" xfId="387"/>
    <cellStyle name="Normal 7 2 5" xfId="388"/>
    <cellStyle name="Normal 7 3" xfId="389"/>
    <cellStyle name="Normal 7 4" xfId="390"/>
    <cellStyle name="Normal 7 4 2" xfId="391"/>
    <cellStyle name="Normal 7 4 3" xfId="392"/>
    <cellStyle name="Normal 7 5" xfId="393"/>
    <cellStyle name="Normal 7 5 2" xfId="394"/>
    <cellStyle name="Normal 7 5 3" xfId="395"/>
    <cellStyle name="Normal 7 5 4" xfId="396"/>
    <cellStyle name="Normal 7 6" xfId="397"/>
    <cellStyle name="Normal 7 7" xfId="398"/>
    <cellStyle name="Normal 8 2" xfId="399"/>
    <cellStyle name="Normal 9" xfId="400"/>
    <cellStyle name="Normal 9 2" xfId="401"/>
    <cellStyle name="Normal 9 2 2" xfId="402"/>
    <cellStyle name="Normal 9 3" xfId="403"/>
    <cellStyle name="Normal 9 4" xfId="404"/>
    <cellStyle name="Normal 9 5" xfId="405"/>
    <cellStyle name="Normal 9 6" xfId="406"/>
    <cellStyle name="Normal_debt" xfId="407"/>
    <cellStyle name="Normal_lpform" xfId="408"/>
  </cellStyles>
  <dxfs count="136">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476250</xdr:colOff>
      <xdr:row>0</xdr:row>
      <xdr:rowOff>47625</xdr:rowOff>
    </xdr:from>
    <xdr:to>
      <xdr:col>14</xdr:col>
      <xdr:colOff>504825</xdr:colOff>
      <xdr:row>41</xdr:row>
      <xdr:rowOff>0</xdr:rowOff>
    </xdr:to>
    <xdr:pic>
      <xdr:nvPicPr>
        <xdr:cNvPr id="3" name="Picture 2"/>
        <xdr:cNvPicPr>
          <a:picLocks noChangeAspect="1"/>
        </xdr:cNvPicPr>
      </xdr:nvPicPr>
      <xdr:blipFill rotWithShape="1">
        <a:blip xmlns:r="http://schemas.openxmlformats.org/officeDocument/2006/relationships" r:embed="rId1"/>
        <a:srcRect l="16564" t="12686" r="66689" b="11471"/>
        <a:stretch/>
      </xdr:blipFill>
      <xdr:spPr>
        <a:xfrm>
          <a:off x="7543800" y="47625"/>
          <a:ext cx="6124575" cy="7800975"/>
        </a:xfrm>
        <a:prstGeom prst="rect">
          <a:avLst/>
        </a:prstGeom>
      </xdr:spPr>
    </xdr:pic>
    <xdr:clientData/>
  </xdr:twoCellAnchor>
  <xdr:twoCellAnchor>
    <xdr:from>
      <xdr:col>12</xdr:col>
      <xdr:colOff>533400</xdr:colOff>
      <xdr:row>17</xdr:row>
      <xdr:rowOff>104775</xdr:rowOff>
    </xdr:from>
    <xdr:to>
      <xdr:col>13</xdr:col>
      <xdr:colOff>485775</xdr:colOff>
      <xdr:row>18</xdr:row>
      <xdr:rowOff>161925</xdr:rowOff>
    </xdr:to>
    <xdr:sp macro="" textlink="">
      <xdr:nvSpPr>
        <xdr:cNvPr id="2" name="TextBox 1"/>
        <xdr:cNvSpPr txBox="1"/>
      </xdr:nvSpPr>
      <xdr:spPr>
        <a:xfrm>
          <a:off x="12172950" y="3343275"/>
          <a:ext cx="714375" cy="247650"/>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13.044</a:t>
          </a:r>
        </a:p>
        <a:p>
          <a:endParaRPr lang="en-US" sz="1100"/>
        </a:p>
      </xdr:txBody>
    </xdr:sp>
    <xdr:clientData/>
  </xdr:twoCellAnchor>
  <xdr:twoCellAnchor>
    <xdr:from>
      <xdr:col>12</xdr:col>
      <xdr:colOff>514350</xdr:colOff>
      <xdr:row>28</xdr:row>
      <xdr:rowOff>161924</xdr:rowOff>
    </xdr:from>
    <xdr:to>
      <xdr:col>13</xdr:col>
      <xdr:colOff>495300</xdr:colOff>
      <xdr:row>29</xdr:row>
      <xdr:rowOff>190499</xdr:rowOff>
    </xdr:to>
    <xdr:sp macro="" textlink="">
      <xdr:nvSpPr>
        <xdr:cNvPr id="4" name="TextBox 3"/>
        <xdr:cNvSpPr txBox="1"/>
      </xdr:nvSpPr>
      <xdr:spPr>
        <a:xfrm>
          <a:off x="12153900" y="5495924"/>
          <a:ext cx="742950" cy="219075"/>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555,289</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476251</xdr:colOff>
      <xdr:row>0</xdr:row>
      <xdr:rowOff>0</xdr:rowOff>
    </xdr:from>
    <xdr:to>
      <xdr:col>23</xdr:col>
      <xdr:colOff>444500</xdr:colOff>
      <xdr:row>66</xdr:row>
      <xdr:rowOff>190499</xdr:rowOff>
    </xdr:to>
    <xdr:pic>
      <xdr:nvPicPr>
        <xdr:cNvPr id="2" name="Picture 1"/>
        <xdr:cNvPicPr>
          <a:picLocks noChangeAspect="1"/>
        </xdr:cNvPicPr>
      </xdr:nvPicPr>
      <xdr:blipFill rotWithShape="1">
        <a:blip xmlns:r="http://schemas.openxmlformats.org/officeDocument/2006/relationships" r:embed="rId1"/>
        <a:srcRect l="17475" t="2975" r="7397" b="31864"/>
        <a:stretch/>
      </xdr:blipFill>
      <xdr:spPr>
        <a:xfrm>
          <a:off x="10064751" y="0"/>
          <a:ext cx="12414249" cy="139064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3.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7"/>
  <sheetViews>
    <sheetView zoomScale="85" zoomScaleNormal="85" workbookViewId="0">
      <selection activeCell="A36" sqref="A36"/>
    </sheetView>
  </sheetViews>
  <sheetFormatPr defaultRowHeight="15.75"/>
  <cols>
    <col min="1" max="1" width="76.44140625" style="51" customWidth="1"/>
    <col min="2" max="16384" width="8.88671875" style="51"/>
  </cols>
  <sheetData>
    <row r="1" spans="1:1">
      <c r="A1" s="50" t="s">
        <v>125</v>
      </c>
    </row>
    <row r="3" spans="1:1" ht="34.5" customHeight="1">
      <c r="A3" s="579" t="s">
        <v>992</v>
      </c>
    </row>
    <row r="4" spans="1:1">
      <c r="A4" s="52"/>
    </row>
    <row r="5" spans="1:1" ht="85.5" customHeight="1">
      <c r="A5" s="53" t="s">
        <v>48</v>
      </c>
    </row>
    <row r="6" spans="1:1">
      <c r="A6" s="53"/>
    </row>
    <row r="7" spans="1:1" ht="53.25" customHeight="1">
      <c r="A7" s="53" t="s">
        <v>966</v>
      </c>
    </row>
    <row r="9" spans="1:1">
      <c r="A9" s="50" t="s">
        <v>62</v>
      </c>
    </row>
    <row r="10" spans="1:1">
      <c r="A10" s="50"/>
    </row>
    <row r="11" spans="1:1" ht="27" customHeight="1">
      <c r="A11" s="52" t="s">
        <v>63</v>
      </c>
    </row>
    <row r="12" spans="1:1" ht="51.75" hidden="1" customHeight="1"/>
    <row r="13" spans="1:1" ht="12" customHeight="1"/>
    <row r="14" spans="1:1" ht="42.75" customHeight="1">
      <c r="A14" s="54" t="s">
        <v>665</v>
      </c>
    </row>
    <row r="15" spans="1:1" ht="14.25" customHeight="1">
      <c r="A15" s="54"/>
    </row>
    <row r="18" spans="1:1">
      <c r="A18" s="50" t="s">
        <v>126</v>
      </c>
    </row>
    <row r="20" spans="1:1" ht="34.5" customHeight="1">
      <c r="A20" s="53" t="s">
        <v>12</v>
      </c>
    </row>
    <row r="21" spans="1:1" ht="18" customHeight="1">
      <c r="A21" s="53"/>
    </row>
    <row r="22" spans="1:1" ht="23.25" customHeight="1">
      <c r="A22" s="55" t="s">
        <v>13</v>
      </c>
    </row>
    <row r="23" spans="1:1" ht="23.25" customHeight="1">
      <c r="A23" s="56"/>
    </row>
    <row r="24" spans="1:1">
      <c r="A24" s="57" t="s">
        <v>17</v>
      </c>
    </row>
    <row r="25" spans="1:1">
      <c r="A25" s="58"/>
    </row>
    <row r="26" spans="1:1" ht="85.5" customHeight="1">
      <c r="A26" s="59" t="s">
        <v>39</v>
      </c>
    </row>
    <row r="27" spans="1:1" ht="19.5" customHeight="1">
      <c r="A27" s="53"/>
    </row>
    <row r="28" spans="1:1" ht="19.5" customHeight="1">
      <c r="A28" s="60" t="s">
        <v>18</v>
      </c>
    </row>
    <row r="30" spans="1:1">
      <c r="A30" s="61" t="s">
        <v>64</v>
      </c>
    </row>
    <row r="32" spans="1:1">
      <c r="A32" s="53" t="s">
        <v>65</v>
      </c>
    </row>
    <row r="34" spans="1:1">
      <c r="A34" s="50" t="s">
        <v>127</v>
      </c>
    </row>
    <row r="36" spans="1:1" ht="81" customHeight="1">
      <c r="A36" s="53" t="s">
        <v>756</v>
      </c>
    </row>
    <row r="37" spans="1:1" ht="38.25" customHeight="1">
      <c r="A37" s="53" t="s">
        <v>40</v>
      </c>
    </row>
    <row r="38" spans="1:1" ht="57" customHeight="1">
      <c r="A38" s="62" t="s">
        <v>14</v>
      </c>
    </row>
    <row r="39" spans="1:1" ht="114.75" customHeight="1">
      <c r="A39" s="62" t="s">
        <v>923</v>
      </c>
    </row>
    <row r="40" spans="1:1" ht="11.25" customHeight="1"/>
    <row r="41" spans="1:1" ht="81" customHeight="1">
      <c r="A41" s="53" t="s">
        <v>664</v>
      </c>
    </row>
    <row r="42" spans="1:1" ht="66" customHeight="1">
      <c r="A42" s="53" t="s">
        <v>97</v>
      </c>
    </row>
    <row r="43" spans="1:1" ht="105" customHeight="1">
      <c r="A43" s="53" t="s">
        <v>101</v>
      </c>
    </row>
    <row r="44" spans="1:1" ht="12.75" customHeight="1"/>
    <row r="45" spans="1:1" ht="74.099999999999994" customHeight="1">
      <c r="A45" s="392" t="s">
        <v>905</v>
      </c>
    </row>
    <row r="46" spans="1:1" ht="69.95" customHeight="1">
      <c r="A46" s="393" t="s">
        <v>617</v>
      </c>
    </row>
    <row r="47" spans="1:1" ht="69.95" customHeight="1">
      <c r="A47" s="393" t="s">
        <v>906</v>
      </c>
    </row>
    <row r="48" spans="1:1" ht="12.75" customHeight="1"/>
    <row r="49" spans="1:1" ht="67.5" customHeight="1">
      <c r="A49" s="53" t="s">
        <v>618</v>
      </c>
    </row>
    <row r="50" spans="1:1" ht="37.5" customHeight="1">
      <c r="A50" s="53" t="s">
        <v>619</v>
      </c>
    </row>
    <row r="51" spans="1:1" ht="13.5" customHeight="1">
      <c r="A51" s="53"/>
    </row>
    <row r="52" spans="1:1" ht="69.75" customHeight="1">
      <c r="A52" s="53" t="s">
        <v>620</v>
      </c>
    </row>
    <row r="53" spans="1:1" ht="103.5" customHeight="1">
      <c r="A53" s="53" t="s">
        <v>978</v>
      </c>
    </row>
    <row r="54" spans="1:1" ht="13.5" customHeight="1">
      <c r="A54" s="53"/>
    </row>
    <row r="55" spans="1:1" ht="70.5" customHeight="1">
      <c r="A55" s="53" t="s">
        <v>757</v>
      </c>
    </row>
    <row r="56" spans="1:1" ht="117.75" customHeight="1">
      <c r="A56" s="53" t="s">
        <v>621</v>
      </c>
    </row>
    <row r="57" spans="1:1" ht="35.25" customHeight="1">
      <c r="A57" s="53" t="s">
        <v>622</v>
      </c>
    </row>
    <row r="58" spans="1:1">
      <c r="A58" s="53"/>
    </row>
    <row r="59" spans="1:1" ht="82.5" customHeight="1">
      <c r="A59" s="53" t="s">
        <v>894</v>
      </c>
    </row>
    <row r="61" spans="1:1" ht="64.5" customHeight="1">
      <c r="A61" s="53" t="s">
        <v>623</v>
      </c>
    </row>
    <row r="62" spans="1:1" ht="42.75" customHeight="1">
      <c r="A62" s="53" t="s">
        <v>642</v>
      </c>
    </row>
    <row r="63" spans="1:1" ht="88.5" customHeight="1">
      <c r="A63" s="53" t="s">
        <v>666</v>
      </c>
    </row>
    <row r="64" spans="1:1" ht="39" customHeight="1">
      <c r="A64" s="357" t="s">
        <v>643</v>
      </c>
    </row>
    <row r="66" spans="1:1" s="53" customFormat="1" ht="58.5" customHeight="1">
      <c r="A66" s="53" t="s">
        <v>624</v>
      </c>
    </row>
    <row r="68" spans="1:1" ht="69" customHeight="1">
      <c r="A68" s="53" t="s">
        <v>625</v>
      </c>
    </row>
    <row r="69" spans="1:1" ht="11.25" customHeight="1"/>
    <row r="70" spans="1:1" ht="147" customHeight="1">
      <c r="A70" s="53" t="s">
        <v>955</v>
      </c>
    </row>
    <row r="71" spans="1:1" ht="11.25" customHeight="1"/>
    <row r="72" spans="1:1" ht="85.5" customHeight="1">
      <c r="A72" s="53" t="s">
        <v>967</v>
      </c>
    </row>
    <row r="73" spans="1:1" ht="85.5" customHeight="1">
      <c r="A73" s="53" t="s">
        <v>907</v>
      </c>
    </row>
    <row r="74" spans="1:1" ht="104.25" customHeight="1">
      <c r="A74" s="492" t="s">
        <v>954</v>
      </c>
    </row>
    <row r="75" spans="1:1" ht="73.5" customHeight="1">
      <c r="A75" s="492" t="s">
        <v>953</v>
      </c>
    </row>
    <row r="76" spans="1:1" ht="73.5" customHeight="1">
      <c r="A76" s="492" t="s">
        <v>959</v>
      </c>
    </row>
    <row r="77" spans="1:1" ht="136.5" customHeight="1">
      <c r="A77" s="53" t="s">
        <v>908</v>
      </c>
    </row>
    <row r="78" spans="1:1" ht="85.5" customHeight="1">
      <c r="A78" s="53" t="s">
        <v>909</v>
      </c>
    </row>
    <row r="79" spans="1:1" ht="116.25" customHeight="1">
      <c r="A79" s="53" t="s">
        <v>910</v>
      </c>
    </row>
    <row r="80" spans="1:1" ht="140.25" customHeight="1">
      <c r="A80" s="53" t="s">
        <v>968</v>
      </c>
    </row>
    <row r="81" spans="1:1" ht="63" customHeight="1">
      <c r="A81" s="53" t="s">
        <v>911</v>
      </c>
    </row>
    <row r="82" spans="1:1" ht="128.25" customHeight="1">
      <c r="A82" s="53" t="s">
        <v>912</v>
      </c>
    </row>
    <row r="83" spans="1:1" ht="52.5" customHeight="1">
      <c r="A83" s="53" t="s">
        <v>913</v>
      </c>
    </row>
    <row r="84" spans="1:1" ht="81" customHeight="1">
      <c r="A84" s="53" t="s">
        <v>914</v>
      </c>
    </row>
    <row r="85" spans="1:1" ht="129" customHeight="1">
      <c r="A85" s="358" t="s">
        <v>915</v>
      </c>
    </row>
    <row r="86" spans="1:1" ht="130.5" customHeight="1">
      <c r="A86" s="359" t="s">
        <v>916</v>
      </c>
    </row>
    <row r="87" spans="1:1" ht="70.5" customHeight="1">
      <c r="A87" s="360" t="s">
        <v>917</v>
      </c>
    </row>
    <row r="88" spans="1:1" ht="12" customHeight="1"/>
    <row r="89" spans="1:1" ht="54" customHeight="1">
      <c r="A89" s="53" t="s">
        <v>895</v>
      </c>
    </row>
    <row r="90" spans="1:1" ht="72" customHeight="1">
      <c r="A90" s="744" t="s">
        <v>971</v>
      </c>
    </row>
    <row r="91" spans="1:1" ht="38.25" customHeight="1">
      <c r="A91" s="394" t="s">
        <v>972</v>
      </c>
    </row>
    <row r="92" spans="1:1" ht="36.75" customHeight="1">
      <c r="A92" s="492" t="s">
        <v>973</v>
      </c>
    </row>
    <row r="93" spans="1:1" ht="131.25" customHeight="1">
      <c r="A93" s="492" t="s">
        <v>974</v>
      </c>
    </row>
    <row r="94" spans="1:1" ht="153.75" customHeight="1">
      <c r="A94" s="492" t="s">
        <v>975</v>
      </c>
    </row>
    <row r="95" spans="1:1" ht="92.25" customHeight="1">
      <c r="A95" s="395" t="s">
        <v>976</v>
      </c>
    </row>
    <row r="96" spans="1:1" ht="89.25" customHeight="1">
      <c r="A96" s="396" t="s">
        <v>977</v>
      </c>
    </row>
    <row r="97" spans="1:1" ht="12" customHeight="1"/>
    <row r="98" spans="1:1" ht="127.5" customHeight="1">
      <c r="A98" s="53" t="s">
        <v>896</v>
      </c>
    </row>
    <row r="99" spans="1:1" ht="117" customHeight="1">
      <c r="A99" s="53" t="s">
        <v>897</v>
      </c>
    </row>
    <row r="100" spans="1:1" ht="56.25" customHeight="1">
      <c r="A100" s="53" t="s">
        <v>898</v>
      </c>
    </row>
    <row r="101" spans="1:1" ht="26.25" customHeight="1">
      <c r="A101" s="53" t="s">
        <v>899</v>
      </c>
    </row>
    <row r="102" spans="1:1" ht="14.25" customHeight="1">
      <c r="A102" s="53"/>
    </row>
    <row r="103" spans="1:1" ht="68.25" customHeight="1">
      <c r="A103" s="53" t="s">
        <v>900</v>
      </c>
    </row>
    <row r="105" spans="1:1" ht="63.75" customHeight="1">
      <c r="A105" s="492" t="s">
        <v>901</v>
      </c>
    </row>
    <row r="106" spans="1:1" ht="105.75" customHeight="1">
      <c r="A106" s="492" t="s">
        <v>902</v>
      </c>
    </row>
    <row r="107" spans="1:1" ht="130.5" customHeight="1">
      <c r="A107" s="492" t="s">
        <v>903</v>
      </c>
    </row>
  </sheetData>
  <sheetProtection sheet="1"/>
  <phoneticPr fontId="0" type="noConversion"/>
  <pageMargins left="0.5" right="0.5" top="0.25" bottom="0.5" header="0.5" footer="0.25"/>
  <pageSetup scale="85"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6"/>
  <sheetViews>
    <sheetView zoomScale="75" workbookViewId="0">
      <selection activeCell="H11" sqref="H11"/>
    </sheetView>
  </sheetViews>
  <sheetFormatPr defaultRowHeight="15.75"/>
  <cols>
    <col min="1" max="1" width="4.88671875" style="65" customWidth="1"/>
    <col min="2" max="2" width="20.77734375" style="65" customWidth="1"/>
    <col min="3" max="3" width="9.33203125" style="65" customWidth="1"/>
    <col min="4" max="4" width="9" style="65" customWidth="1"/>
    <col min="5" max="5" width="8.77734375" style="65" customWidth="1"/>
    <col min="6" max="6" width="12.77734375" style="65" customWidth="1"/>
    <col min="7" max="7" width="12.6640625" style="65" customWidth="1"/>
    <col min="8" max="13" width="9.77734375" style="65" customWidth="1"/>
    <col min="14" max="16384" width="8.88671875" style="65"/>
  </cols>
  <sheetData>
    <row r="1" spans="2:13">
      <c r="B1" s="201" t="str">
        <f>inputPrYr!$D$2</f>
        <v>City of Circleville</v>
      </c>
      <c r="C1" s="64"/>
      <c r="D1" s="64"/>
      <c r="E1" s="64"/>
      <c r="F1" s="64"/>
      <c r="G1" s="64"/>
      <c r="H1" s="64"/>
      <c r="I1" s="64"/>
      <c r="J1" s="64"/>
      <c r="K1" s="64"/>
      <c r="L1" s="64"/>
      <c r="M1" s="161">
        <f>inputPrYr!$C$5</f>
        <v>2014</v>
      </c>
    </row>
    <row r="2" spans="2:13">
      <c r="B2" s="201"/>
      <c r="C2" s="64"/>
      <c r="D2" s="64"/>
      <c r="E2" s="64"/>
      <c r="F2" s="64"/>
      <c r="G2" s="64"/>
      <c r="H2" s="64"/>
      <c r="I2" s="64"/>
      <c r="J2" s="64"/>
      <c r="K2" s="64"/>
      <c r="L2" s="64"/>
      <c r="M2" s="218"/>
    </row>
    <row r="3" spans="2:13">
      <c r="B3" s="239" t="s">
        <v>225</v>
      </c>
      <c r="C3" s="73"/>
      <c r="D3" s="73"/>
      <c r="E3" s="73"/>
      <c r="F3" s="73"/>
      <c r="G3" s="73"/>
      <c r="H3" s="73"/>
      <c r="I3" s="73"/>
      <c r="J3" s="73"/>
      <c r="K3" s="73"/>
      <c r="L3" s="73"/>
      <c r="M3" s="73"/>
    </row>
    <row r="4" spans="2:13">
      <c r="B4" s="64"/>
      <c r="C4" s="240"/>
      <c r="D4" s="240"/>
      <c r="E4" s="240"/>
      <c r="F4" s="240"/>
      <c r="G4" s="240"/>
      <c r="H4" s="240"/>
      <c r="I4" s="240"/>
      <c r="J4" s="240"/>
      <c r="K4" s="240"/>
      <c r="L4" s="240"/>
      <c r="M4" s="240"/>
    </row>
    <row r="5" spans="2:13">
      <c r="B5" s="219"/>
      <c r="C5" s="219" t="s">
        <v>196</v>
      </c>
      <c r="D5" s="219" t="s">
        <v>196</v>
      </c>
      <c r="E5" s="219" t="s">
        <v>210</v>
      </c>
      <c r="F5" s="219"/>
      <c r="G5" s="219" t="s">
        <v>651</v>
      </c>
      <c r="H5" s="64"/>
      <c r="I5" s="64"/>
      <c r="J5" s="241" t="s">
        <v>197</v>
      </c>
      <c r="K5" s="242"/>
      <c r="L5" s="241" t="s">
        <v>197</v>
      </c>
      <c r="M5" s="242"/>
    </row>
    <row r="6" spans="2:13">
      <c r="B6" s="243" t="s">
        <v>919</v>
      </c>
      <c r="C6" s="243" t="s">
        <v>198</v>
      </c>
      <c r="D6" s="243" t="s">
        <v>320</v>
      </c>
      <c r="E6" s="243" t="s">
        <v>199</v>
      </c>
      <c r="F6" s="243" t="s">
        <v>157</v>
      </c>
      <c r="G6" s="243" t="s">
        <v>289</v>
      </c>
      <c r="H6" s="800" t="s">
        <v>200</v>
      </c>
      <c r="I6" s="801"/>
      <c r="J6" s="800">
        <f>inputPrYr!$C$5-1</f>
        <v>2013</v>
      </c>
      <c r="K6" s="803"/>
      <c r="L6" s="802">
        <f>inputPrYr!$C$5</f>
        <v>2014</v>
      </c>
      <c r="M6" s="803"/>
    </row>
    <row r="7" spans="2:13">
      <c r="B7" s="246" t="s">
        <v>918</v>
      </c>
      <c r="C7" s="246" t="s">
        <v>201</v>
      </c>
      <c r="D7" s="246" t="s">
        <v>321</v>
      </c>
      <c r="E7" s="246" t="s">
        <v>177</v>
      </c>
      <c r="F7" s="246" t="s">
        <v>202</v>
      </c>
      <c r="G7" s="244" t="str">
        <f>CONCATENATE("Jan 1,",M1-1,"")</f>
        <v>Jan 1,2013</v>
      </c>
      <c r="H7" s="187" t="s">
        <v>210</v>
      </c>
      <c r="I7" s="187" t="s">
        <v>212</v>
      </c>
      <c r="J7" s="187" t="s">
        <v>210</v>
      </c>
      <c r="K7" s="187" t="s">
        <v>212</v>
      </c>
      <c r="L7" s="187" t="s">
        <v>210</v>
      </c>
      <c r="M7" s="187" t="s">
        <v>212</v>
      </c>
    </row>
    <row r="8" spans="2:13">
      <c r="B8" s="245" t="s">
        <v>203</v>
      </c>
      <c r="C8" s="86"/>
      <c r="D8" s="86"/>
      <c r="E8" s="247"/>
      <c r="F8" s="189"/>
      <c r="G8" s="189"/>
      <c r="H8" s="86"/>
      <c r="I8" s="86"/>
      <c r="J8" s="189"/>
      <c r="K8" s="189"/>
      <c r="L8" s="189"/>
      <c r="M8" s="189"/>
    </row>
    <row r="9" spans="2:13">
      <c r="B9" s="248" t="s">
        <v>1042</v>
      </c>
      <c r="C9" s="271">
        <v>37607</v>
      </c>
      <c r="D9" s="271">
        <v>43009</v>
      </c>
      <c r="E9" s="249">
        <v>2.4</v>
      </c>
      <c r="F9" s="250">
        <v>100000</v>
      </c>
      <c r="G9" s="251">
        <v>25000</v>
      </c>
      <c r="H9" s="252" t="s">
        <v>1044</v>
      </c>
      <c r="I9" s="252" t="s">
        <v>1045</v>
      </c>
      <c r="J9" s="251">
        <v>1235</v>
      </c>
      <c r="K9" s="251">
        <v>5000</v>
      </c>
      <c r="L9" s="251">
        <v>1005</v>
      </c>
      <c r="M9" s="251">
        <v>5000</v>
      </c>
    </row>
    <row r="10" spans="2:13">
      <c r="B10" s="248" t="s">
        <v>1043</v>
      </c>
      <c r="C10" s="271">
        <v>39910</v>
      </c>
      <c r="D10" s="271">
        <v>54523</v>
      </c>
      <c r="E10" s="249">
        <v>4.38</v>
      </c>
      <c r="F10" s="250">
        <v>255000</v>
      </c>
      <c r="G10" s="251">
        <v>247308</v>
      </c>
      <c r="H10" s="252" t="s">
        <v>1047</v>
      </c>
      <c r="I10" s="252" t="s">
        <v>1046</v>
      </c>
      <c r="J10" s="251">
        <v>10819.7</v>
      </c>
      <c r="K10" s="251">
        <v>2791</v>
      </c>
      <c r="L10" s="251">
        <v>10698</v>
      </c>
      <c r="M10" s="251">
        <v>2914</v>
      </c>
    </row>
    <row r="11" spans="2:13">
      <c r="B11" s="248"/>
      <c r="C11" s="271"/>
      <c r="D11" s="271"/>
      <c r="E11" s="249"/>
      <c r="F11" s="250"/>
      <c r="G11" s="251"/>
      <c r="H11" s="252"/>
      <c r="I11" s="252"/>
      <c r="J11" s="251"/>
      <c r="K11" s="251"/>
      <c r="L11" s="251"/>
      <c r="M11" s="251"/>
    </row>
    <row r="12" spans="2:13">
      <c r="B12" s="248"/>
      <c r="C12" s="271"/>
      <c r="D12" s="271"/>
      <c r="E12" s="249"/>
      <c r="F12" s="250"/>
      <c r="G12" s="251"/>
      <c r="H12" s="252"/>
      <c r="I12" s="252"/>
      <c r="J12" s="251"/>
      <c r="K12" s="251"/>
      <c r="L12" s="251"/>
      <c r="M12" s="251"/>
    </row>
    <row r="13" spans="2:13">
      <c r="B13" s="248"/>
      <c r="C13" s="271"/>
      <c r="D13" s="271"/>
      <c r="E13" s="249"/>
      <c r="F13" s="250"/>
      <c r="G13" s="251"/>
      <c r="H13" s="252"/>
      <c r="I13" s="252"/>
      <c r="J13" s="251"/>
      <c r="K13" s="251"/>
      <c r="L13" s="251"/>
      <c r="M13" s="251"/>
    </row>
    <row r="14" spans="2:13">
      <c r="B14" s="248"/>
      <c r="C14" s="271"/>
      <c r="D14" s="271"/>
      <c r="E14" s="249"/>
      <c r="F14" s="250"/>
      <c r="G14" s="251"/>
      <c r="H14" s="252"/>
      <c r="I14" s="252"/>
      <c r="J14" s="251"/>
      <c r="K14" s="251"/>
      <c r="L14" s="251"/>
      <c r="M14" s="251"/>
    </row>
    <row r="15" spans="2:13">
      <c r="B15" s="234" t="s">
        <v>204</v>
      </c>
      <c r="C15" s="253"/>
      <c r="D15" s="253"/>
      <c r="E15" s="254"/>
      <c r="F15" s="255"/>
      <c r="G15" s="256">
        <f>SUM(G9:G14)</f>
        <v>272308</v>
      </c>
      <c r="H15" s="257"/>
      <c r="I15" s="257"/>
      <c r="J15" s="256">
        <f>SUM(J9:J14)</f>
        <v>12054.7</v>
      </c>
      <c r="K15" s="256">
        <f>SUM(K9:K14)</f>
        <v>7791</v>
      </c>
      <c r="L15" s="256">
        <f>SUM(L9:L14)</f>
        <v>11703</v>
      </c>
      <c r="M15" s="256">
        <f>SUM(M9:M14)</f>
        <v>7914</v>
      </c>
    </row>
    <row r="16" spans="2:13">
      <c r="B16" s="187" t="s">
        <v>205</v>
      </c>
      <c r="C16" s="258"/>
      <c r="D16" s="258"/>
      <c r="E16" s="259"/>
      <c r="F16" s="221"/>
      <c r="G16" s="221"/>
      <c r="H16" s="260"/>
      <c r="I16" s="260"/>
      <c r="J16" s="221"/>
      <c r="K16" s="221"/>
      <c r="L16" s="221"/>
      <c r="M16" s="221"/>
    </row>
    <row r="17" spans="2:29">
      <c r="B17" s="248"/>
      <c r="C17" s="271"/>
      <c r="D17" s="271"/>
      <c r="E17" s="249"/>
      <c r="F17" s="250"/>
      <c r="G17" s="251"/>
      <c r="H17" s="252"/>
      <c r="I17" s="252"/>
      <c r="J17" s="251"/>
      <c r="K17" s="251"/>
      <c r="L17" s="251"/>
      <c r="M17" s="251"/>
    </row>
    <row r="18" spans="2:29">
      <c r="B18" s="248"/>
      <c r="C18" s="271"/>
      <c r="D18" s="271"/>
      <c r="E18" s="249"/>
      <c r="F18" s="250"/>
      <c r="G18" s="251"/>
      <c r="H18" s="252"/>
      <c r="I18" s="252"/>
      <c r="J18" s="251"/>
      <c r="K18" s="251"/>
      <c r="L18" s="251"/>
      <c r="M18" s="251"/>
    </row>
    <row r="19" spans="2:29">
      <c r="B19" s="248"/>
      <c r="C19" s="271"/>
      <c r="D19" s="271"/>
      <c r="E19" s="249"/>
      <c r="F19" s="250"/>
      <c r="G19" s="251"/>
      <c r="H19" s="252"/>
      <c r="I19" s="252"/>
      <c r="J19" s="251"/>
      <c r="K19" s="251"/>
      <c r="L19" s="251"/>
      <c r="M19" s="251"/>
    </row>
    <row r="20" spans="2:29">
      <c r="B20" s="248"/>
      <c r="C20" s="271"/>
      <c r="D20" s="271"/>
      <c r="E20" s="249"/>
      <c r="F20" s="250"/>
      <c r="G20" s="251"/>
      <c r="H20" s="252"/>
      <c r="I20" s="252"/>
      <c r="J20" s="251"/>
      <c r="K20" s="251"/>
      <c r="L20" s="251"/>
      <c r="M20" s="251"/>
    </row>
    <row r="21" spans="2:29">
      <c r="B21" s="248"/>
      <c r="C21" s="271"/>
      <c r="D21" s="271"/>
      <c r="E21" s="249"/>
      <c r="F21" s="250"/>
      <c r="G21" s="251"/>
      <c r="H21" s="252"/>
      <c r="I21" s="252"/>
      <c r="J21" s="251"/>
      <c r="K21" s="251"/>
      <c r="L21" s="251"/>
      <c r="M21" s="251"/>
    </row>
    <row r="22" spans="2:29">
      <c r="B22" s="234" t="s">
        <v>206</v>
      </c>
      <c r="C22" s="253"/>
      <c r="D22" s="253"/>
      <c r="E22" s="261"/>
      <c r="F22" s="255"/>
      <c r="G22" s="262">
        <f>SUM(G17:G21)</f>
        <v>0</v>
      </c>
      <c r="H22" s="257"/>
      <c r="I22" s="257"/>
      <c r="J22" s="262">
        <f>SUM(J17:J21)</f>
        <v>0</v>
      </c>
      <c r="K22" s="262">
        <f>SUM(K17:K21)</f>
        <v>0</v>
      </c>
      <c r="L22" s="256">
        <f>SUM(L17:L21)</f>
        <v>0</v>
      </c>
      <c r="M22" s="262">
        <f>SUM(M17:M21)</f>
        <v>0</v>
      </c>
    </row>
    <row r="23" spans="2:29">
      <c r="B23" s="187" t="s">
        <v>207</v>
      </c>
      <c r="C23" s="258"/>
      <c r="D23" s="258"/>
      <c r="E23" s="259"/>
      <c r="F23" s="221"/>
      <c r="G23" s="263"/>
      <c r="H23" s="260"/>
      <c r="I23" s="260"/>
      <c r="J23" s="221"/>
      <c r="K23" s="221"/>
      <c r="L23" s="221"/>
      <c r="M23" s="221"/>
    </row>
    <row r="24" spans="2:29">
      <c r="B24" s="248"/>
      <c r="C24" s="271"/>
      <c r="D24" s="271"/>
      <c r="E24" s="249"/>
      <c r="F24" s="250"/>
      <c r="G24" s="251"/>
      <c r="H24" s="252"/>
      <c r="I24" s="252"/>
      <c r="J24" s="251"/>
      <c r="K24" s="251"/>
      <c r="L24" s="251"/>
      <c r="M24" s="251"/>
    </row>
    <row r="25" spans="2:29">
      <c r="B25" s="248"/>
      <c r="C25" s="405"/>
      <c r="D25" s="271"/>
      <c r="E25" s="249"/>
      <c r="F25" s="250"/>
      <c r="G25" s="251"/>
      <c r="H25" s="252"/>
      <c r="I25" s="252"/>
      <c r="J25" s="251"/>
      <c r="K25" s="251"/>
      <c r="L25" s="251"/>
      <c r="M25" s="251"/>
    </row>
    <row r="26" spans="2:29">
      <c r="B26" s="248"/>
      <c r="C26" s="271"/>
      <c r="D26" s="271"/>
      <c r="E26" s="249"/>
      <c r="F26" s="250"/>
      <c r="G26" s="251"/>
      <c r="H26" s="252"/>
      <c r="I26" s="252"/>
      <c r="J26" s="251"/>
      <c r="K26" s="251"/>
      <c r="L26" s="251"/>
      <c r="M26" s="251"/>
    </row>
    <row r="27" spans="2:29">
      <c r="B27" s="248"/>
      <c r="C27" s="271"/>
      <c r="D27" s="271"/>
      <c r="E27" s="249"/>
      <c r="F27" s="250"/>
      <c r="G27" s="251"/>
      <c r="H27" s="252"/>
      <c r="I27" s="252"/>
      <c r="J27" s="251"/>
      <c r="K27" s="251"/>
      <c r="L27" s="251"/>
      <c r="M27" s="251"/>
    </row>
    <row r="28" spans="2:29">
      <c r="B28" s="248"/>
      <c r="C28" s="271"/>
      <c r="D28" s="271"/>
      <c r="E28" s="249"/>
      <c r="F28" s="250"/>
      <c r="G28" s="251"/>
      <c r="H28" s="252"/>
      <c r="I28" s="252"/>
      <c r="J28" s="251"/>
      <c r="K28" s="251"/>
      <c r="L28" s="251"/>
      <c r="M28" s="251"/>
    </row>
    <row r="29" spans="2:29">
      <c r="B29" s="248"/>
      <c r="C29" s="271"/>
      <c r="D29" s="271"/>
      <c r="E29" s="249"/>
      <c r="F29" s="250"/>
      <c r="G29" s="251"/>
      <c r="H29" s="252"/>
      <c r="I29" s="252"/>
      <c r="J29" s="251"/>
      <c r="K29" s="251"/>
      <c r="L29" s="251"/>
      <c r="M29" s="251"/>
      <c r="N29" s="51"/>
      <c r="O29" s="51"/>
      <c r="P29" s="51"/>
      <c r="Q29" s="51"/>
      <c r="R29" s="51"/>
      <c r="S29" s="51"/>
      <c r="T29" s="51"/>
      <c r="U29" s="51"/>
      <c r="V29" s="51"/>
      <c r="W29" s="51"/>
      <c r="X29" s="51"/>
      <c r="Y29" s="51"/>
      <c r="Z29" s="51"/>
      <c r="AA29" s="51"/>
      <c r="AB29" s="51"/>
      <c r="AC29" s="51"/>
    </row>
    <row r="30" spans="2:29">
      <c r="B30" s="234" t="s">
        <v>295</v>
      </c>
      <c r="C30" s="234"/>
      <c r="D30" s="234"/>
      <c r="E30" s="261"/>
      <c r="F30" s="255"/>
      <c r="G30" s="262">
        <f>SUM(G24:G29)</f>
        <v>0</v>
      </c>
      <c r="H30" s="255"/>
      <c r="I30" s="255"/>
      <c r="J30" s="262">
        <f>SUM(J24:J29)</f>
        <v>0</v>
      </c>
      <c r="K30" s="262">
        <f>SUM(K24:K29)</f>
        <v>0</v>
      </c>
      <c r="L30" s="262">
        <f>SUM(L24:L29)</f>
        <v>0</v>
      </c>
      <c r="M30" s="262">
        <f>SUM(M24:M29)</f>
        <v>0</v>
      </c>
    </row>
    <row r="31" spans="2:29">
      <c r="B31" s="234" t="s">
        <v>208</v>
      </c>
      <c r="C31" s="234"/>
      <c r="D31" s="234"/>
      <c r="E31" s="234"/>
      <c r="F31" s="255"/>
      <c r="G31" s="262">
        <f>SUM(G15+G22+G30)</f>
        <v>272308</v>
      </c>
      <c r="H31" s="255"/>
      <c r="I31" s="255"/>
      <c r="J31" s="262">
        <f>SUM(J15+J22+J30)</f>
        <v>12054.7</v>
      </c>
      <c r="K31" s="262">
        <f>SUM(K15+K22+K30)</f>
        <v>7791</v>
      </c>
      <c r="L31" s="262">
        <f>SUM(L15+L22+L30)</f>
        <v>11703</v>
      </c>
      <c r="M31" s="262">
        <f>SUM(M15+M22+M30)</f>
        <v>7914</v>
      </c>
    </row>
    <row r="32" spans="2:29">
      <c r="C32" s="51"/>
      <c r="D32" s="51"/>
      <c r="E32" s="51"/>
      <c r="F32" s="51"/>
      <c r="G32" s="51"/>
      <c r="H32" s="51"/>
      <c r="I32" s="51"/>
      <c r="J32" s="51"/>
      <c r="K32" s="51"/>
      <c r="L32" s="51"/>
      <c r="M32" s="51"/>
    </row>
    <row r="33" spans="2:14">
      <c r="F33" s="264"/>
      <c r="G33" s="264"/>
      <c r="J33" s="264"/>
      <c r="K33" s="264"/>
      <c r="L33" s="264"/>
      <c r="M33" s="264"/>
    </row>
    <row r="34" spans="2:14">
      <c r="B34" s="51"/>
      <c r="F34" s="51"/>
      <c r="H34" s="265"/>
      <c r="N34" s="51"/>
    </row>
    <row r="35" spans="2:14">
      <c r="B35" s="51"/>
      <c r="C35" s="51"/>
      <c r="D35" s="51"/>
      <c r="E35" s="51"/>
      <c r="F35" s="51"/>
      <c r="G35" s="51"/>
      <c r="H35" s="51"/>
      <c r="I35" s="51"/>
      <c r="J35" s="51"/>
      <c r="K35" s="51"/>
      <c r="L35" s="51"/>
      <c r="M35" s="51"/>
    </row>
    <row r="36" spans="2:14">
      <c r="C36" s="51"/>
      <c r="D36" s="51"/>
      <c r="E36" s="51"/>
      <c r="F36" s="51"/>
      <c r="G36" s="51"/>
      <c r="H36" s="51"/>
      <c r="I36" s="51"/>
      <c r="J36" s="51"/>
      <c r="K36" s="51"/>
      <c r="L36" s="51"/>
      <c r="M36" s="51"/>
    </row>
  </sheetData>
  <sheetProtection sheet="1"/>
  <mergeCells count="3">
    <mergeCell ref="H6:I6"/>
    <mergeCell ref="L6:M6"/>
    <mergeCell ref="J6:K6"/>
  </mergeCells>
  <phoneticPr fontId="0" type="noConversion"/>
  <pageMargins left="0.15" right="0.15" top="1" bottom="0.5" header="0.5" footer="0"/>
  <pageSetup scale="80" orientation="landscape" blackAndWhite="1" r:id="rId1"/>
  <headerFooter alignWithMargins="0">
    <oddHeader xml:space="preserve">&amp;RState of Kansas
City
</oddHeader>
    <oddFooter>&amp;CPage No. 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zoomScale="75" workbookViewId="0">
      <selection activeCell="C9" sqref="C9"/>
    </sheetView>
  </sheetViews>
  <sheetFormatPr defaultRowHeight="15.75"/>
  <cols>
    <col min="1" max="1" width="10.77734375" style="65" customWidth="1"/>
    <col min="2" max="2" width="25.77734375" style="65" customWidth="1"/>
    <col min="3" max="3" width="11.77734375" style="65" customWidth="1"/>
    <col min="4" max="5" width="9.77734375" style="65" customWidth="1"/>
    <col min="6" max="6" width="17.109375" style="65" customWidth="1"/>
    <col min="7" max="9" width="15.77734375" style="65" customWidth="1"/>
    <col min="10" max="11" width="9.77734375" style="65" customWidth="1"/>
    <col min="12" max="16384" width="8.88671875" style="65"/>
  </cols>
  <sheetData>
    <row r="1" spans="2:11">
      <c r="B1" s="201" t="str">
        <f>inputPrYr!$D$2</f>
        <v>City of Circleville</v>
      </c>
      <c r="C1" s="64"/>
      <c r="D1" s="64"/>
      <c r="E1" s="64"/>
      <c r="F1" s="64"/>
      <c r="G1" s="64"/>
      <c r="H1" s="64"/>
      <c r="I1" s="161">
        <f>inputPrYr!$C$5</f>
        <v>2014</v>
      </c>
      <c r="J1" s="51"/>
      <c r="K1" s="266"/>
    </row>
    <row r="2" spans="2:11">
      <c r="B2" s="201"/>
      <c r="C2" s="64"/>
      <c r="D2" s="64"/>
      <c r="E2" s="64"/>
      <c r="F2" s="64"/>
      <c r="G2" s="64"/>
      <c r="H2" s="64"/>
      <c r="I2" s="64"/>
      <c r="J2" s="51"/>
      <c r="K2" s="266"/>
    </row>
    <row r="3" spans="2:11">
      <c r="B3" s="239" t="s">
        <v>262</v>
      </c>
      <c r="C3" s="73"/>
      <c r="D3" s="73"/>
      <c r="E3" s="73"/>
      <c r="F3" s="73"/>
      <c r="G3" s="73"/>
      <c r="H3" s="73"/>
      <c r="I3" s="73"/>
      <c r="J3" s="267"/>
      <c r="K3" s="267"/>
    </row>
    <row r="4" spans="2:11">
      <c r="B4" s="64"/>
      <c r="C4" s="240"/>
      <c r="D4" s="240"/>
      <c r="E4" s="240"/>
      <c r="F4" s="240"/>
      <c r="G4" s="240"/>
      <c r="H4" s="240"/>
      <c r="I4" s="240"/>
      <c r="J4" s="268"/>
      <c r="K4" s="268"/>
    </row>
    <row r="5" spans="2:11">
      <c r="B5" s="193"/>
      <c r="C5" s="193"/>
      <c r="D5" s="193"/>
      <c r="E5" s="193"/>
      <c r="F5" s="219" t="s">
        <v>135</v>
      </c>
      <c r="G5" s="193"/>
      <c r="H5" s="193"/>
      <c r="I5" s="193"/>
      <c r="J5" s="269"/>
      <c r="K5" s="164"/>
    </row>
    <row r="6" spans="2:11">
      <c r="B6" s="182"/>
      <c r="C6" s="243"/>
      <c r="D6" s="243" t="s">
        <v>209</v>
      </c>
      <c r="E6" s="243" t="s">
        <v>210</v>
      </c>
      <c r="F6" s="243" t="s">
        <v>157</v>
      </c>
      <c r="G6" s="243" t="s">
        <v>314</v>
      </c>
      <c r="H6" s="243" t="s">
        <v>213</v>
      </c>
      <c r="I6" s="243" t="s">
        <v>213</v>
      </c>
    </row>
    <row r="7" spans="2:11">
      <c r="B7" s="243" t="s">
        <v>920</v>
      </c>
      <c r="C7" s="243" t="s">
        <v>214</v>
      </c>
      <c r="D7" s="243" t="s">
        <v>215</v>
      </c>
      <c r="E7" s="243" t="s">
        <v>199</v>
      </c>
      <c r="F7" s="243" t="s">
        <v>216</v>
      </c>
      <c r="G7" s="243" t="s">
        <v>315</v>
      </c>
      <c r="H7" s="243" t="s">
        <v>217</v>
      </c>
      <c r="I7" s="243" t="s">
        <v>217</v>
      </c>
    </row>
    <row r="8" spans="2:11">
      <c r="B8" s="246" t="s">
        <v>921</v>
      </c>
      <c r="C8" s="246" t="s">
        <v>196</v>
      </c>
      <c r="D8" s="270" t="s">
        <v>218</v>
      </c>
      <c r="E8" s="246" t="s">
        <v>177</v>
      </c>
      <c r="F8" s="270" t="s">
        <v>290</v>
      </c>
      <c r="G8" s="246">
        <f>inputPrYr!C5-1</f>
        <v>2013</v>
      </c>
      <c r="H8" s="246">
        <f>inputPrYr!C5-1</f>
        <v>2013</v>
      </c>
      <c r="I8" s="229">
        <f>inputPrYr!$C$5</f>
        <v>2014</v>
      </c>
    </row>
    <row r="9" spans="2:11">
      <c r="B9" s="248" t="s">
        <v>1022</v>
      </c>
      <c r="C9" s="271"/>
      <c r="D9" s="271"/>
      <c r="E9" s="249"/>
      <c r="F9" s="250"/>
      <c r="G9" s="250"/>
      <c r="H9" s="250"/>
      <c r="I9" s="250"/>
    </row>
    <row r="10" spans="2:11">
      <c r="B10" s="248"/>
      <c r="C10" s="271"/>
      <c r="D10" s="271"/>
      <c r="E10" s="249"/>
      <c r="F10" s="250"/>
      <c r="G10" s="250"/>
      <c r="H10" s="250"/>
      <c r="I10" s="250"/>
    </row>
    <row r="11" spans="2:11">
      <c r="B11" s="248"/>
      <c r="C11" s="248"/>
      <c r="D11" s="271"/>
      <c r="E11" s="249"/>
      <c r="F11" s="250"/>
      <c r="G11" s="250"/>
      <c r="H11" s="250"/>
      <c r="I11" s="250"/>
    </row>
    <row r="12" spans="2:11">
      <c r="B12" s="248"/>
      <c r="C12" s="248"/>
      <c r="D12" s="271"/>
      <c r="E12" s="249"/>
      <c r="F12" s="250"/>
      <c r="G12" s="250"/>
      <c r="H12" s="250"/>
      <c r="I12" s="250"/>
    </row>
    <row r="13" spans="2:11">
      <c r="B13" s="248"/>
      <c r="C13" s="248"/>
      <c r="D13" s="271"/>
      <c r="E13" s="249"/>
      <c r="F13" s="250"/>
      <c r="G13" s="250"/>
      <c r="H13" s="250"/>
      <c r="I13" s="250"/>
    </row>
    <row r="14" spans="2:11">
      <c r="B14" s="248"/>
      <c r="C14" s="271"/>
      <c r="D14" s="271"/>
      <c r="E14" s="249"/>
      <c r="F14" s="250"/>
      <c r="G14" s="250"/>
      <c r="H14" s="250"/>
      <c r="I14" s="250"/>
    </row>
    <row r="15" spans="2:11">
      <c r="B15" s="248"/>
      <c r="C15" s="248"/>
      <c r="D15" s="271"/>
      <c r="E15" s="249"/>
      <c r="F15" s="250"/>
      <c r="G15" s="250"/>
      <c r="H15" s="250"/>
      <c r="I15" s="250"/>
    </row>
    <row r="16" spans="2:11">
      <c r="B16" s="248"/>
      <c r="C16" s="248"/>
      <c r="D16" s="271"/>
      <c r="E16" s="249"/>
      <c r="F16" s="250"/>
      <c r="G16" s="250"/>
      <c r="H16" s="250"/>
      <c r="I16" s="250"/>
    </row>
    <row r="17" spans="2:11">
      <c r="B17" s="248"/>
      <c r="C17" s="248"/>
      <c r="D17" s="271"/>
      <c r="E17" s="249"/>
      <c r="F17" s="250"/>
      <c r="G17" s="250"/>
      <c r="H17" s="250"/>
      <c r="I17" s="250"/>
    </row>
    <row r="18" spans="2:11">
      <c r="B18" s="248"/>
      <c r="C18" s="248"/>
      <c r="D18" s="271"/>
      <c r="E18" s="249"/>
      <c r="F18" s="250"/>
      <c r="G18" s="250"/>
      <c r="H18" s="250"/>
      <c r="I18" s="250"/>
    </row>
    <row r="19" spans="2:11">
      <c r="B19" s="248"/>
      <c r="C19" s="248"/>
      <c r="D19" s="271"/>
      <c r="E19" s="249"/>
      <c r="F19" s="250"/>
      <c r="G19" s="250"/>
      <c r="H19" s="250"/>
      <c r="I19" s="250"/>
    </row>
    <row r="20" spans="2:11" ht="16.5" thickBot="1">
      <c r="B20" s="202"/>
      <c r="C20" s="202"/>
      <c r="D20" s="202"/>
      <c r="E20" s="202"/>
      <c r="F20" s="202" t="s">
        <v>164</v>
      </c>
      <c r="G20" s="272">
        <f>SUM(G9:G19)</f>
        <v>0</v>
      </c>
      <c r="H20" s="272">
        <f>SUM(H9:H19)</f>
        <v>0</v>
      </c>
      <c r="I20" s="273">
        <f>SUM(I9:I19)</f>
        <v>0</v>
      </c>
    </row>
    <row r="21" spans="2:11" ht="16.5" thickTop="1">
      <c r="B21" s="64"/>
      <c r="C21" s="64"/>
      <c r="D21" s="64"/>
      <c r="E21" s="64"/>
      <c r="F21" s="64"/>
      <c r="G21" s="64"/>
      <c r="H21" s="64"/>
      <c r="I21" s="64"/>
      <c r="J21" s="264"/>
      <c r="K21" s="264"/>
    </row>
    <row r="22" spans="2:11">
      <c r="B22" s="274" t="s">
        <v>76</v>
      </c>
      <c r="C22" s="275"/>
      <c r="D22" s="275"/>
      <c r="E22" s="275"/>
      <c r="F22" s="275"/>
      <c r="G22" s="275"/>
      <c r="H22" s="64"/>
      <c r="I22" s="64"/>
      <c r="J22" s="264"/>
      <c r="K22" s="264"/>
    </row>
    <row r="31" spans="2:11">
      <c r="D31" s="265"/>
    </row>
  </sheetData>
  <sheetProtection sheet="1"/>
  <phoneticPr fontId="0" type="noConversion"/>
  <pageMargins left="0.47" right="0.4" top="1" bottom="0.5" header="0.5" footer="0.5"/>
  <pageSetup scale="80" orientation="landscape" blackAndWhite="1" horizontalDpi="120" verticalDpi="144" r:id="rId1"/>
  <headerFooter alignWithMargins="0">
    <oddHeader xml:space="preserve">&amp;RState of Kansas
City
</oddHeader>
    <oddFooter>&amp;CPage No. 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16" zoomScaleNormal="100" workbookViewId="0">
      <selection activeCell="E29" sqref="E29"/>
    </sheetView>
  </sheetViews>
  <sheetFormatPr defaultRowHeight="15"/>
  <cols>
    <col min="1" max="1" width="2.5546875" style="672" customWidth="1"/>
    <col min="2" max="4" width="8.88671875" style="672"/>
    <col min="5" max="5" width="9.6640625" style="672" customWidth="1"/>
    <col min="6" max="6" width="8.88671875" style="672"/>
    <col min="7" max="7" width="9.6640625" style="672" customWidth="1"/>
    <col min="8" max="16384" width="8.88671875" style="672"/>
  </cols>
  <sheetData>
    <row r="1" spans="2:9" ht="15.75">
      <c r="B1" s="671"/>
      <c r="C1" s="671"/>
      <c r="D1" s="671"/>
      <c r="E1" s="671"/>
      <c r="F1" s="671"/>
      <c r="G1" s="671"/>
      <c r="H1" s="671"/>
      <c r="I1" s="671"/>
    </row>
    <row r="2" spans="2:9" ht="15.75">
      <c r="B2" s="806" t="s">
        <v>844</v>
      </c>
      <c r="C2" s="806"/>
      <c r="D2" s="806"/>
      <c r="E2" s="806"/>
      <c r="F2" s="806"/>
      <c r="G2" s="806"/>
      <c r="H2" s="806"/>
      <c r="I2" s="806"/>
    </row>
    <row r="3" spans="2:9" ht="15.75">
      <c r="B3" s="806" t="s">
        <v>845</v>
      </c>
      <c r="C3" s="806"/>
      <c r="D3" s="806"/>
      <c r="E3" s="806"/>
      <c r="F3" s="806"/>
      <c r="G3" s="806"/>
      <c r="H3" s="806"/>
      <c r="I3" s="806"/>
    </row>
    <row r="4" spans="2:9" ht="15.75">
      <c r="B4" s="673"/>
      <c r="C4" s="673"/>
      <c r="D4" s="673"/>
      <c r="E4" s="673"/>
      <c r="F4" s="673"/>
      <c r="G4" s="673"/>
      <c r="H4" s="673"/>
      <c r="I4" s="673"/>
    </row>
    <row r="5" spans="2:9" ht="15.75">
      <c r="B5" s="807" t="str">
        <f>CONCATENATE("Budgeted Year: ",inputPrYr!C5,"")</f>
        <v>Budgeted Year: 2014</v>
      </c>
      <c r="C5" s="807"/>
      <c r="D5" s="807"/>
      <c r="E5" s="807"/>
      <c r="F5" s="807"/>
      <c r="G5" s="807"/>
      <c r="H5" s="807"/>
      <c r="I5" s="807"/>
    </row>
    <row r="6" spans="2:9" ht="15.75">
      <c r="B6" s="674"/>
      <c r="C6" s="673"/>
      <c r="D6" s="673"/>
      <c r="E6" s="673"/>
      <c r="F6" s="673"/>
      <c r="G6" s="673"/>
      <c r="H6" s="673"/>
      <c r="I6" s="673"/>
    </row>
    <row r="7" spans="2:9" ht="15.75">
      <c r="B7" s="674" t="str">
        <f>CONCATENATE("Library found in: ",inputPrYr!D2,"")</f>
        <v>Library found in: City of Circleville</v>
      </c>
      <c r="C7" s="673"/>
      <c r="D7" s="673"/>
      <c r="E7" s="673"/>
      <c r="F7" s="673"/>
      <c r="G7" s="673"/>
      <c r="H7" s="673"/>
      <c r="I7" s="673"/>
    </row>
    <row r="8" spans="2:9" ht="15.75">
      <c r="B8" s="674" t="str">
        <f>inputPrYr!D3</f>
        <v>Jackson County</v>
      </c>
      <c r="C8" s="673"/>
      <c r="D8" s="673"/>
      <c r="E8" s="673"/>
      <c r="F8" s="673"/>
      <c r="G8" s="673"/>
      <c r="H8" s="673"/>
      <c r="I8" s="673"/>
    </row>
    <row r="9" spans="2:9" ht="15.75">
      <c r="B9" s="673"/>
      <c r="C9" s="673"/>
      <c r="D9" s="673"/>
      <c r="E9" s="673"/>
      <c r="F9" s="673"/>
      <c r="G9" s="673"/>
      <c r="H9" s="673"/>
      <c r="I9" s="673"/>
    </row>
    <row r="10" spans="2:9" ht="39" customHeight="1">
      <c r="B10" s="808" t="s">
        <v>846</v>
      </c>
      <c r="C10" s="808"/>
      <c r="D10" s="808"/>
      <c r="E10" s="808"/>
      <c r="F10" s="808"/>
      <c r="G10" s="808"/>
      <c r="H10" s="808"/>
      <c r="I10" s="808"/>
    </row>
    <row r="11" spans="2:9" ht="15.75">
      <c r="B11" s="673"/>
      <c r="C11" s="673"/>
      <c r="D11" s="673"/>
      <c r="E11" s="673"/>
      <c r="F11" s="673"/>
      <c r="G11" s="673"/>
      <c r="H11" s="673"/>
      <c r="I11" s="673"/>
    </row>
    <row r="12" spans="2:9" ht="15.75">
      <c r="B12" s="675" t="s">
        <v>847</v>
      </c>
      <c r="C12" s="673"/>
      <c r="D12" s="673"/>
      <c r="E12" s="673"/>
      <c r="F12" s="673"/>
      <c r="G12" s="673"/>
      <c r="H12" s="673"/>
      <c r="I12" s="673"/>
    </row>
    <row r="13" spans="2:9" ht="15.75">
      <c r="B13" s="673"/>
      <c r="C13" s="673"/>
      <c r="D13" s="673"/>
      <c r="E13" s="676" t="s">
        <v>848</v>
      </c>
      <c r="F13" s="673"/>
      <c r="G13" s="676" t="s">
        <v>849</v>
      </c>
      <c r="H13" s="673"/>
      <c r="I13" s="673"/>
    </row>
    <row r="14" spans="2:9" ht="15.75">
      <c r="B14" s="673"/>
      <c r="C14" s="673"/>
      <c r="D14" s="673"/>
      <c r="E14" s="677">
        <f>inputPrYr!C5-1</f>
        <v>2013</v>
      </c>
      <c r="F14" s="673"/>
      <c r="G14" s="677">
        <f>inputPrYr!C5</f>
        <v>2014</v>
      </c>
      <c r="H14" s="673"/>
      <c r="I14" s="673"/>
    </row>
    <row r="15" spans="2:9" ht="15.75">
      <c r="B15" s="674" t="str">
        <f>'DebtSvs-Library'!B48</f>
        <v>Ad Valorem Tax</v>
      </c>
      <c r="C15" s="673"/>
      <c r="D15" s="673"/>
      <c r="E15" s="678">
        <f>'DebtSvs-Library'!D48</f>
        <v>0</v>
      </c>
      <c r="F15" s="673"/>
      <c r="G15" s="678">
        <f>'DebtSvs-Library'!E80</f>
        <v>0</v>
      </c>
      <c r="H15" s="673"/>
      <c r="I15" s="673"/>
    </row>
    <row r="16" spans="2:9" ht="15.75">
      <c r="B16" s="674" t="str">
        <f>'DebtSvs-Library'!B49</f>
        <v>Delinquent Tax</v>
      </c>
      <c r="C16" s="673"/>
      <c r="D16" s="673"/>
      <c r="E16" s="678">
        <f>'DebtSvs-Library'!D49</f>
        <v>0</v>
      </c>
      <c r="F16" s="673"/>
      <c r="G16" s="678">
        <f>'DebtSvs-Library'!E49</f>
        <v>0</v>
      </c>
      <c r="H16" s="673"/>
      <c r="I16" s="673"/>
    </row>
    <row r="17" spans="2:9" ht="15.75">
      <c r="B17" s="674" t="str">
        <f>'DebtSvs-Library'!B50</f>
        <v>Motor Vehicle Tax</v>
      </c>
      <c r="C17" s="673"/>
      <c r="D17" s="673"/>
      <c r="E17" s="678">
        <f>'DebtSvs-Library'!D50</f>
        <v>0</v>
      </c>
      <c r="F17" s="673"/>
      <c r="G17" s="678" t="str">
        <f>'DebtSvs-Library'!E50</f>
        <v xml:space="preserve">  </v>
      </c>
      <c r="H17" s="673"/>
      <c r="I17" s="673"/>
    </row>
    <row r="18" spans="2:9" ht="15.75">
      <c r="B18" s="674" t="str">
        <f>'DebtSvs-Library'!B51</f>
        <v>Recreational Vehicle Tax</v>
      </c>
      <c r="C18" s="673"/>
      <c r="D18" s="673"/>
      <c r="E18" s="678">
        <f>'DebtSvs-Library'!D51</f>
        <v>0</v>
      </c>
      <c r="F18" s="673"/>
      <c r="G18" s="678" t="str">
        <f>'DebtSvs-Library'!E51</f>
        <v xml:space="preserve">  </v>
      </c>
      <c r="H18" s="673"/>
      <c r="I18" s="673"/>
    </row>
    <row r="19" spans="2:9" ht="15.75">
      <c r="B19" s="674" t="str">
        <f>'DebtSvs-Library'!B52</f>
        <v>16/20M Vehicle Tax</v>
      </c>
      <c r="C19" s="673"/>
      <c r="D19" s="673"/>
      <c r="E19" s="678">
        <f>'DebtSvs-Library'!D52</f>
        <v>0</v>
      </c>
      <c r="F19" s="673"/>
      <c r="G19" s="678" t="str">
        <f>'DebtSvs-Library'!E52</f>
        <v xml:space="preserve">  </v>
      </c>
      <c r="H19" s="673"/>
      <c r="I19" s="673"/>
    </row>
    <row r="20" spans="2:9" ht="15.75">
      <c r="B20" s="673" t="s">
        <v>121</v>
      </c>
      <c r="C20" s="673"/>
      <c r="D20" s="673"/>
      <c r="E20" s="678">
        <v>0</v>
      </c>
      <c r="F20" s="673"/>
      <c r="G20" s="678">
        <v>0</v>
      </c>
      <c r="H20" s="673"/>
      <c r="I20" s="673"/>
    </row>
    <row r="21" spans="2:9" ht="15.75">
      <c r="B21" s="673"/>
      <c r="C21" s="673"/>
      <c r="D21" s="673"/>
      <c r="E21" s="678">
        <v>0</v>
      </c>
      <c r="F21" s="673"/>
      <c r="G21" s="678">
        <v>0</v>
      </c>
      <c r="H21" s="673"/>
      <c r="I21" s="673"/>
    </row>
    <row r="22" spans="2:9" ht="15.75">
      <c r="B22" s="673" t="s">
        <v>850</v>
      </c>
      <c r="C22" s="673"/>
      <c r="D22" s="673"/>
      <c r="E22" s="679">
        <f>SUM(E15:E21)</f>
        <v>0</v>
      </c>
      <c r="F22" s="673"/>
      <c r="G22" s="679">
        <f>SUM(G15:G21)</f>
        <v>0</v>
      </c>
      <c r="H22" s="673"/>
      <c r="I22" s="673"/>
    </row>
    <row r="23" spans="2:9" ht="15.75">
      <c r="B23" s="673" t="s">
        <v>851</v>
      </c>
      <c r="C23" s="673"/>
      <c r="D23" s="673"/>
      <c r="E23" s="680">
        <f>G22-E22</f>
        <v>0</v>
      </c>
      <c r="F23" s="673"/>
      <c r="G23" s="681"/>
      <c r="H23" s="673"/>
      <c r="I23" s="673"/>
    </row>
    <row r="24" spans="2:9" ht="15.75">
      <c r="B24" s="673" t="s">
        <v>852</v>
      </c>
      <c r="C24" s="673"/>
      <c r="D24" s="682" t="str">
        <f>IF((G22-E22)&gt;0,"Qualify","Not Qualify")</f>
        <v>Not Qualify</v>
      </c>
      <c r="E24" s="673"/>
      <c r="F24" s="673"/>
      <c r="G24" s="673"/>
      <c r="H24" s="673"/>
      <c r="I24" s="673"/>
    </row>
    <row r="25" spans="2:9" ht="15.75">
      <c r="B25" s="673"/>
      <c r="C25" s="673"/>
      <c r="D25" s="673"/>
      <c r="E25" s="673"/>
      <c r="F25" s="673"/>
      <c r="G25" s="673"/>
      <c r="H25" s="673"/>
      <c r="I25" s="673"/>
    </row>
    <row r="26" spans="2:9" ht="15.75">
      <c r="B26" s="675" t="s">
        <v>853</v>
      </c>
      <c r="C26" s="673"/>
      <c r="D26" s="673"/>
      <c r="E26" s="673"/>
      <c r="F26" s="673"/>
      <c r="G26" s="673"/>
      <c r="H26" s="673"/>
      <c r="I26" s="673"/>
    </row>
    <row r="27" spans="2:9" ht="15.75">
      <c r="B27" s="673" t="s">
        <v>188</v>
      </c>
      <c r="C27" s="673"/>
      <c r="D27" s="673"/>
      <c r="E27" s="678">
        <f>summ!D35</f>
        <v>552605</v>
      </c>
      <c r="F27" s="673"/>
      <c r="G27" s="678">
        <f>summ!F35</f>
        <v>554438</v>
      </c>
      <c r="H27" s="673"/>
      <c r="I27" s="673"/>
    </row>
    <row r="28" spans="2:9" ht="15.75">
      <c r="B28" s="673" t="s">
        <v>854</v>
      </c>
      <c r="C28" s="673"/>
      <c r="D28" s="673"/>
      <c r="E28" s="683" t="str">
        <f>IF(G27-E27&gt;=0,"No","Yes")</f>
        <v>No</v>
      </c>
      <c r="F28" s="673"/>
      <c r="G28" s="673"/>
      <c r="H28" s="673"/>
      <c r="I28" s="673"/>
    </row>
    <row r="29" spans="2:9" ht="15.75">
      <c r="B29" s="673" t="s">
        <v>855</v>
      </c>
      <c r="C29" s="673"/>
      <c r="D29" s="673"/>
      <c r="E29" s="676" t="str">
        <f>summ!E18</f>
        <v xml:space="preserve">  </v>
      </c>
      <c r="F29" s="673"/>
      <c r="G29" s="691" t="str">
        <f>summ!H18</f>
        <v/>
      </c>
      <c r="H29" s="673"/>
      <c r="I29" s="673"/>
    </row>
    <row r="30" spans="2:9" ht="15.75">
      <c r="B30" s="673" t="s">
        <v>856</v>
      </c>
      <c r="C30" s="673"/>
      <c r="D30" s="673"/>
      <c r="E30" s="692" t="e">
        <f>G29-E29</f>
        <v>#VALUE!</v>
      </c>
      <c r="F30" s="673"/>
      <c r="G30" s="673"/>
      <c r="H30" s="673"/>
      <c r="I30" s="673"/>
    </row>
    <row r="31" spans="2:9" ht="15.75">
      <c r="B31" s="673" t="s">
        <v>852</v>
      </c>
      <c r="C31" s="673"/>
      <c r="D31" s="684" t="e">
        <f>IF(E30&gt;=0,"Qualify","Not Qualify")</f>
        <v>#VALUE!</v>
      </c>
      <c r="E31" s="673"/>
      <c r="F31" s="673"/>
      <c r="G31" s="673"/>
      <c r="H31" s="673"/>
      <c r="I31" s="673"/>
    </row>
    <row r="32" spans="2:9" ht="15.75">
      <c r="B32" s="673"/>
      <c r="C32" s="673"/>
      <c r="D32" s="673"/>
      <c r="E32" s="673"/>
      <c r="F32" s="673"/>
      <c r="G32" s="673"/>
      <c r="H32" s="673"/>
      <c r="I32" s="673"/>
    </row>
    <row r="33" spans="2:9" ht="15.75">
      <c r="B33" s="673" t="s">
        <v>857</v>
      </c>
      <c r="C33" s="673"/>
      <c r="D33" s="673"/>
      <c r="E33" s="673"/>
      <c r="F33" s="693" t="e">
        <f>IF(D24="Not Qualify",IF(D31="Not Qualify",IF(D31="Not Qualify","Not Qualify","Qualify"),"Qualify"),"Qualify")</f>
        <v>#VALUE!</v>
      </c>
      <c r="G33" s="673"/>
      <c r="H33" s="673"/>
      <c r="I33" s="673"/>
    </row>
    <row r="34" spans="2:9" ht="15.75">
      <c r="B34" s="673"/>
      <c r="C34" s="673"/>
      <c r="D34" s="673"/>
      <c r="E34" s="673"/>
      <c r="F34" s="673"/>
      <c r="G34" s="673"/>
      <c r="H34" s="673"/>
      <c r="I34" s="673"/>
    </row>
    <row r="35" spans="2:9" ht="15.75">
      <c r="B35" s="673"/>
      <c r="C35" s="673"/>
      <c r="D35" s="673"/>
      <c r="E35" s="673"/>
      <c r="F35" s="673"/>
      <c r="G35" s="673"/>
      <c r="H35" s="673"/>
      <c r="I35" s="673"/>
    </row>
    <row r="36" spans="2:9" ht="37.5" customHeight="1">
      <c r="B36" s="808" t="s">
        <v>858</v>
      </c>
      <c r="C36" s="808"/>
      <c r="D36" s="808"/>
      <c r="E36" s="808"/>
      <c r="F36" s="808"/>
      <c r="G36" s="808"/>
      <c r="H36" s="808"/>
      <c r="I36" s="808"/>
    </row>
    <row r="37" spans="2:9" ht="15.75">
      <c r="B37" s="673"/>
      <c r="C37" s="673"/>
      <c r="D37" s="673"/>
      <c r="E37" s="673"/>
      <c r="F37" s="673"/>
      <c r="G37" s="673"/>
      <c r="H37" s="673"/>
      <c r="I37" s="673"/>
    </row>
    <row r="38" spans="2:9" ht="15.75">
      <c r="B38" s="673"/>
      <c r="C38" s="673"/>
      <c r="D38" s="673"/>
      <c r="E38" s="673"/>
      <c r="F38" s="673"/>
      <c r="G38" s="673"/>
      <c r="H38" s="673"/>
      <c r="I38" s="673"/>
    </row>
    <row r="39" spans="2:9" ht="15.75">
      <c r="B39" s="673"/>
      <c r="C39" s="673"/>
      <c r="D39" s="673"/>
      <c r="E39" s="673"/>
      <c r="F39" s="673"/>
      <c r="G39" s="673"/>
      <c r="H39" s="673"/>
      <c r="I39" s="673"/>
    </row>
    <row r="40" spans="2:9" ht="15.75">
      <c r="B40" s="673"/>
      <c r="C40" s="673"/>
      <c r="D40" s="673"/>
      <c r="E40" s="690" t="s">
        <v>195</v>
      </c>
      <c r="F40" s="689">
        <v>7</v>
      </c>
      <c r="G40" s="673"/>
      <c r="H40" s="673"/>
      <c r="I40" s="673"/>
    </row>
    <row r="41" spans="2:9" ht="15.75">
      <c r="B41" s="673"/>
      <c r="C41" s="673"/>
      <c r="D41" s="673"/>
      <c r="E41" s="673"/>
      <c r="F41" s="673"/>
      <c r="G41" s="673"/>
      <c r="H41" s="673"/>
      <c r="I41" s="673"/>
    </row>
    <row r="42" spans="2:9" ht="15.75">
      <c r="B42" s="673"/>
      <c r="C42" s="673"/>
      <c r="D42" s="673"/>
      <c r="E42" s="673"/>
      <c r="F42" s="673"/>
      <c r="G42" s="673"/>
      <c r="H42" s="673"/>
      <c r="I42" s="673"/>
    </row>
    <row r="43" spans="2:9" ht="15.75">
      <c r="B43" s="804" t="s">
        <v>859</v>
      </c>
      <c r="C43" s="805"/>
      <c r="D43" s="805"/>
      <c r="E43" s="805"/>
      <c r="F43" s="805"/>
      <c r="G43" s="805"/>
      <c r="H43" s="805"/>
      <c r="I43" s="805"/>
    </row>
    <row r="44" spans="2:9" ht="15.75">
      <c r="B44" s="673"/>
      <c r="C44" s="673"/>
      <c r="D44" s="673"/>
      <c r="E44" s="673"/>
      <c r="F44" s="673"/>
      <c r="G44" s="673"/>
      <c r="H44" s="673"/>
      <c r="I44" s="673"/>
    </row>
    <row r="45" spans="2:9" ht="15.75">
      <c r="B45" s="685" t="s">
        <v>860</v>
      </c>
      <c r="C45" s="673"/>
      <c r="D45" s="673"/>
      <c r="E45" s="673"/>
      <c r="F45" s="673"/>
      <c r="G45" s="673"/>
      <c r="H45" s="673"/>
      <c r="I45" s="673"/>
    </row>
    <row r="46" spans="2:9" ht="15.75">
      <c r="B46" s="685" t="str">
        <f>CONCATENATE("sources in your ",G14," library fund is not equal to or greater than the amount from the same")</f>
        <v>sources in your 2014 library fund is not equal to or greater than the amount from the same</v>
      </c>
      <c r="C46" s="673"/>
      <c r="D46" s="673"/>
      <c r="E46" s="673"/>
      <c r="F46" s="673"/>
      <c r="G46" s="673"/>
      <c r="H46" s="673"/>
      <c r="I46" s="673"/>
    </row>
    <row r="47" spans="2:9" ht="15.75">
      <c r="B47" s="685" t="str">
        <f>CONCATENATE("sources in ",E14,".")</f>
        <v>sources in 2013.</v>
      </c>
      <c r="C47" s="671"/>
      <c r="D47" s="671"/>
      <c r="E47" s="671"/>
      <c r="F47" s="671"/>
      <c r="G47" s="671"/>
      <c r="H47" s="671"/>
      <c r="I47" s="671"/>
    </row>
    <row r="48" spans="2:9" ht="15.75">
      <c r="B48" s="671"/>
      <c r="C48" s="671"/>
      <c r="D48" s="671"/>
      <c r="E48" s="671"/>
      <c r="F48" s="671"/>
      <c r="G48" s="671"/>
      <c r="H48" s="671"/>
      <c r="I48" s="671"/>
    </row>
    <row r="49" spans="2:9" ht="15.75">
      <c r="B49" s="685" t="s">
        <v>861</v>
      </c>
      <c r="C49" s="685"/>
      <c r="D49" s="686"/>
      <c r="E49" s="686"/>
      <c r="F49" s="686"/>
      <c r="G49" s="686"/>
      <c r="H49" s="686"/>
      <c r="I49" s="686"/>
    </row>
    <row r="50" spans="2:9" ht="15.75">
      <c r="B50" s="685" t="s">
        <v>862</v>
      </c>
      <c r="C50" s="685"/>
      <c r="D50" s="686"/>
      <c r="E50" s="686"/>
      <c r="F50" s="686"/>
      <c r="G50" s="686"/>
      <c r="H50" s="686"/>
      <c r="I50" s="686"/>
    </row>
    <row r="51" spans="2:9" ht="15.75">
      <c r="B51" s="685" t="s">
        <v>863</v>
      </c>
      <c r="C51" s="685"/>
      <c r="D51" s="686"/>
      <c r="E51" s="686"/>
      <c r="F51" s="686"/>
      <c r="G51" s="686"/>
      <c r="H51" s="686"/>
      <c r="I51" s="686"/>
    </row>
    <row r="52" spans="2:9">
      <c r="B52" s="686"/>
      <c r="C52" s="686"/>
      <c r="D52" s="686"/>
      <c r="E52" s="686"/>
      <c r="F52" s="686"/>
      <c r="G52" s="686"/>
      <c r="H52" s="686"/>
      <c r="I52" s="686"/>
    </row>
    <row r="53" spans="2:9" ht="15.75">
      <c r="B53" s="687" t="s">
        <v>864</v>
      </c>
      <c r="C53" s="686"/>
      <c r="D53" s="686"/>
      <c r="E53" s="686"/>
      <c r="F53" s="686"/>
      <c r="G53" s="686"/>
      <c r="H53" s="686"/>
      <c r="I53" s="686"/>
    </row>
    <row r="54" spans="2:9">
      <c r="B54" s="686"/>
      <c r="C54" s="686"/>
      <c r="D54" s="686"/>
      <c r="E54" s="686"/>
      <c r="F54" s="686"/>
      <c r="G54" s="686"/>
      <c r="H54" s="686"/>
      <c r="I54" s="686"/>
    </row>
    <row r="55" spans="2:9" ht="15.75">
      <c r="B55" s="685" t="s">
        <v>865</v>
      </c>
      <c r="C55" s="686"/>
      <c r="D55" s="686"/>
      <c r="E55" s="686"/>
      <c r="F55" s="686"/>
      <c r="G55" s="686"/>
      <c r="H55" s="686"/>
      <c r="I55" s="686"/>
    </row>
    <row r="56" spans="2:9" ht="15.75">
      <c r="B56" s="685" t="s">
        <v>866</v>
      </c>
      <c r="C56" s="686"/>
      <c r="D56" s="686"/>
      <c r="E56" s="686"/>
      <c r="F56" s="686"/>
      <c r="G56" s="686"/>
      <c r="H56" s="686"/>
      <c r="I56" s="686"/>
    </row>
    <row r="57" spans="2:9">
      <c r="B57" s="686"/>
      <c r="C57" s="686"/>
      <c r="D57" s="686"/>
      <c r="E57" s="686"/>
      <c r="F57" s="686"/>
      <c r="G57" s="686"/>
      <c r="H57" s="686"/>
      <c r="I57" s="686"/>
    </row>
    <row r="58" spans="2:9" ht="15.75">
      <c r="B58" s="687" t="s">
        <v>867</v>
      </c>
      <c r="C58" s="685"/>
      <c r="D58" s="685"/>
      <c r="E58" s="685"/>
      <c r="F58" s="685"/>
      <c r="G58" s="686"/>
      <c r="H58" s="686"/>
      <c r="I58" s="686"/>
    </row>
    <row r="59" spans="2:9" ht="15.75">
      <c r="B59" s="685"/>
      <c r="C59" s="685"/>
      <c r="D59" s="685"/>
      <c r="E59" s="685"/>
      <c r="F59" s="685"/>
      <c r="G59" s="686"/>
      <c r="H59" s="686"/>
      <c r="I59" s="686"/>
    </row>
    <row r="60" spans="2:9" ht="15.75">
      <c r="B60" s="685" t="s">
        <v>868</v>
      </c>
      <c r="C60" s="685"/>
      <c r="D60" s="685"/>
      <c r="E60" s="685"/>
      <c r="F60" s="685"/>
      <c r="G60" s="686"/>
      <c r="H60" s="686"/>
      <c r="I60" s="686"/>
    </row>
    <row r="61" spans="2:9" ht="15.75">
      <c r="B61" s="685" t="s">
        <v>869</v>
      </c>
      <c r="C61" s="685"/>
      <c r="D61" s="685"/>
      <c r="E61" s="685"/>
      <c r="F61" s="685"/>
      <c r="G61" s="686"/>
      <c r="H61" s="686"/>
      <c r="I61" s="686"/>
    </row>
    <row r="62" spans="2:9" ht="15.75">
      <c r="B62" s="685" t="s">
        <v>870</v>
      </c>
      <c r="C62" s="685"/>
      <c r="D62" s="685"/>
      <c r="E62" s="685"/>
      <c r="F62" s="685"/>
      <c r="G62" s="686"/>
      <c r="H62" s="686"/>
      <c r="I62" s="686"/>
    </row>
    <row r="63" spans="2:9" ht="15.75">
      <c r="B63" s="685" t="s">
        <v>871</v>
      </c>
      <c r="C63" s="685"/>
      <c r="D63" s="685"/>
      <c r="E63" s="685"/>
      <c r="F63" s="685"/>
      <c r="G63" s="686"/>
      <c r="H63" s="686"/>
      <c r="I63" s="686"/>
    </row>
    <row r="64" spans="2:9">
      <c r="B64" s="688"/>
      <c r="C64" s="688"/>
      <c r="D64" s="688"/>
      <c r="E64" s="688"/>
      <c r="F64" s="688"/>
      <c r="G64" s="686"/>
      <c r="H64" s="686"/>
      <c r="I64" s="686"/>
    </row>
    <row r="65" spans="2:9" ht="15.75">
      <c r="B65" s="685" t="s">
        <v>872</v>
      </c>
      <c r="C65" s="688"/>
      <c r="D65" s="688"/>
      <c r="E65" s="688"/>
      <c r="F65" s="688"/>
      <c r="G65" s="686"/>
      <c r="H65" s="686"/>
      <c r="I65" s="686"/>
    </row>
    <row r="66" spans="2:9" ht="15.75">
      <c r="B66" s="685" t="s">
        <v>873</v>
      </c>
      <c r="C66" s="688"/>
      <c r="D66" s="688"/>
      <c r="E66" s="688"/>
      <c r="F66" s="688"/>
      <c r="G66" s="686"/>
      <c r="H66" s="686"/>
      <c r="I66" s="686"/>
    </row>
    <row r="67" spans="2:9">
      <c r="B67" s="688"/>
      <c r="C67" s="688"/>
      <c r="D67" s="688"/>
      <c r="E67" s="688"/>
      <c r="F67" s="688"/>
      <c r="G67" s="686"/>
      <c r="H67" s="686"/>
      <c r="I67" s="686"/>
    </row>
    <row r="68" spans="2:9" ht="15.75">
      <c r="B68" s="685" t="s">
        <v>874</v>
      </c>
      <c r="C68" s="688"/>
      <c r="D68" s="688"/>
      <c r="E68" s="688"/>
      <c r="F68" s="688"/>
      <c r="G68" s="686"/>
      <c r="H68" s="686"/>
      <c r="I68" s="686"/>
    </row>
    <row r="69" spans="2:9" ht="15.75">
      <c r="B69" s="685" t="s">
        <v>875</v>
      </c>
      <c r="C69" s="688"/>
      <c r="D69" s="688"/>
      <c r="E69" s="688"/>
      <c r="F69" s="688"/>
      <c r="G69" s="686"/>
      <c r="H69" s="686"/>
      <c r="I69" s="686"/>
    </row>
    <row r="70" spans="2:9">
      <c r="B70" s="688"/>
      <c r="C70" s="688"/>
      <c r="D70" s="688"/>
      <c r="E70" s="688"/>
      <c r="F70" s="688"/>
      <c r="G70" s="686"/>
      <c r="H70" s="686"/>
      <c r="I70" s="686"/>
    </row>
    <row r="71" spans="2:9" ht="15.75">
      <c r="B71" s="687" t="s">
        <v>876</v>
      </c>
      <c r="C71" s="688"/>
      <c r="D71" s="688"/>
      <c r="E71" s="688"/>
      <c r="F71" s="688"/>
      <c r="G71" s="686"/>
      <c r="H71" s="686"/>
      <c r="I71" s="686"/>
    </row>
    <row r="72" spans="2:9">
      <c r="B72" s="688"/>
      <c r="C72" s="688"/>
      <c r="D72" s="688"/>
      <c r="E72" s="688"/>
      <c r="F72" s="688"/>
      <c r="G72" s="686"/>
      <c r="H72" s="686"/>
      <c r="I72" s="686"/>
    </row>
    <row r="73" spans="2:9" ht="15.75">
      <c r="B73" s="685" t="s">
        <v>877</v>
      </c>
      <c r="C73" s="688"/>
      <c r="D73" s="688"/>
      <c r="E73" s="688"/>
      <c r="F73" s="688"/>
      <c r="G73" s="686"/>
      <c r="H73" s="686"/>
      <c r="I73" s="686"/>
    </row>
    <row r="74" spans="2:9" ht="15.75">
      <c r="B74" s="685" t="s">
        <v>878</v>
      </c>
      <c r="C74" s="688"/>
      <c r="D74" s="688"/>
      <c r="E74" s="688"/>
      <c r="F74" s="688"/>
      <c r="G74" s="686"/>
      <c r="H74" s="686"/>
      <c r="I74" s="686"/>
    </row>
    <row r="75" spans="2:9">
      <c r="B75" s="688"/>
      <c r="C75" s="688"/>
      <c r="D75" s="688"/>
      <c r="E75" s="688"/>
      <c r="F75" s="688"/>
      <c r="G75" s="686"/>
      <c r="H75" s="686"/>
      <c r="I75" s="686"/>
    </row>
    <row r="76" spans="2:9" ht="15.75">
      <c r="B76" s="687" t="s">
        <v>879</v>
      </c>
      <c r="C76" s="688"/>
      <c r="D76" s="688"/>
      <c r="E76" s="688"/>
      <c r="F76" s="688"/>
      <c r="G76" s="686"/>
      <c r="H76" s="686"/>
      <c r="I76" s="686"/>
    </row>
    <row r="77" spans="2:9">
      <c r="B77" s="688"/>
      <c r="C77" s="688"/>
      <c r="D77" s="688"/>
      <c r="E77" s="688"/>
      <c r="F77" s="688"/>
      <c r="G77" s="686"/>
      <c r="H77" s="686"/>
      <c r="I77" s="686"/>
    </row>
    <row r="78" spans="2:9" ht="15.75">
      <c r="B78" s="685" t="str">
        <f>CONCATENATE("If the ",G14," municipal budget has not been published and has not been submitted to the County")</f>
        <v>If the 2014 municipal budget has not been published and has not been submitted to the County</v>
      </c>
      <c r="C78" s="688"/>
      <c r="D78" s="688"/>
      <c r="E78" s="688"/>
      <c r="F78" s="688"/>
      <c r="G78" s="686"/>
      <c r="H78" s="686"/>
      <c r="I78" s="686"/>
    </row>
    <row r="79" spans="2:9" ht="15.75">
      <c r="B79" s="685" t="s">
        <v>880</v>
      </c>
      <c r="C79" s="688"/>
      <c r="D79" s="688"/>
      <c r="E79" s="688"/>
      <c r="F79" s="688"/>
      <c r="G79" s="686"/>
      <c r="H79" s="686"/>
      <c r="I79" s="686"/>
    </row>
    <row r="80" spans="2:9">
      <c r="B80" s="688"/>
      <c r="C80" s="688"/>
      <c r="D80" s="688"/>
      <c r="E80" s="688"/>
      <c r="F80" s="688"/>
      <c r="G80" s="686"/>
      <c r="H80" s="686"/>
      <c r="I80" s="686"/>
    </row>
    <row r="81" spans="2:9" ht="15.75">
      <c r="B81" s="687" t="s">
        <v>476</v>
      </c>
      <c r="C81" s="688"/>
      <c r="D81" s="688"/>
      <c r="E81" s="688"/>
      <c r="F81" s="688"/>
      <c r="G81" s="686"/>
      <c r="H81" s="686"/>
      <c r="I81" s="686"/>
    </row>
    <row r="82" spans="2:9">
      <c r="B82" s="688"/>
      <c r="C82" s="688"/>
      <c r="D82" s="688"/>
      <c r="E82" s="688"/>
      <c r="F82" s="688"/>
      <c r="G82" s="686"/>
      <c r="H82" s="686"/>
      <c r="I82" s="686"/>
    </row>
    <row r="83" spans="2:9" ht="15.75">
      <c r="B83" s="685" t="s">
        <v>881</v>
      </c>
      <c r="C83" s="688"/>
      <c r="D83" s="688"/>
      <c r="E83" s="688"/>
      <c r="F83" s="688"/>
      <c r="G83" s="686"/>
      <c r="H83" s="686"/>
      <c r="I83" s="686"/>
    </row>
    <row r="84" spans="2:9" ht="15.75">
      <c r="B84" s="685" t="str">
        <f>CONCATENATE("Budget Year ",G14," is equal to or greater than that for Current Year Estimate ",E14,".")</f>
        <v>Budget Year 2014 is equal to or greater than that for Current Year Estimate 2013.</v>
      </c>
      <c r="C84" s="688"/>
      <c r="D84" s="688"/>
      <c r="E84" s="688"/>
      <c r="F84" s="688"/>
      <c r="G84" s="686"/>
      <c r="H84" s="686"/>
      <c r="I84" s="686"/>
    </row>
    <row r="85" spans="2:9">
      <c r="B85" s="688"/>
      <c r="C85" s="688"/>
      <c r="D85" s="688"/>
      <c r="E85" s="688"/>
      <c r="F85" s="688"/>
      <c r="G85" s="686"/>
      <c r="H85" s="686"/>
      <c r="I85" s="686"/>
    </row>
    <row r="86" spans="2:9" ht="15.75">
      <c r="B86" s="685" t="s">
        <v>882</v>
      </c>
      <c r="C86" s="688"/>
      <c r="D86" s="688"/>
      <c r="E86" s="688"/>
      <c r="F86" s="688"/>
      <c r="G86" s="686"/>
      <c r="H86" s="686"/>
      <c r="I86" s="686"/>
    </row>
    <row r="87" spans="2:9" ht="15.75">
      <c r="B87" s="685" t="s">
        <v>883</v>
      </c>
      <c r="C87" s="688"/>
      <c r="D87" s="688"/>
      <c r="E87" s="688"/>
      <c r="F87" s="688"/>
      <c r="G87" s="686"/>
      <c r="H87" s="686"/>
      <c r="I87" s="686"/>
    </row>
    <row r="88" spans="2:9" ht="15.75">
      <c r="B88" s="685" t="s">
        <v>884</v>
      </c>
      <c r="C88" s="688"/>
      <c r="D88" s="688"/>
      <c r="E88" s="688"/>
      <c r="F88" s="688"/>
      <c r="G88" s="686"/>
      <c r="H88" s="686"/>
      <c r="I88" s="686"/>
    </row>
    <row r="89" spans="2:9" ht="15.75">
      <c r="B89" s="685" t="str">
        <f>CONCATENATE("purpose for the previous (",E14,") year.")</f>
        <v>purpose for the previous (2013) year.</v>
      </c>
      <c r="C89" s="688"/>
      <c r="D89" s="688"/>
      <c r="E89" s="688"/>
      <c r="F89" s="688"/>
      <c r="G89" s="686"/>
      <c r="H89" s="686"/>
      <c r="I89" s="686"/>
    </row>
    <row r="90" spans="2:9">
      <c r="B90" s="688"/>
      <c r="C90" s="688"/>
      <c r="D90" s="688"/>
      <c r="E90" s="688"/>
      <c r="F90" s="688"/>
      <c r="G90" s="686"/>
      <c r="H90" s="686"/>
      <c r="I90" s="686"/>
    </row>
    <row r="91" spans="2:9" ht="15.75">
      <c r="B91" s="685" t="str">
        <f>CONCATENATE("Next, look to see if delinquent tax for ",G14," is budgeted. Often this line is budgeted at $0 or left")</f>
        <v>Next, look to see if delinquent tax for 2014 is budgeted. Often this line is budgeted at $0 or left</v>
      </c>
      <c r="C91" s="688"/>
      <c r="D91" s="688"/>
      <c r="E91" s="688"/>
      <c r="F91" s="688"/>
      <c r="G91" s="686"/>
      <c r="H91" s="686"/>
      <c r="I91" s="686"/>
    </row>
    <row r="92" spans="2:9" ht="15.75">
      <c r="B92" s="685" t="s">
        <v>885</v>
      </c>
      <c r="C92" s="688"/>
      <c r="D92" s="688"/>
      <c r="E92" s="688"/>
      <c r="F92" s="688"/>
      <c r="G92" s="686"/>
      <c r="H92" s="686"/>
      <c r="I92" s="686"/>
    </row>
    <row r="93" spans="2:9" ht="15.75">
      <c r="B93" s="685" t="s">
        <v>886</v>
      </c>
      <c r="C93" s="688"/>
      <c r="D93" s="688"/>
      <c r="E93" s="688"/>
      <c r="F93" s="688"/>
      <c r="G93" s="686"/>
      <c r="H93" s="686"/>
      <c r="I93" s="686"/>
    </row>
    <row r="94" spans="2:9" ht="15.75">
      <c r="B94" s="685" t="s">
        <v>887</v>
      </c>
      <c r="C94" s="688"/>
      <c r="D94" s="688"/>
      <c r="E94" s="688"/>
      <c r="F94" s="688"/>
      <c r="G94" s="686"/>
      <c r="H94" s="686"/>
      <c r="I94" s="686"/>
    </row>
    <row r="95" spans="2:9">
      <c r="B95" s="688"/>
      <c r="C95" s="688"/>
      <c r="D95" s="688"/>
      <c r="E95" s="688"/>
      <c r="F95" s="688"/>
      <c r="G95" s="686"/>
      <c r="H95" s="686"/>
      <c r="I95" s="686"/>
    </row>
    <row r="96" spans="2:9" ht="15.75">
      <c r="B96" s="687" t="s">
        <v>888</v>
      </c>
      <c r="C96" s="688"/>
      <c r="D96" s="688"/>
      <c r="E96" s="688"/>
      <c r="F96" s="688"/>
      <c r="G96" s="686"/>
      <c r="H96" s="686"/>
      <c r="I96" s="686"/>
    </row>
    <row r="97" spans="2:9">
      <c r="B97" s="688"/>
      <c r="C97" s="688"/>
      <c r="D97" s="688"/>
      <c r="E97" s="688"/>
      <c r="F97" s="688"/>
      <c r="G97" s="686"/>
      <c r="H97" s="686"/>
      <c r="I97" s="686"/>
    </row>
    <row r="98" spans="2:9" ht="15.75">
      <c r="B98" s="685" t="s">
        <v>889</v>
      </c>
      <c r="C98" s="688"/>
      <c r="D98" s="688"/>
      <c r="E98" s="688"/>
      <c r="F98" s="688"/>
      <c r="G98" s="686"/>
      <c r="H98" s="686"/>
      <c r="I98" s="686"/>
    </row>
    <row r="99" spans="2:9" ht="15.75">
      <c r="B99" s="685" t="s">
        <v>890</v>
      </c>
      <c r="C99" s="688"/>
      <c r="D99" s="688"/>
      <c r="E99" s="688"/>
      <c r="F99" s="688"/>
      <c r="G99" s="686"/>
      <c r="H99" s="686"/>
      <c r="I99" s="686"/>
    </row>
    <row r="100" spans="2:9">
      <c r="B100" s="688"/>
      <c r="C100" s="688"/>
      <c r="D100" s="688"/>
      <c r="E100" s="688"/>
      <c r="F100" s="688"/>
      <c r="G100" s="686"/>
      <c r="H100" s="686"/>
      <c r="I100" s="686"/>
    </row>
    <row r="101" spans="2:9" ht="15.75">
      <c r="B101" s="685" t="s">
        <v>891</v>
      </c>
      <c r="C101" s="688"/>
      <c r="D101" s="688"/>
      <c r="E101" s="688"/>
      <c r="F101" s="688"/>
      <c r="G101" s="686"/>
      <c r="H101" s="686"/>
      <c r="I101" s="686"/>
    </row>
    <row r="102" spans="2:9" ht="15.75">
      <c r="B102" s="685" t="s">
        <v>892</v>
      </c>
      <c r="C102" s="688"/>
      <c r="D102" s="688"/>
      <c r="E102" s="688"/>
      <c r="F102" s="688"/>
      <c r="G102" s="686"/>
      <c r="H102" s="686"/>
      <c r="I102" s="686"/>
    </row>
    <row r="103" spans="2:9" ht="15.75">
      <c r="B103" s="685" t="s">
        <v>893</v>
      </c>
      <c r="C103" s="688"/>
      <c r="D103" s="688"/>
      <c r="E103" s="688"/>
      <c r="F103" s="688"/>
      <c r="G103" s="686"/>
      <c r="H103" s="686"/>
      <c r="I103" s="686"/>
    </row>
    <row r="104" spans="2:9" ht="15.75">
      <c r="B104" s="685" t="s">
        <v>952</v>
      </c>
      <c r="C104" s="688"/>
      <c r="D104" s="688"/>
      <c r="E104" s="688"/>
      <c r="F104" s="688"/>
      <c r="G104" s="686"/>
      <c r="H104" s="686"/>
      <c r="I104" s="686"/>
    </row>
    <row r="105" spans="2:9" ht="15.75">
      <c r="B105" s="745" t="s">
        <v>979</v>
      </c>
      <c r="C105" s="746"/>
      <c r="D105" s="746"/>
      <c r="E105" s="746"/>
      <c r="F105" s="746"/>
      <c r="G105" s="686"/>
      <c r="H105" s="686"/>
      <c r="I105" s="686"/>
    </row>
    <row r="108" spans="2:9">
      <c r="G108" s="706"/>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8"/>
  <sheetViews>
    <sheetView topLeftCell="A64" zoomScaleNormal="100" workbookViewId="0">
      <selection activeCell="E82" sqref="E82"/>
    </sheetView>
  </sheetViews>
  <sheetFormatPr defaultRowHeight="15.75"/>
  <cols>
    <col min="1" max="1" width="2.44140625" style="65" customWidth="1"/>
    <col min="2" max="2" width="31.109375" style="65" customWidth="1"/>
    <col min="3" max="4" width="15.77734375" style="65" customWidth="1"/>
    <col min="5" max="5" width="16.21875" style="65" customWidth="1"/>
    <col min="6" max="6" width="7.21875" style="65" customWidth="1"/>
    <col min="7" max="7" width="10.21875" style="65" customWidth="1"/>
    <col min="8" max="8" width="8.88671875" style="65"/>
    <col min="9" max="9" width="5" style="65" customWidth="1"/>
    <col min="10" max="10" width="10" style="65" customWidth="1"/>
    <col min="11" max="16384" width="8.88671875" style="65"/>
  </cols>
  <sheetData>
    <row r="1" spans="2:5">
      <c r="B1" s="201" t="str">
        <f>(inputPrYr!D2)</f>
        <v>City of Circleville</v>
      </c>
      <c r="C1" s="64"/>
      <c r="D1" s="64"/>
      <c r="E1" s="161">
        <f>inputPrYr!$C$5</f>
        <v>2014</v>
      </c>
    </row>
    <row r="2" spans="2:5">
      <c r="B2" s="64"/>
      <c r="C2" s="64"/>
      <c r="D2" s="64"/>
      <c r="E2" s="218"/>
    </row>
    <row r="3" spans="2:5">
      <c r="B3" s="81"/>
      <c r="C3" s="223"/>
      <c r="D3" s="223"/>
      <c r="E3" s="163"/>
    </row>
    <row r="4" spans="2:5">
      <c r="B4" s="81" t="s">
        <v>223</v>
      </c>
      <c r="C4" s="276"/>
      <c r="D4" s="276"/>
      <c r="E4" s="276"/>
    </row>
    <row r="5" spans="2:5">
      <c r="B5" s="69" t="s">
        <v>165</v>
      </c>
      <c r="C5" s="717" t="s">
        <v>836</v>
      </c>
      <c r="D5" s="718" t="s">
        <v>837</v>
      </c>
      <c r="E5" s="174" t="s">
        <v>838</v>
      </c>
    </row>
    <row r="6" spans="2:5">
      <c r="B6" s="454" t="str">
        <f>+(inputPrYr!B17)</f>
        <v>General</v>
      </c>
      <c r="C6" s="333" t="str">
        <f>CONCATENATE("Actual for ",$E$1-2,"")</f>
        <v>Actual for 2012</v>
      </c>
      <c r="D6" s="415" t="str">
        <f>CONCATENATE("Estimate for ",$E$1-1,"")</f>
        <v>Estimate for 2013</v>
      </c>
      <c r="E6" s="229" t="str">
        <f>CONCATENATE("Year for ",$E$1,"")</f>
        <v>Year for 2014</v>
      </c>
    </row>
    <row r="7" spans="2:5">
      <c r="B7" s="178" t="s">
        <v>282</v>
      </c>
      <c r="C7" s="423">
        <v>47010.44</v>
      </c>
      <c r="D7" s="441">
        <f>C62</f>
        <v>43987.760000000009</v>
      </c>
      <c r="E7" s="277">
        <f>D62</f>
        <v>26009.760000000009</v>
      </c>
    </row>
    <row r="8" spans="2:5">
      <c r="B8" s="278" t="s">
        <v>284</v>
      </c>
      <c r="C8" s="424"/>
      <c r="D8" s="441"/>
      <c r="E8" s="279"/>
    </row>
    <row r="9" spans="2:5">
      <c r="B9" s="178" t="s">
        <v>166</v>
      </c>
      <c r="C9" s="423">
        <v>7309</v>
      </c>
      <c r="D9" s="441">
        <f>IF(inputPrYr!H16&gt;0,inputPrYr!G17,inputPrYr!E17)</f>
        <v>7596</v>
      </c>
      <c r="E9" s="280" t="s">
        <v>153</v>
      </c>
    </row>
    <row r="10" spans="2:5">
      <c r="B10" s="178" t="s">
        <v>167</v>
      </c>
      <c r="C10" s="423">
        <v>70</v>
      </c>
      <c r="D10" s="425"/>
      <c r="E10" s="281"/>
    </row>
    <row r="11" spans="2:5">
      <c r="B11" s="178" t="s">
        <v>168</v>
      </c>
      <c r="C11" s="423">
        <v>2046</v>
      </c>
      <c r="D11" s="425">
        <v>2000</v>
      </c>
      <c r="E11" s="282">
        <f>Mvalloc!D9</f>
        <v>1979.68</v>
      </c>
    </row>
    <row r="12" spans="2:5">
      <c r="B12" s="178" t="s">
        <v>169</v>
      </c>
      <c r="C12" s="423">
        <v>15</v>
      </c>
      <c r="D12" s="425">
        <v>15</v>
      </c>
      <c r="E12" s="282">
        <f>Mvalloc!E9</f>
        <v>14.54</v>
      </c>
    </row>
    <row r="13" spans="2:5">
      <c r="B13" s="283" t="s">
        <v>219</v>
      </c>
      <c r="C13" s="423">
        <v>101</v>
      </c>
      <c r="D13" s="425">
        <v>101</v>
      </c>
      <c r="E13" s="282">
        <f>Mvalloc!F9</f>
        <v>79</v>
      </c>
    </row>
    <row r="14" spans="2:5">
      <c r="B14" s="283" t="s">
        <v>263</v>
      </c>
      <c r="C14" s="423"/>
      <c r="D14" s="425"/>
      <c r="E14" s="282">
        <f>inputOth!E16</f>
        <v>0</v>
      </c>
    </row>
    <row r="15" spans="2:5">
      <c r="B15" s="283" t="s">
        <v>121</v>
      </c>
      <c r="C15" s="423"/>
      <c r="D15" s="425"/>
      <c r="E15" s="282">
        <f>inputOth!E36</f>
        <v>0</v>
      </c>
    </row>
    <row r="16" spans="2:5">
      <c r="B16" s="283" t="s">
        <v>123</v>
      </c>
      <c r="C16" s="423"/>
      <c r="D16" s="425"/>
      <c r="E16" s="282">
        <f>inputOth!E37</f>
        <v>0</v>
      </c>
    </row>
    <row r="17" spans="2:5">
      <c r="B17" s="425"/>
      <c r="C17" s="423"/>
      <c r="D17" s="425"/>
      <c r="E17" s="281"/>
    </row>
    <row r="18" spans="2:5">
      <c r="B18" s="284" t="s">
        <v>170</v>
      </c>
      <c r="C18" s="423"/>
      <c r="D18" s="425"/>
      <c r="E18" s="281"/>
    </row>
    <row r="19" spans="2:5">
      <c r="B19" s="442" t="s">
        <v>654</v>
      </c>
      <c r="C19" s="423">
        <v>727</v>
      </c>
      <c r="D19" s="425">
        <v>700</v>
      </c>
      <c r="E19" s="281">
        <v>700</v>
      </c>
    </row>
    <row r="20" spans="2:5">
      <c r="B20" s="284" t="s">
        <v>256</v>
      </c>
      <c r="C20" s="423">
        <v>8369.27</v>
      </c>
      <c r="D20" s="425">
        <v>8500</v>
      </c>
      <c r="E20" s="285">
        <v>8500</v>
      </c>
    </row>
    <row r="21" spans="2:5">
      <c r="B21" s="284" t="s">
        <v>257</v>
      </c>
      <c r="C21" s="423">
        <v>4662</v>
      </c>
      <c r="D21" s="425">
        <v>5000</v>
      </c>
      <c r="E21" s="281">
        <v>5500</v>
      </c>
    </row>
    <row r="22" spans="2:5">
      <c r="B22" s="284" t="s">
        <v>258</v>
      </c>
      <c r="C22" s="423">
        <v>164</v>
      </c>
      <c r="D22" s="425">
        <v>150</v>
      </c>
      <c r="E22" s="281">
        <v>150</v>
      </c>
    </row>
    <row r="23" spans="2:5">
      <c r="B23" s="284" t="s">
        <v>259</v>
      </c>
      <c r="C23" s="423">
        <v>25</v>
      </c>
      <c r="D23" s="425"/>
      <c r="E23" s="281"/>
    </row>
    <row r="24" spans="2:5">
      <c r="B24" s="41" t="s">
        <v>1006</v>
      </c>
      <c r="C24" s="423">
        <v>35</v>
      </c>
      <c r="D24" s="425">
        <v>35</v>
      </c>
      <c r="E24" s="281">
        <v>35</v>
      </c>
    </row>
    <row r="25" spans="2:5">
      <c r="B25" s="284" t="s">
        <v>1005</v>
      </c>
      <c r="C25" s="423">
        <v>1400</v>
      </c>
      <c r="D25" s="425">
        <v>1500</v>
      </c>
      <c r="E25" s="281">
        <v>1500</v>
      </c>
    </row>
    <row r="26" spans="2:5">
      <c r="B26" s="284" t="s">
        <v>1009</v>
      </c>
      <c r="C26" s="421">
        <v>875</v>
      </c>
      <c r="D26" s="425">
        <v>600</v>
      </c>
      <c r="E26" s="281">
        <v>700</v>
      </c>
    </row>
    <row r="27" spans="2:5">
      <c r="B27" s="284" t="s">
        <v>1010</v>
      </c>
      <c r="C27" s="423">
        <v>75</v>
      </c>
      <c r="D27" s="425">
        <v>75</v>
      </c>
      <c r="E27" s="281">
        <v>75</v>
      </c>
    </row>
    <row r="28" spans="2:5">
      <c r="B28" s="284" t="s">
        <v>1008</v>
      </c>
      <c r="C28" s="423">
        <v>383.75</v>
      </c>
      <c r="D28" s="425">
        <v>250</v>
      </c>
      <c r="E28" s="281">
        <v>250</v>
      </c>
    </row>
    <row r="29" spans="2:5">
      <c r="B29" s="284" t="s">
        <v>1007</v>
      </c>
      <c r="C29" s="423">
        <v>300</v>
      </c>
      <c r="D29" s="425">
        <v>150</v>
      </c>
      <c r="E29" s="281">
        <v>150</v>
      </c>
    </row>
    <row r="30" spans="2:5">
      <c r="B30" s="286" t="s">
        <v>171</v>
      </c>
      <c r="C30" s="423">
        <v>130</v>
      </c>
      <c r="D30" s="425">
        <v>150</v>
      </c>
      <c r="E30" s="281">
        <v>200</v>
      </c>
    </row>
    <row r="31" spans="2:5">
      <c r="B31" s="191" t="s">
        <v>260</v>
      </c>
      <c r="C31" s="421"/>
      <c r="D31" s="425"/>
      <c r="E31" s="287"/>
    </row>
    <row r="32" spans="2:5">
      <c r="B32" s="191" t="s">
        <v>653</v>
      </c>
      <c r="C32" s="414" t="str">
        <f>IF(C33*0.1&lt;C31,"Exceed 10% Rule","")</f>
        <v/>
      </c>
      <c r="D32" s="426" t="str">
        <f>IF(D33*0.1&lt;D31,"Exceed 10% Rule","")</f>
        <v/>
      </c>
      <c r="E32" s="288" t="str">
        <f>IF(E33*0.1+E68&lt;E31,"Exceed 10% Rule","")</f>
        <v/>
      </c>
    </row>
    <row r="33" spans="2:10">
      <c r="B33" s="289" t="s">
        <v>172</v>
      </c>
      <c r="C33" s="420">
        <f>SUM(C9:C31)</f>
        <v>26687.02</v>
      </c>
      <c r="D33" s="427">
        <f>SUM(D9:D31)</f>
        <v>26822</v>
      </c>
      <c r="E33" s="290">
        <f>SUM(E9:E31)</f>
        <v>19833.22</v>
      </c>
    </row>
    <row r="34" spans="2:10">
      <c r="B34" s="289" t="s">
        <v>173</v>
      </c>
      <c r="C34" s="420">
        <f>C7+C33</f>
        <v>73697.460000000006</v>
      </c>
      <c r="D34" s="427">
        <f>D7+D33</f>
        <v>70809.760000000009</v>
      </c>
      <c r="E34" s="291">
        <f>E7+E33</f>
        <v>45842.98000000001</v>
      </c>
    </row>
    <row r="35" spans="2:10">
      <c r="B35" s="278" t="s">
        <v>174</v>
      </c>
      <c r="C35" s="422"/>
      <c r="D35" s="428"/>
      <c r="E35" s="282"/>
    </row>
    <row r="36" spans="2:10">
      <c r="B36" s="292"/>
      <c r="C36" s="421"/>
      <c r="D36" s="425"/>
      <c r="E36" s="439"/>
    </row>
    <row r="37" spans="2:10">
      <c r="B37" s="292" t="s">
        <v>294</v>
      </c>
      <c r="C37" s="421">
        <v>6635.7</v>
      </c>
      <c r="D37" s="624">
        <v>7000</v>
      </c>
      <c r="E37" s="632">
        <v>9000</v>
      </c>
    </row>
    <row r="38" spans="2:10">
      <c r="B38" s="292" t="s">
        <v>296</v>
      </c>
      <c r="C38" s="421">
        <v>1674</v>
      </c>
      <c r="D38" s="624">
        <v>2100</v>
      </c>
      <c r="E38" s="632">
        <v>2100</v>
      </c>
    </row>
    <row r="39" spans="2:10">
      <c r="B39" s="627" t="s">
        <v>1011</v>
      </c>
      <c r="C39" s="421">
        <v>1772</v>
      </c>
      <c r="D39" s="624">
        <v>4500</v>
      </c>
      <c r="E39" s="632">
        <v>5000</v>
      </c>
    </row>
    <row r="40" spans="2:10">
      <c r="B40" s="627" t="s">
        <v>1012</v>
      </c>
      <c r="C40" s="421">
        <v>7352</v>
      </c>
      <c r="D40" s="624">
        <v>10000</v>
      </c>
      <c r="E40" s="632">
        <v>11000</v>
      </c>
    </row>
    <row r="41" spans="2:10">
      <c r="B41" s="627" t="s">
        <v>1013</v>
      </c>
      <c r="C41" s="421">
        <v>1484</v>
      </c>
      <c r="D41" s="624">
        <v>5000</v>
      </c>
      <c r="E41" s="632">
        <v>6000</v>
      </c>
    </row>
    <row r="42" spans="2:10">
      <c r="B42" s="627" t="s">
        <v>1014</v>
      </c>
      <c r="C42" s="421">
        <v>50</v>
      </c>
      <c r="D42" s="624">
        <v>600</v>
      </c>
      <c r="E42" s="632">
        <v>600</v>
      </c>
    </row>
    <row r="43" spans="2:10">
      <c r="B43" s="627" t="s">
        <v>1015</v>
      </c>
      <c r="C43" s="421">
        <v>1576</v>
      </c>
      <c r="D43" s="624">
        <v>4000</v>
      </c>
      <c r="E43" s="632">
        <v>5000</v>
      </c>
    </row>
    <row r="44" spans="2:10">
      <c r="B44" s="627" t="s">
        <v>1016</v>
      </c>
      <c r="C44" s="421">
        <v>200</v>
      </c>
      <c r="D44" s="624">
        <v>300</v>
      </c>
      <c r="E44" s="632">
        <v>300</v>
      </c>
    </row>
    <row r="45" spans="2:10">
      <c r="B45" s="627" t="s">
        <v>1017</v>
      </c>
      <c r="C45" s="421">
        <v>154</v>
      </c>
      <c r="D45" s="624">
        <v>175</v>
      </c>
      <c r="E45" s="632">
        <v>175</v>
      </c>
    </row>
    <row r="46" spans="2:10">
      <c r="B46" s="627" t="s">
        <v>1018</v>
      </c>
      <c r="C46" s="421">
        <v>655</v>
      </c>
      <c r="D46" s="624">
        <v>750</v>
      </c>
      <c r="E46" s="632">
        <v>750</v>
      </c>
    </row>
    <row r="47" spans="2:10">
      <c r="B47" s="627" t="s">
        <v>1019</v>
      </c>
      <c r="C47" s="421">
        <v>47</v>
      </c>
      <c r="D47" s="624">
        <v>200</v>
      </c>
      <c r="E47" s="632">
        <v>400</v>
      </c>
    </row>
    <row r="48" spans="2:10">
      <c r="B48" s="631" t="s">
        <v>1024</v>
      </c>
      <c r="C48" s="421">
        <v>110</v>
      </c>
      <c r="D48" s="425">
        <v>525</v>
      </c>
      <c r="E48" s="281">
        <v>600</v>
      </c>
      <c r="G48" s="809"/>
      <c r="H48" s="820"/>
      <c r="I48" s="820"/>
      <c r="J48" s="820"/>
    </row>
    <row r="49" spans="2:11">
      <c r="B49" s="631" t="s">
        <v>1053</v>
      </c>
      <c r="C49" s="421"/>
      <c r="D49" s="425">
        <v>500</v>
      </c>
      <c r="E49" s="281">
        <v>500</v>
      </c>
    </row>
    <row r="50" spans="2:11">
      <c r="B50" s="631" t="s">
        <v>1020</v>
      </c>
      <c r="C50" s="421"/>
      <c r="D50" s="425">
        <v>1000</v>
      </c>
      <c r="E50" s="281">
        <v>1500</v>
      </c>
    </row>
    <row r="51" spans="2:11">
      <c r="B51" s="631" t="s">
        <v>1021</v>
      </c>
      <c r="C51" s="421"/>
      <c r="D51" s="425">
        <v>150</v>
      </c>
      <c r="E51" s="281">
        <v>150</v>
      </c>
    </row>
    <row r="52" spans="2:11">
      <c r="B52" s="631" t="s">
        <v>1002</v>
      </c>
      <c r="C52" s="421">
        <v>8000</v>
      </c>
      <c r="D52" s="425"/>
      <c r="E52" s="281"/>
      <c r="G52" s="821" t="str">
        <f>CONCATENATE("Desired Carryover Into ",E1+1,"")</f>
        <v>Desired Carryover Into 2015</v>
      </c>
      <c r="H52" s="822"/>
      <c r="I52" s="822"/>
      <c r="J52" s="823"/>
    </row>
    <row r="53" spans="2:11">
      <c r="B53" s="292" t="s">
        <v>1055</v>
      </c>
      <c r="C53" s="421"/>
      <c r="D53" s="425">
        <v>4000</v>
      </c>
      <c r="E53" s="281">
        <v>5000</v>
      </c>
      <c r="G53" s="567"/>
      <c r="H53" s="465"/>
      <c r="I53" s="481"/>
      <c r="J53" s="568"/>
    </row>
    <row r="54" spans="2:11">
      <c r="B54" s="292" t="s">
        <v>1056</v>
      </c>
      <c r="C54" s="421"/>
      <c r="D54" s="425">
        <v>4000</v>
      </c>
      <c r="E54" s="281">
        <v>5000</v>
      </c>
      <c r="G54" s="487" t="s">
        <v>662</v>
      </c>
      <c r="H54" s="481"/>
      <c r="I54" s="481"/>
      <c r="J54" s="475">
        <v>0</v>
      </c>
    </row>
    <row r="55" spans="2:11">
      <c r="B55" s="292"/>
      <c r="C55" s="421"/>
      <c r="D55" s="425"/>
      <c r="E55" s="281"/>
      <c r="G55" s="567" t="s">
        <v>661</v>
      </c>
      <c r="H55" s="465"/>
      <c r="I55" s="465"/>
      <c r="J55" s="663" t="str">
        <f>IF(J54=0,"",ROUND((J54+E68-G67)/inputOth!E7*1000,3)-G72)</f>
        <v/>
      </c>
    </row>
    <row r="56" spans="2:11">
      <c r="B56" s="292"/>
      <c r="C56" s="421"/>
      <c r="D56" s="425"/>
      <c r="E56" s="281"/>
      <c r="G56" s="664" t="str">
        <f>CONCATENATE("",E1," Tot Exp/Non-Appr Must Be:")</f>
        <v>2014 Tot Exp/Non-Appr Must Be:</v>
      </c>
      <c r="H56" s="661"/>
      <c r="I56" s="662"/>
      <c r="J56" s="658">
        <f>IF(J54&gt;0,IF(E65&lt;E34,IF(J54=G67,E65,((J54-G67)*(1-D67))+E34),E65+(J54-G67)),0)</f>
        <v>0</v>
      </c>
    </row>
    <row r="57" spans="2:11">
      <c r="B57" s="292"/>
      <c r="C57" s="421"/>
      <c r="D57" s="425"/>
      <c r="E57" s="281"/>
      <c r="G57" s="696" t="s">
        <v>840</v>
      </c>
      <c r="H57" s="701"/>
      <c r="I57" s="701"/>
      <c r="J57" s="665">
        <f>IF(J54&gt;0,J56-E65,0)</f>
        <v>0</v>
      </c>
    </row>
    <row r="58" spans="2:11">
      <c r="B58" s="191" t="s">
        <v>53</v>
      </c>
      <c r="C58" s="421"/>
      <c r="D58" s="425"/>
      <c r="E58" s="282" t="str">
        <f>Nhood!E7</f>
        <v/>
      </c>
    </row>
    <row r="59" spans="2:11">
      <c r="B59" s="191" t="s">
        <v>260</v>
      </c>
      <c r="C59" s="421"/>
      <c r="D59" s="425"/>
      <c r="E59" s="281"/>
      <c r="G59" s="821" t="str">
        <f>CONCATENATE("Projected Carryover Into ",E1+1,"")</f>
        <v>Projected Carryover Into 2015</v>
      </c>
      <c r="H59" s="822"/>
      <c r="I59" s="822"/>
      <c r="J59" s="823"/>
    </row>
    <row r="60" spans="2:11">
      <c r="B60" s="191" t="s">
        <v>652</v>
      </c>
      <c r="C60" s="414" t="str">
        <f>IF(C61*0.1&lt;C59,"Exceed 10% Rule","")</f>
        <v/>
      </c>
      <c r="D60" s="426" t="str">
        <f>IF(D61*0.1&lt;D59,"Exceed 10% Rule","")</f>
        <v/>
      </c>
      <c r="E60" s="288" t="str">
        <f>IF(E61*0.1&lt;E59,"Exceed 10% Rule","")</f>
        <v/>
      </c>
      <c r="G60" s="476"/>
      <c r="H60" s="465"/>
      <c r="I60" s="465"/>
      <c r="J60" s="477"/>
    </row>
    <row r="61" spans="2:11">
      <c r="B61" s="289" t="s">
        <v>175</v>
      </c>
      <c r="C61" s="420">
        <f>SUM(C36:C59)</f>
        <v>29709.7</v>
      </c>
      <c r="D61" s="427">
        <f>SUM(D36:D59)</f>
        <v>44800</v>
      </c>
      <c r="E61" s="290">
        <f>SUM(E36:E59)</f>
        <v>53075</v>
      </c>
      <c r="G61" s="478">
        <f>D62</f>
        <v>26009.760000000009</v>
      </c>
      <c r="H61" s="479" t="str">
        <f>CONCATENATE("",E1-1," Ending Cash Balance (est.)")</f>
        <v>2013 Ending Cash Balance (est.)</v>
      </c>
      <c r="I61" s="480"/>
      <c r="J61" s="477"/>
    </row>
    <row r="62" spans="2:11">
      <c r="B62" s="178" t="s">
        <v>283</v>
      </c>
      <c r="C62" s="413">
        <f>C34-C61</f>
        <v>43987.760000000009</v>
      </c>
      <c r="D62" s="235">
        <f>D34-D61</f>
        <v>26009.760000000009</v>
      </c>
      <c r="E62" s="280" t="s">
        <v>153</v>
      </c>
      <c r="G62" s="478">
        <f>E33</f>
        <v>19833.22</v>
      </c>
      <c r="H62" s="481" t="str">
        <f>CONCATENATE("",E1," Non-AV Receipts (est.)")</f>
        <v>2014 Non-AV Receipts (est.)</v>
      </c>
      <c r="I62" s="480"/>
      <c r="J62" s="477"/>
    </row>
    <row r="63" spans="2:11">
      <c r="B63" s="210" t="str">
        <f>CONCATENATE("",E1-2,"/",E1-1," Budget Authority Amount:")</f>
        <v>2012/2013 Budget Authority Amount:</v>
      </c>
      <c r="C63" s="221">
        <f>inputOth!B55</f>
        <v>64118</v>
      </c>
      <c r="D63" s="221">
        <f>inputPrYr!D17</f>
        <v>64118</v>
      </c>
      <c r="E63" s="280" t="s">
        <v>153</v>
      </c>
      <c r="F63" s="294"/>
      <c r="G63" s="482">
        <f>IF(E67&gt;0,E66,E68)</f>
        <v>7232.0199999999895</v>
      </c>
      <c r="H63" s="481" t="str">
        <f>CONCATENATE("",E1," Ad Valorem Tax (est.)")</f>
        <v>2014 Ad Valorem Tax (est.)</v>
      </c>
      <c r="I63" s="480"/>
      <c r="J63" s="477"/>
      <c r="K63" s="703" t="str">
        <f>IF(G63=E68,"","Note: Does not include Delinquent Taxes")</f>
        <v/>
      </c>
    </row>
    <row r="64" spans="2:11">
      <c r="B64" s="210"/>
      <c r="C64" s="813" t="s">
        <v>655</v>
      </c>
      <c r="D64" s="814"/>
      <c r="E64" s="87"/>
      <c r="F64" s="471" t="str">
        <f>IF(E61/0.95-E61&lt;E64,"Exceeds 5%","")</f>
        <v/>
      </c>
      <c r="G64" s="478">
        <f>SUM(G61:G63)</f>
        <v>53075</v>
      </c>
      <c r="H64" s="481" t="str">
        <f>CONCATENATE("Total ",E1," Resources Available")</f>
        <v>Total 2014 Resources Available</v>
      </c>
      <c r="I64" s="480"/>
      <c r="J64" s="477"/>
    </row>
    <row r="65" spans="2:16">
      <c r="B65" s="429" t="str">
        <f>CONCATENATE(C77,"     ",D77)</f>
        <v xml:space="preserve">     </v>
      </c>
      <c r="C65" s="815" t="s">
        <v>656</v>
      </c>
      <c r="D65" s="816"/>
      <c r="E65" s="189">
        <f>E61+E64</f>
        <v>53075</v>
      </c>
      <c r="G65" s="483"/>
      <c r="H65" s="481"/>
      <c r="I65" s="481"/>
      <c r="J65" s="477"/>
    </row>
    <row r="66" spans="2:16">
      <c r="B66" s="429" t="str">
        <f>CONCATENATE(C78,"     ",D78)</f>
        <v xml:space="preserve">     </v>
      </c>
      <c r="C66" s="295"/>
      <c r="D66" s="218" t="s">
        <v>176</v>
      </c>
      <c r="E66" s="646">
        <f>IF(E65-E34&gt;0,E65-E34,0)</f>
        <v>7232.0199999999895</v>
      </c>
      <c r="G66" s="482">
        <f>ROUND(C61*0.05+C61,0)</f>
        <v>31195</v>
      </c>
      <c r="H66" s="481" t="str">
        <f>CONCATENATE("Less ",E1-2," Expenditures + 5%")</f>
        <v>Less 2012 Expenditures + 5%</v>
      </c>
      <c r="I66" s="480"/>
      <c r="J66" s="477"/>
    </row>
    <row r="67" spans="2:16">
      <c r="B67" s="296"/>
      <c r="C67" s="443" t="s">
        <v>657</v>
      </c>
      <c r="D67" s="707">
        <f>inputOth!E41</f>
        <v>0</v>
      </c>
      <c r="E67" s="189">
        <f>ROUND(IF(inputOth!E41&gt;0,(E66*inputOth!E41),0),0)</f>
        <v>0</v>
      </c>
      <c r="G67" s="488">
        <f>G64-G66</f>
        <v>21880</v>
      </c>
      <c r="H67" s="484" t="str">
        <f>CONCATENATE("Projected ",E1+1," Carryover (est.)")</f>
        <v>Projected 2015 Carryover (est.)</v>
      </c>
      <c r="I67" s="485"/>
      <c r="J67" s="486"/>
    </row>
    <row r="68" spans="2:16" ht="16.5" thickBot="1">
      <c r="B68" s="64"/>
      <c r="C68" s="811" t="str">
        <f>CONCATENATE("Amount of  ",E1-1," Ad Valorem Tax")</f>
        <v>Amount of  2013 Ad Valorem Tax</v>
      </c>
      <c r="D68" s="812"/>
      <c r="E68" s="708">
        <f>E66+E67</f>
        <v>7232.0199999999895</v>
      </c>
    </row>
    <row r="69" spans="2:16" ht="16.5" thickTop="1">
      <c r="B69" s="218"/>
      <c r="C69" s="811"/>
      <c r="D69" s="812"/>
      <c r="E69" s="64"/>
      <c r="G69" s="817" t="s">
        <v>958</v>
      </c>
      <c r="H69" s="818"/>
      <c r="I69" s="818"/>
      <c r="J69" s="819"/>
    </row>
    <row r="70" spans="2:16">
      <c r="B70" s="210"/>
      <c r="C70" s="218"/>
      <c r="D70" s="466"/>
      <c r="E70" s="64"/>
      <c r="G70" s="709"/>
      <c r="H70" s="479"/>
      <c r="I70" s="659"/>
      <c r="J70" s="660"/>
      <c r="M70" s="809"/>
      <c r="N70" s="809"/>
      <c r="O70" s="809"/>
      <c r="P70" s="810"/>
    </row>
    <row r="71" spans="2:16">
      <c r="B71" s="210" t="s">
        <v>178</v>
      </c>
      <c r="C71" s="69">
        <f>IF(inputPrYr!D19&gt;0,8,7)</f>
        <v>7</v>
      </c>
      <c r="D71" s="218"/>
      <c r="E71" s="218"/>
      <c r="G71" s="711">
        <f>summ!H16</f>
        <v>13.044</v>
      </c>
      <c r="H71" s="479" t="str">
        <f>CONCATENATE("",E1," Fund Mill Rate")</f>
        <v>2014 Fund Mill Rate</v>
      </c>
      <c r="I71" s="659"/>
      <c r="J71" s="660"/>
      <c r="M71" s="496"/>
      <c r="N71" s="496"/>
      <c r="O71" s="496"/>
      <c r="P71" s="496"/>
    </row>
    <row r="72" spans="2:16">
      <c r="C72" s="417"/>
      <c r="D72" s="417"/>
      <c r="E72" s="472"/>
      <c r="F72" s="461"/>
      <c r="G72" s="710">
        <f>summ!E16</f>
        <v>13.746</v>
      </c>
      <c r="H72" s="479" t="str">
        <f>CONCATENATE("",E1-1," Fund Mill Rate")</f>
        <v>2013 Fund Mill Rate</v>
      </c>
      <c r="I72" s="659"/>
      <c r="J72" s="660"/>
      <c r="L72" s="501"/>
      <c r="M72" s="497"/>
      <c r="N72" s="498"/>
      <c r="O72" s="498"/>
      <c r="P72" s="499"/>
    </row>
    <row r="73" spans="2:16">
      <c r="C73" s="473"/>
      <c r="D73" s="669"/>
      <c r="E73" s="670"/>
      <c r="F73" s="419"/>
      <c r="G73" s="712">
        <f>summ!H31</f>
        <v>13.044</v>
      </c>
      <c r="H73" s="479" t="str">
        <f>CONCATENATE("Total ",E1," Mill Rate")</f>
        <v>Total 2014 Mill Rate</v>
      </c>
      <c r="I73" s="659"/>
      <c r="J73" s="660"/>
      <c r="M73" s="473"/>
      <c r="N73" s="419"/>
      <c r="O73" s="473"/>
      <c r="P73" s="499"/>
    </row>
    <row r="74" spans="2:16">
      <c r="C74" s="474"/>
      <c r="D74" s="419"/>
      <c r="E74" s="419"/>
      <c r="F74" s="419"/>
      <c r="G74" s="710">
        <f>summ!E31</f>
        <v>13.746</v>
      </c>
      <c r="H74" s="647" t="str">
        <f>CONCATENATE("Total ",E1-1," Mill Rate")</f>
        <v>Total 2013 Mill Rate</v>
      </c>
      <c r="I74" s="648"/>
      <c r="J74" s="649"/>
      <c r="M74" s="473"/>
      <c r="N74" s="419"/>
      <c r="O74" s="473"/>
      <c r="P74" s="500"/>
    </row>
    <row r="75" spans="2:16" ht="14.25" customHeight="1">
      <c r="C75" s="418"/>
      <c r="D75" s="668"/>
      <c r="E75" s="499"/>
      <c r="F75" s="419"/>
    </row>
    <row r="76" spans="2:16">
      <c r="C76" s="418"/>
      <c r="D76" s="419"/>
      <c r="E76" s="419"/>
      <c r="F76" s="419"/>
      <c r="G76" s="750" t="s">
        <v>987</v>
      </c>
      <c r="H76" s="749"/>
      <c r="I76" s="748" t="str">
        <f>cert!E38</f>
        <v>No</v>
      </c>
    </row>
    <row r="77" spans="2:16" ht="15.75" hidden="1" customHeight="1">
      <c r="C77" s="460" t="str">
        <f>IF(C61&gt;C63,"See Tab A","")</f>
        <v/>
      </c>
      <c r="D77" s="459" t="str">
        <f>IF(D61&gt;D63,"See Tab C","")</f>
        <v/>
      </c>
      <c r="E77" s="419"/>
      <c r="F77" s="419"/>
    </row>
    <row r="78" spans="2:16" ht="15.75" hidden="1" customHeight="1">
      <c r="C78" s="458" t="str">
        <f>IF(C62&lt;0,"See Tab B","")</f>
        <v/>
      </c>
      <c r="D78" s="458" t="str">
        <f>IF(D62&lt;0,"See Tab D","")</f>
        <v/>
      </c>
      <c r="G78" s="824" t="s">
        <v>839</v>
      </c>
      <c r="H78" s="825"/>
      <c r="I78" s="825"/>
      <c r="J78" s="658">
        <f>IF(J53&gt;0,J55-E65,0)</f>
        <v>0</v>
      </c>
    </row>
  </sheetData>
  <sheetProtection sheet="1"/>
  <mergeCells count="10">
    <mergeCell ref="G48:J48"/>
    <mergeCell ref="G59:J59"/>
    <mergeCell ref="G52:J52"/>
    <mergeCell ref="C69:D69"/>
    <mergeCell ref="G78:I78"/>
    <mergeCell ref="M70:P70"/>
    <mergeCell ref="C68:D68"/>
    <mergeCell ref="C64:D64"/>
    <mergeCell ref="C65:D65"/>
    <mergeCell ref="G69:J69"/>
  </mergeCells>
  <phoneticPr fontId="0" type="noConversion"/>
  <conditionalFormatting sqref="E59">
    <cfRule type="cellIs" dxfId="135" priority="3" stopIfTrue="1" operator="greaterThan">
      <formula>$E$61*0.1</formula>
    </cfRule>
  </conditionalFormatting>
  <conditionalFormatting sqref="E64">
    <cfRule type="cellIs" dxfId="134" priority="4" stopIfTrue="1" operator="greaterThan">
      <formula>$E$61/0.95-$E$61</formula>
    </cfRule>
  </conditionalFormatting>
  <conditionalFormatting sqref="C62">
    <cfRule type="cellIs" dxfId="133" priority="5" stopIfTrue="1" operator="lessThan">
      <formula>0</formula>
    </cfRule>
  </conditionalFormatting>
  <conditionalFormatting sqref="D61">
    <cfRule type="cellIs" dxfId="132" priority="6" stopIfTrue="1" operator="greaterThan">
      <formula>$D$63</formula>
    </cfRule>
  </conditionalFormatting>
  <conditionalFormatting sqref="C59">
    <cfRule type="cellIs" dxfId="131" priority="8" stopIfTrue="1" operator="greaterThan">
      <formula>$C$61*0.1</formula>
    </cfRule>
  </conditionalFormatting>
  <conditionalFormatting sqref="D59">
    <cfRule type="cellIs" dxfId="130" priority="9" stopIfTrue="1" operator="greaterThan">
      <formula>$D$61*0.1</formula>
    </cfRule>
  </conditionalFormatting>
  <conditionalFormatting sqref="C31">
    <cfRule type="cellIs" dxfId="129" priority="10" stopIfTrue="1" operator="greaterThan">
      <formula>$C$33*0.1</formula>
    </cfRule>
  </conditionalFormatting>
  <conditionalFormatting sqref="D31">
    <cfRule type="cellIs" dxfId="128" priority="11" stopIfTrue="1" operator="greaterThan">
      <formula>$D$33*0.1</formula>
    </cfRule>
  </conditionalFormatting>
  <conditionalFormatting sqref="E31">
    <cfRule type="cellIs" dxfId="127" priority="12" stopIfTrue="1" operator="greaterThan">
      <formula>$E$33*0.1+E68</formula>
    </cfRule>
  </conditionalFormatting>
  <conditionalFormatting sqref="D62">
    <cfRule type="cellIs" dxfId="126" priority="2" stopIfTrue="1" operator="lessThan">
      <formula>0</formula>
    </cfRule>
  </conditionalFormatting>
  <conditionalFormatting sqref="C61">
    <cfRule type="cellIs" dxfId="125" priority="1" stopIfTrue="1" operator="greaterThan">
      <formula>$C$63</formula>
    </cfRule>
  </conditionalFormatting>
  <pageMargins left="0.5" right="0.5" top="1" bottom="0.5" header="0.5" footer="0.5"/>
  <pageSetup scale="63" orientation="portrait" blackAndWhite="1" r:id="rId1"/>
  <headerFooter alignWithMargins="0">
    <oddHeader xml:space="preserve">&amp;RState of Kansas
City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7"/>
  <sheetViews>
    <sheetView workbookViewId="0">
      <selection activeCell="B67" sqref="B67"/>
    </sheetView>
  </sheetViews>
  <sheetFormatPr defaultRowHeight="15.75"/>
  <cols>
    <col min="1" max="1" width="28.33203125" style="51" customWidth="1"/>
    <col min="2" max="3" width="15.77734375" style="51" customWidth="1"/>
    <col min="4" max="4" width="16.44140625" style="51" customWidth="1"/>
    <col min="5" max="16384" width="8.88671875" style="51"/>
  </cols>
  <sheetData>
    <row r="1" spans="1:4">
      <c r="A1" s="201" t="str">
        <f>inputPrYr!D2</f>
        <v>City of Circleville</v>
      </c>
      <c r="B1" s="64"/>
      <c r="C1" s="349"/>
      <c r="D1" s="64">
        <f>inputPrYr!C5</f>
        <v>2014</v>
      </c>
    </row>
    <row r="2" spans="1:4">
      <c r="A2" s="64"/>
      <c r="B2" s="64"/>
      <c r="C2" s="64"/>
      <c r="D2" s="349"/>
    </row>
    <row r="3" spans="1:4">
      <c r="A3" s="81" t="s">
        <v>66</v>
      </c>
      <c r="B3" s="350"/>
      <c r="C3" s="350"/>
      <c r="D3" s="350"/>
    </row>
    <row r="4" spans="1:4">
      <c r="A4" s="349" t="s">
        <v>165</v>
      </c>
      <c r="B4" s="717" t="s">
        <v>836</v>
      </c>
      <c r="C4" s="718" t="s">
        <v>837</v>
      </c>
      <c r="D4" s="174" t="s">
        <v>838</v>
      </c>
    </row>
    <row r="5" spans="1:4">
      <c r="A5" s="92" t="s">
        <v>67</v>
      </c>
      <c r="B5" s="333" t="str">
        <f>CONCATENATE("Actual for ",$D$1-2,"")</f>
        <v>Actual for 2012</v>
      </c>
      <c r="C5" s="415" t="str">
        <f>CONCATENATE("Estimate for ",$D$1-1,"")</f>
        <v>Estimate for 2013</v>
      </c>
      <c r="D5" s="229" t="str">
        <f>CONCATENATE("Year for ",$D$1,"")</f>
        <v>Year for 2014</v>
      </c>
    </row>
    <row r="6" spans="1:4">
      <c r="A6" s="245" t="s">
        <v>174</v>
      </c>
      <c r="B6" s="108"/>
      <c r="C6" s="108"/>
      <c r="D6" s="108"/>
    </row>
    <row r="7" spans="1:4">
      <c r="A7" s="351"/>
      <c r="B7" s="108"/>
      <c r="C7" s="108"/>
      <c r="D7" s="108"/>
    </row>
    <row r="8" spans="1:4">
      <c r="A8" s="352" t="s">
        <v>68</v>
      </c>
      <c r="B8" s="335"/>
      <c r="C8" s="335"/>
      <c r="D8" s="335"/>
    </row>
    <row r="9" spans="1:4">
      <c r="A9" s="352" t="s">
        <v>69</v>
      </c>
      <c r="B9" s="335"/>
      <c r="C9" s="335"/>
      <c r="D9" s="335"/>
    </row>
    <row r="10" spans="1:4">
      <c r="A10" s="352" t="s">
        <v>70</v>
      </c>
      <c r="B10" s="335"/>
      <c r="C10" s="335"/>
      <c r="D10" s="335"/>
    </row>
    <row r="11" spans="1:4">
      <c r="A11" s="352" t="s">
        <v>71</v>
      </c>
      <c r="B11" s="335"/>
      <c r="C11" s="335"/>
      <c r="D11" s="335"/>
    </row>
    <row r="12" spans="1:4">
      <c r="A12" s="352"/>
      <c r="B12" s="335"/>
      <c r="C12" s="335"/>
      <c r="D12" s="335"/>
    </row>
    <row r="13" spans="1:4">
      <c r="A13" s="90"/>
      <c r="B13" s="335"/>
      <c r="C13" s="335"/>
      <c r="D13" s="335"/>
    </row>
    <row r="14" spans="1:4">
      <c r="A14" s="90"/>
      <c r="B14" s="335"/>
      <c r="C14" s="335"/>
      <c r="D14" s="335"/>
    </row>
    <row r="15" spans="1:4">
      <c r="A15" s="245" t="s">
        <v>135</v>
      </c>
      <c r="B15" s="339">
        <f>SUM(B8:B14)</f>
        <v>0</v>
      </c>
      <c r="C15" s="339">
        <f>SUM(C8:C14)</f>
        <v>0</v>
      </c>
      <c r="D15" s="339">
        <f>SUM(D8:D14)</f>
        <v>0</v>
      </c>
    </row>
    <row r="16" spans="1:4">
      <c r="A16" s="297"/>
      <c r="B16" s="201"/>
      <c r="C16" s="201"/>
      <c r="D16" s="201"/>
    </row>
    <row r="17" spans="1:4">
      <c r="A17" s="352" t="s">
        <v>68</v>
      </c>
      <c r="B17" s="335"/>
      <c r="C17" s="335"/>
      <c r="D17" s="335"/>
    </row>
    <row r="18" spans="1:4">
      <c r="A18" s="352" t="s">
        <v>69</v>
      </c>
      <c r="B18" s="335"/>
      <c r="C18" s="335"/>
      <c r="D18" s="335"/>
    </row>
    <row r="19" spans="1:4">
      <c r="A19" s="352" t="s">
        <v>70</v>
      </c>
      <c r="B19" s="335"/>
      <c r="C19" s="335"/>
      <c r="D19" s="335"/>
    </row>
    <row r="20" spans="1:4">
      <c r="A20" s="352" t="s">
        <v>71</v>
      </c>
      <c r="B20" s="335"/>
      <c r="C20" s="335"/>
      <c r="D20" s="335"/>
    </row>
    <row r="21" spans="1:4">
      <c r="A21" s="352"/>
      <c r="B21" s="335"/>
      <c r="C21" s="335"/>
      <c r="D21" s="335"/>
    </row>
    <row r="22" spans="1:4">
      <c r="A22" s="245" t="s">
        <v>135</v>
      </c>
      <c r="B22" s="339">
        <f>SUM(B17:B20)</f>
        <v>0</v>
      </c>
      <c r="C22" s="339">
        <f>SUM(C17:C20)</f>
        <v>0</v>
      </c>
      <c r="D22" s="339">
        <f>SUM(D17:D20)</f>
        <v>0</v>
      </c>
    </row>
    <row r="23" spans="1:4">
      <c r="A23" s="297"/>
      <c r="B23" s="201"/>
      <c r="C23" s="201"/>
      <c r="D23" s="201"/>
    </row>
    <row r="24" spans="1:4">
      <c r="A24" s="352" t="s">
        <v>68</v>
      </c>
      <c r="B24" s="335"/>
      <c r="C24" s="335"/>
      <c r="D24" s="335"/>
    </row>
    <row r="25" spans="1:4">
      <c r="A25" s="352" t="s">
        <v>69</v>
      </c>
      <c r="B25" s="335"/>
      <c r="C25" s="335"/>
      <c r="D25" s="335"/>
    </row>
    <row r="26" spans="1:4">
      <c r="A26" s="352" t="s">
        <v>70</v>
      </c>
      <c r="B26" s="335"/>
      <c r="C26" s="335"/>
      <c r="D26" s="335"/>
    </row>
    <row r="27" spans="1:4">
      <c r="A27" s="352" t="s">
        <v>71</v>
      </c>
      <c r="B27" s="335"/>
      <c r="C27" s="335"/>
      <c r="D27" s="335"/>
    </row>
    <row r="28" spans="1:4">
      <c r="A28" s="352"/>
      <c r="B28" s="335"/>
      <c r="C28" s="335"/>
      <c r="D28" s="335"/>
    </row>
    <row r="29" spans="1:4">
      <c r="A29" s="245" t="s">
        <v>135</v>
      </c>
      <c r="B29" s="339">
        <f>SUM(B24:B27)</f>
        <v>0</v>
      </c>
      <c r="C29" s="339">
        <f>SUM(C24:C27)</f>
        <v>0</v>
      </c>
      <c r="D29" s="339">
        <f>SUM(D24:D27)</f>
        <v>0</v>
      </c>
    </row>
    <row r="30" spans="1:4">
      <c r="A30" s="297"/>
      <c r="B30" s="201"/>
      <c r="C30" s="201"/>
      <c r="D30" s="201"/>
    </row>
    <row r="31" spans="1:4">
      <c r="A31" s="352" t="s">
        <v>68</v>
      </c>
      <c r="B31" s="335"/>
      <c r="C31" s="335"/>
      <c r="D31" s="335"/>
    </row>
    <row r="32" spans="1:4">
      <c r="A32" s="352" t="s">
        <v>69</v>
      </c>
      <c r="B32" s="335"/>
      <c r="C32" s="335"/>
      <c r="D32" s="335"/>
    </row>
    <row r="33" spans="1:4">
      <c r="A33" s="352" t="s">
        <v>70</v>
      </c>
      <c r="B33" s="335"/>
      <c r="C33" s="335"/>
      <c r="D33" s="335"/>
    </row>
    <row r="34" spans="1:4">
      <c r="A34" s="352" t="s">
        <v>71</v>
      </c>
      <c r="B34" s="335"/>
      <c r="C34" s="335"/>
      <c r="D34" s="335"/>
    </row>
    <row r="35" spans="1:4">
      <c r="A35" s="245" t="s">
        <v>135</v>
      </c>
      <c r="B35" s="339">
        <f>SUM(B31:B34)</f>
        <v>0</v>
      </c>
      <c r="C35" s="339">
        <f>SUM(C31:C34)</f>
        <v>0</v>
      </c>
      <c r="D35" s="339">
        <f>SUM(D31:D34)</f>
        <v>0</v>
      </c>
    </row>
    <row r="36" spans="1:4">
      <c r="A36" s="297"/>
      <c r="B36" s="201"/>
      <c r="C36" s="201"/>
      <c r="D36" s="201"/>
    </row>
    <row r="37" spans="1:4">
      <c r="A37" s="352" t="s">
        <v>68</v>
      </c>
      <c r="B37" s="335"/>
      <c r="C37" s="335"/>
      <c r="D37" s="335"/>
    </row>
    <row r="38" spans="1:4">
      <c r="A38" s="352" t="s">
        <v>69</v>
      </c>
      <c r="B38" s="335"/>
      <c r="C38" s="335"/>
      <c r="D38" s="335"/>
    </row>
    <row r="39" spans="1:4">
      <c r="A39" s="352" t="s">
        <v>70</v>
      </c>
      <c r="B39" s="335"/>
      <c r="C39" s="335"/>
      <c r="D39" s="335"/>
    </row>
    <row r="40" spans="1:4">
      <c r="A40" s="352" t="s">
        <v>71</v>
      </c>
      <c r="B40" s="335"/>
      <c r="C40" s="335"/>
      <c r="D40" s="335"/>
    </row>
    <row r="41" spans="1:4">
      <c r="A41" s="352"/>
      <c r="B41" s="335"/>
      <c r="C41" s="335"/>
      <c r="D41" s="335"/>
    </row>
    <row r="42" spans="1:4">
      <c r="A42" s="245" t="s">
        <v>135</v>
      </c>
      <c r="B42" s="339">
        <f>SUM(B37:B40)</f>
        <v>0</v>
      </c>
      <c r="C42" s="339">
        <f>SUM(C37:C40)</f>
        <v>0</v>
      </c>
      <c r="D42" s="339">
        <f>SUM(D37:D40)</f>
        <v>0</v>
      </c>
    </row>
    <row r="43" spans="1:4">
      <c r="A43" s="297"/>
      <c r="B43" s="201"/>
      <c r="C43" s="201"/>
      <c r="D43" s="201"/>
    </row>
    <row r="44" spans="1:4">
      <c r="A44" s="352" t="s">
        <v>68</v>
      </c>
      <c r="B44" s="335"/>
      <c r="C44" s="335"/>
      <c r="D44" s="335"/>
    </row>
    <row r="45" spans="1:4">
      <c r="A45" s="352" t="s">
        <v>69</v>
      </c>
      <c r="B45" s="335"/>
      <c r="C45" s="335"/>
      <c r="D45" s="335"/>
    </row>
    <row r="46" spans="1:4">
      <c r="A46" s="352" t="s">
        <v>70</v>
      </c>
      <c r="B46" s="335"/>
      <c r="C46" s="335"/>
      <c r="D46" s="335"/>
    </row>
    <row r="47" spans="1:4">
      <c r="A47" s="352" t="s">
        <v>71</v>
      </c>
      <c r="B47" s="335"/>
      <c r="C47" s="335"/>
      <c r="D47" s="335"/>
    </row>
    <row r="48" spans="1:4">
      <c r="A48" s="352"/>
      <c r="B48" s="335"/>
      <c r="C48" s="335"/>
      <c r="D48" s="335"/>
    </row>
    <row r="49" spans="1:4">
      <c r="A49" s="245" t="s">
        <v>135</v>
      </c>
      <c r="B49" s="339">
        <f>SUM(B44:B47)</f>
        <v>0</v>
      </c>
      <c r="C49" s="339">
        <f>SUM(C44:C47)</f>
        <v>0</v>
      </c>
      <c r="D49" s="339">
        <f>SUM(D44:D47)</f>
        <v>0</v>
      </c>
    </row>
    <row r="50" spans="1:4">
      <c r="A50" s="297"/>
      <c r="B50" s="201"/>
      <c r="C50" s="201"/>
      <c r="D50" s="201"/>
    </row>
    <row r="51" spans="1:4">
      <c r="A51" s="352" t="s">
        <v>68</v>
      </c>
      <c r="B51" s="335"/>
      <c r="C51" s="335"/>
      <c r="D51" s="335"/>
    </row>
    <row r="52" spans="1:4">
      <c r="A52" s="352" t="s">
        <v>69</v>
      </c>
      <c r="B52" s="335"/>
      <c r="C52" s="335"/>
      <c r="D52" s="335"/>
    </row>
    <row r="53" spans="1:4">
      <c r="A53" s="352" t="s">
        <v>70</v>
      </c>
      <c r="B53" s="335"/>
      <c r="C53" s="335"/>
      <c r="D53" s="335"/>
    </row>
    <row r="54" spans="1:4">
      <c r="A54" s="352" t="s">
        <v>71</v>
      </c>
      <c r="B54" s="335"/>
      <c r="C54" s="335"/>
      <c r="D54" s="335"/>
    </row>
    <row r="55" spans="1:4">
      <c r="A55" s="352"/>
      <c r="B55" s="335"/>
      <c r="C55" s="335"/>
      <c r="D55" s="335"/>
    </row>
    <row r="56" spans="1:4">
      <c r="A56" s="245" t="s">
        <v>135</v>
      </c>
      <c r="B56" s="339">
        <f>SUM(B51:B54)</f>
        <v>0</v>
      </c>
      <c r="C56" s="339">
        <f>SUM(C51:C54)</f>
        <v>0</v>
      </c>
      <c r="D56" s="339">
        <f>SUM(D51:D54)</f>
        <v>0</v>
      </c>
    </row>
    <row r="57" spans="1:4">
      <c r="A57" s="297"/>
      <c r="B57" s="201"/>
      <c r="C57" s="201"/>
      <c r="D57" s="201"/>
    </row>
    <row r="58" spans="1:4">
      <c r="A58" s="352" t="s">
        <v>68</v>
      </c>
      <c r="B58" s="335"/>
      <c r="C58" s="335"/>
      <c r="D58" s="335"/>
    </row>
    <row r="59" spans="1:4">
      <c r="A59" s="352" t="s">
        <v>69</v>
      </c>
      <c r="B59" s="335"/>
      <c r="C59" s="335"/>
      <c r="D59" s="335"/>
    </row>
    <row r="60" spans="1:4">
      <c r="A60" s="352" t="s">
        <v>70</v>
      </c>
      <c r="B60" s="335"/>
      <c r="C60" s="335"/>
      <c r="D60" s="335"/>
    </row>
    <row r="61" spans="1:4">
      <c r="A61" s="352" t="s">
        <v>71</v>
      </c>
      <c r="B61" s="335"/>
      <c r="C61" s="335"/>
      <c r="D61" s="335"/>
    </row>
    <row r="62" spans="1:4">
      <c r="A62" s="352"/>
      <c r="B62" s="335"/>
      <c r="C62" s="335"/>
      <c r="D62" s="335"/>
    </row>
    <row r="63" spans="1:4">
      <c r="A63" s="245" t="s">
        <v>135</v>
      </c>
      <c r="B63" s="339">
        <f>SUM(B58:B61)</f>
        <v>0</v>
      </c>
      <c r="C63" s="339">
        <f>SUM(C58:C61)</f>
        <v>0</v>
      </c>
      <c r="D63" s="339">
        <f>SUM(D58:D61)</f>
        <v>0</v>
      </c>
    </row>
    <row r="64" spans="1:4">
      <c r="A64" s="64"/>
      <c r="B64" s="201"/>
      <c r="C64" s="201"/>
      <c r="D64" s="201"/>
    </row>
    <row r="65" spans="1:4" ht="16.5" thickBot="1">
      <c r="A65" s="245" t="s">
        <v>72</v>
      </c>
      <c r="B65" s="353">
        <f>B15+B22+B29+B35+B42+B49+B56+B63</f>
        <v>0</v>
      </c>
      <c r="C65" s="353">
        <f>C15+C22+C29+C35+C42+C49+C56+C63</f>
        <v>0</v>
      </c>
      <c r="D65" s="353">
        <f>D15+D22+D29+D35+D42+D49+D56+D63</f>
        <v>0</v>
      </c>
    </row>
    <row r="66" spans="1:4" ht="16.5" thickTop="1">
      <c r="A66" s="64"/>
      <c r="B66" s="201"/>
      <c r="C66" s="201"/>
      <c r="D66" s="201"/>
    </row>
    <row r="67" spans="1:4">
      <c r="A67" s="210" t="s">
        <v>178</v>
      </c>
      <c r="B67" s="743" t="str">
        <f>CONCATENATE("",general!C71,"b")</f>
        <v>7b</v>
      </c>
      <c r="C67" s="201"/>
      <c r="D67" s="201"/>
    </row>
  </sheetData>
  <sheetProtection sheet="1"/>
  <phoneticPr fontId="10" type="noConversion"/>
  <pageMargins left="0.75" right="0.75" top="1" bottom="1" header="0.5" footer="0.5"/>
  <pageSetup scale="62"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11" zoomScaleNormal="100" workbookViewId="0">
      <selection activeCell="D11" sqref="D11"/>
    </sheetView>
  </sheetViews>
  <sheetFormatPr defaultRowHeight="15.75"/>
  <cols>
    <col min="1" max="1" width="2.44140625" style="2" customWidth="1"/>
    <col min="2" max="2" width="31.109375" style="2" customWidth="1"/>
    <col min="3" max="4" width="15.77734375" style="2" customWidth="1"/>
    <col min="5" max="5" width="16.21875" style="2" customWidth="1"/>
    <col min="6" max="6" width="8.109375" style="2" customWidth="1"/>
    <col min="7" max="7" width="10.21875" style="2" customWidth="1"/>
    <col min="8" max="8" width="8.88671875" style="2"/>
    <col min="9" max="9" width="5" style="2" customWidth="1"/>
    <col min="10" max="10" width="10" style="2" customWidth="1"/>
    <col min="11" max="16384" width="8.88671875" style="2"/>
  </cols>
  <sheetData>
    <row r="1" spans="2:5">
      <c r="B1" s="201" t="str">
        <f>inputPrYr!D2</f>
        <v>City of Circleville</v>
      </c>
      <c r="C1" s="201"/>
      <c r="D1" s="64"/>
      <c r="E1" s="161">
        <f>inputPrYr!C5</f>
        <v>2014</v>
      </c>
    </row>
    <row r="2" spans="2:5">
      <c r="B2" s="64"/>
      <c r="C2" s="64"/>
      <c r="D2" s="64"/>
      <c r="E2" s="218"/>
    </row>
    <row r="3" spans="2:5">
      <c r="B3" s="81" t="s">
        <v>223</v>
      </c>
      <c r="C3" s="81"/>
      <c r="D3" s="276"/>
      <c r="E3" s="163"/>
    </row>
    <row r="4" spans="2:5">
      <c r="B4" s="69" t="s">
        <v>165</v>
      </c>
      <c r="C4" s="717" t="s">
        <v>836</v>
      </c>
      <c r="D4" s="718" t="s">
        <v>837</v>
      </c>
      <c r="E4" s="174" t="s">
        <v>838</v>
      </c>
    </row>
    <row r="5" spans="2:5">
      <c r="B5" s="453" t="str">
        <f>inputPrYr!B18</f>
        <v>Debt Service</v>
      </c>
      <c r="C5" s="333" t="str">
        <f>CONCATENATE("Actual for ",$E$1-2,"")</f>
        <v>Actual for 2012</v>
      </c>
      <c r="D5" s="415" t="str">
        <f>CONCATENATE("Estimate for ",$E$1-1,"")</f>
        <v>Estimate for 2013</v>
      </c>
      <c r="E5" s="229" t="str">
        <f>CONCATENATE("Year for ",$E$1,"")</f>
        <v>Year for 2014</v>
      </c>
    </row>
    <row r="6" spans="2:5">
      <c r="B6" s="178" t="s">
        <v>282</v>
      </c>
      <c r="C6" s="448">
        <v>24582</v>
      </c>
      <c r="D6" s="447">
        <f>C34</f>
        <v>31357</v>
      </c>
      <c r="E6" s="189">
        <f>D34</f>
        <v>38368</v>
      </c>
    </row>
    <row r="7" spans="2:5">
      <c r="B7" s="178" t="s">
        <v>284</v>
      </c>
      <c r="C7" s="190"/>
      <c r="D7" s="447"/>
      <c r="E7" s="189"/>
    </row>
    <row r="8" spans="2:5">
      <c r="B8" s="178" t="s">
        <v>166</v>
      </c>
      <c r="C8" s="444"/>
      <c r="D8" s="447">
        <f>IF(inputPrYr!H16&gt;0,inputPrYr!G18,inputPrYr!E18)</f>
        <v>0</v>
      </c>
      <c r="E8" s="345" t="s">
        <v>153</v>
      </c>
    </row>
    <row r="9" spans="2:5">
      <c r="B9" s="178" t="s">
        <v>167</v>
      </c>
      <c r="C9" s="444"/>
      <c r="D9" s="449"/>
      <c r="E9" s="87"/>
    </row>
    <row r="10" spans="2:5">
      <c r="B10" s="178" t="s">
        <v>168</v>
      </c>
      <c r="C10" s="444"/>
      <c r="D10" s="449"/>
      <c r="E10" s="189" t="str">
        <f>Mvalloc!D10</f>
        <v xml:space="preserve">  </v>
      </c>
    </row>
    <row r="11" spans="2:5">
      <c r="B11" s="178" t="s">
        <v>169</v>
      </c>
      <c r="C11" s="444"/>
      <c r="D11" s="449"/>
      <c r="E11" s="189" t="str">
        <f>Mvalloc!E10</f>
        <v xml:space="preserve">  </v>
      </c>
    </row>
    <row r="12" spans="2:5">
      <c r="B12" s="191" t="s">
        <v>219</v>
      </c>
      <c r="C12" s="444"/>
      <c r="D12" s="449"/>
      <c r="E12" s="189" t="str">
        <f>Mvalloc!F10</f>
        <v xml:space="preserve">  </v>
      </c>
    </row>
    <row r="13" spans="2:5">
      <c r="B13" s="347"/>
      <c r="C13" s="444"/>
      <c r="D13" s="449"/>
      <c r="E13" s="352"/>
    </row>
    <row r="14" spans="2:5">
      <c r="B14" s="347" t="s">
        <v>1048</v>
      </c>
      <c r="C14" s="444">
        <v>13200</v>
      </c>
      <c r="D14" s="449">
        <v>13200</v>
      </c>
      <c r="E14" s="87">
        <v>13200</v>
      </c>
    </row>
    <row r="15" spans="2:5">
      <c r="B15" s="347"/>
      <c r="C15" s="444"/>
      <c r="D15" s="449"/>
      <c r="E15" s="87"/>
    </row>
    <row r="16" spans="2:5">
      <c r="B16" s="347"/>
      <c r="C16" s="444"/>
      <c r="D16" s="449"/>
      <c r="E16" s="87"/>
    </row>
    <row r="17" spans="2:10">
      <c r="B17" s="337" t="s">
        <v>171</v>
      </c>
      <c r="C17" s="444">
        <v>33</v>
      </c>
      <c r="D17" s="449">
        <v>46</v>
      </c>
      <c r="E17" s="87">
        <v>46</v>
      </c>
    </row>
    <row r="18" spans="2:10">
      <c r="B18" s="178" t="s">
        <v>260</v>
      </c>
      <c r="C18" s="495"/>
      <c r="D18" s="449"/>
      <c r="E18" s="87"/>
    </row>
    <row r="19" spans="2:10">
      <c r="B19" s="178" t="s">
        <v>653</v>
      </c>
      <c r="C19" s="414" t="str">
        <f>IF(C20*0.1&lt;C18,"Exceed 10% Rule","")</f>
        <v/>
      </c>
      <c r="D19" s="414" t="str">
        <f>IF(D20*0.1&lt;D18,"Exceeds 10% Rule","")</f>
        <v/>
      </c>
      <c r="E19" s="426" t="str">
        <f>IF(E20*0.1&lt;E18,"Exceed 10% Rule","")</f>
        <v/>
      </c>
    </row>
    <row r="20" spans="2:10">
      <c r="B20" s="289" t="s">
        <v>172</v>
      </c>
      <c r="C20" s="450">
        <f>SUM(C8:C18)</f>
        <v>13233</v>
      </c>
      <c r="D20" s="450">
        <f>SUM(D8:D18)</f>
        <v>13246</v>
      </c>
      <c r="E20" s="348">
        <f>SUM(E9:E18)</f>
        <v>13246</v>
      </c>
    </row>
    <row r="21" spans="2:10">
      <c r="B21" s="289" t="s">
        <v>173</v>
      </c>
      <c r="C21" s="450">
        <f>C6+C20</f>
        <v>37815</v>
      </c>
      <c r="D21" s="450">
        <f>D6+D20</f>
        <v>44603</v>
      </c>
      <c r="E21" s="348">
        <f>E6+E20</f>
        <v>51614</v>
      </c>
    </row>
    <row r="22" spans="2:10">
      <c r="B22" s="178" t="s">
        <v>174</v>
      </c>
      <c r="C22" s="178"/>
      <c r="D22" s="447"/>
      <c r="E22" s="189"/>
    </row>
    <row r="23" spans="2:10">
      <c r="B23" s="347"/>
      <c r="C23" s="444"/>
      <c r="D23" s="449"/>
      <c r="E23" s="87"/>
    </row>
    <row r="24" spans="2:10">
      <c r="B24" s="347" t="s">
        <v>212</v>
      </c>
      <c r="C24" s="444">
        <v>5000</v>
      </c>
      <c r="D24" s="449">
        <v>5000</v>
      </c>
      <c r="E24" s="87">
        <v>5000</v>
      </c>
      <c r="G24" s="821" t="str">
        <f>CONCATENATE("Desired Carryover Into ",E1+1,"")</f>
        <v>Desired Carryover Into 2015</v>
      </c>
      <c r="H24" s="822"/>
      <c r="I24" s="822"/>
      <c r="J24" s="823"/>
    </row>
    <row r="25" spans="2:10">
      <c r="B25" s="347" t="s">
        <v>210</v>
      </c>
      <c r="C25" s="449">
        <v>1458</v>
      </c>
      <c r="D25" s="449">
        <v>1235</v>
      </c>
      <c r="E25" s="87">
        <v>1005</v>
      </c>
      <c r="G25" s="567"/>
      <c r="H25" s="465"/>
      <c r="I25" s="481"/>
      <c r="J25" s="568"/>
    </row>
    <row r="26" spans="2:10">
      <c r="B26" s="347"/>
      <c r="C26" s="444"/>
      <c r="D26" s="449"/>
      <c r="E26" s="87"/>
      <c r="G26" s="487" t="s">
        <v>662</v>
      </c>
      <c r="H26" s="481"/>
      <c r="I26" s="481"/>
      <c r="J26" s="475">
        <v>0</v>
      </c>
    </row>
    <row r="27" spans="2:10">
      <c r="B27" s="347"/>
      <c r="C27" s="444"/>
      <c r="D27" s="449"/>
      <c r="E27" s="87"/>
      <c r="G27" s="567" t="s">
        <v>661</v>
      </c>
      <c r="H27" s="465"/>
      <c r="I27" s="465"/>
      <c r="J27" s="698" t="str">
        <f>IF(J26=0,"",ROUND((J26+E40-G39)/inputOth!E7*1000,3)-G44)</f>
        <v/>
      </c>
    </row>
    <row r="28" spans="2:10">
      <c r="B28" s="347"/>
      <c r="C28" s="444"/>
      <c r="D28" s="449"/>
      <c r="E28" s="87"/>
      <c r="G28" s="664" t="str">
        <f>CONCATENATE("",E1," Tot Exp/Non-Appr Must Be:")</f>
        <v>2014 Tot Exp/Non-Appr Must Be:</v>
      </c>
      <c r="H28" s="661"/>
      <c r="I28" s="662"/>
      <c r="J28" s="658">
        <f>IF(J26&gt;0,IF(E37&lt;E21,IF(J26=G39,E38,((J26-G39)*(1-D39))+E21),E38+(J26-G39)),0)</f>
        <v>0</v>
      </c>
    </row>
    <row r="29" spans="2:10">
      <c r="B29" s="347"/>
      <c r="C29" s="444"/>
      <c r="D29" s="449"/>
      <c r="E29" s="87"/>
      <c r="G29" s="696" t="s">
        <v>840</v>
      </c>
      <c r="H29" s="701"/>
      <c r="I29" s="701"/>
      <c r="J29" s="665">
        <f>IF(J26&gt;0,J28-E38,0)</f>
        <v>0</v>
      </c>
    </row>
    <row r="30" spans="2:10">
      <c r="B30" s="343" t="s">
        <v>53</v>
      </c>
      <c r="C30" s="444"/>
      <c r="D30" s="449"/>
      <c r="E30" s="189" t="str">
        <f>Nhood!E8</f>
        <v/>
      </c>
    </row>
    <row r="31" spans="2:10">
      <c r="B31" s="343" t="s">
        <v>260</v>
      </c>
      <c r="C31" s="495"/>
      <c r="D31" s="449"/>
      <c r="E31" s="87"/>
      <c r="G31" s="821" t="str">
        <f>CONCATENATE("Projected Carryover Into ",E1+1,"")</f>
        <v>Projected Carryover Into 2015</v>
      </c>
      <c r="H31" s="826"/>
      <c r="I31" s="826"/>
      <c r="J31" s="827"/>
    </row>
    <row r="32" spans="2:10">
      <c r="B32" s="343" t="s">
        <v>659</v>
      </c>
      <c r="C32" s="414" t="str">
        <f>IF(C33*0.1&lt;C31,"Exceed 10% Rule","")</f>
        <v/>
      </c>
      <c r="D32" s="414" t="str">
        <f>IF(D33*0.1&lt;D31,"Exceed 10% Rule","")</f>
        <v/>
      </c>
      <c r="E32" s="426" t="str">
        <f>IF(E33*0.1&lt;E31,"Exceed 10% Rule","")</f>
        <v/>
      </c>
      <c r="G32" s="567"/>
      <c r="H32" s="481"/>
      <c r="I32" s="481"/>
      <c r="J32" s="697"/>
    </row>
    <row r="33" spans="2:11">
      <c r="B33" s="289" t="s">
        <v>175</v>
      </c>
      <c r="C33" s="446">
        <f>SUM(C23:C31)</f>
        <v>6458</v>
      </c>
      <c r="D33" s="446">
        <f>SUM(D23:D31)</f>
        <v>6235</v>
      </c>
      <c r="E33" s="340">
        <f>SUM(E23:E31)</f>
        <v>6005</v>
      </c>
      <c r="G33" s="478">
        <f>D34</f>
        <v>38368</v>
      </c>
      <c r="H33" s="479" t="str">
        <f>CONCATENATE("",E1-1," Ending Cash Balance (est.)")</f>
        <v>2013 Ending Cash Balance (est.)</v>
      </c>
      <c r="I33" s="480"/>
      <c r="J33" s="697"/>
    </row>
    <row r="34" spans="2:11">
      <c r="B34" s="178" t="s">
        <v>283</v>
      </c>
      <c r="C34" s="451">
        <f>C21-C33</f>
        <v>31357</v>
      </c>
      <c r="D34" s="451">
        <f>D21-D33</f>
        <v>38368</v>
      </c>
      <c r="E34" s="345" t="s">
        <v>153</v>
      </c>
      <c r="F34"/>
      <c r="G34" s="478">
        <f>E20</f>
        <v>13246</v>
      </c>
      <c r="H34" s="481" t="str">
        <f>CONCATENATE("",E1," Non-AV Receipts (est.)")</f>
        <v>2014 Non-AV Receipts (est.)</v>
      </c>
      <c r="I34" s="480"/>
      <c r="J34" s="697"/>
    </row>
    <row r="35" spans="2:11">
      <c r="B35" s="210" t="str">
        <f>CONCATENATE("",E1-2,"/",E1-1," Budget Authority Amount:")</f>
        <v>2012/2013 Budget Authority Amount:</v>
      </c>
      <c r="C35" s="221">
        <f>inputOth!B56</f>
        <v>44616</v>
      </c>
      <c r="D35" s="293">
        <f>inputPrYr!D18</f>
        <v>44616</v>
      </c>
      <c r="E35" s="345" t="s">
        <v>153</v>
      </c>
      <c r="F35" s="294"/>
      <c r="G35" s="482">
        <f>IF(E39&gt;0,E38,E40)</f>
        <v>0</v>
      </c>
      <c r="H35" s="481" t="str">
        <f>CONCATENATE("",E1," Ad Valorem Tax (est.)")</f>
        <v>2014 Ad Valorem Tax (est.)</v>
      </c>
      <c r="I35" s="480"/>
      <c r="J35" s="697"/>
      <c r="K35" s="703" t="str">
        <f>IF(G35=E40,"","Note: Does not include Delinquent Taxes")</f>
        <v/>
      </c>
    </row>
    <row r="36" spans="2:11">
      <c r="B36" s="210"/>
      <c r="C36" s="813" t="s">
        <v>655</v>
      </c>
      <c r="D36" s="814"/>
      <c r="E36" s="87"/>
      <c r="F36" s="494" t="str">
        <f>IF(E33/0.95-E33&lt;E36,"Exceeds 5%","")</f>
        <v/>
      </c>
      <c r="G36" s="478">
        <f>SUM(G33:G35)</f>
        <v>51614</v>
      </c>
      <c r="H36" s="481" t="str">
        <f>CONCATENATE("Total ",E1," Resources Available")</f>
        <v>Total 2014 Resources Available</v>
      </c>
      <c r="I36" s="480"/>
      <c r="J36" s="697"/>
    </row>
    <row r="37" spans="2:11">
      <c r="B37" s="456" t="str">
        <f>CONCATENATE(C93,"     ",D93)</f>
        <v xml:space="preserve">     </v>
      </c>
      <c r="C37" s="815" t="s">
        <v>656</v>
      </c>
      <c r="D37" s="816"/>
      <c r="E37" s="189">
        <f>E33+E36</f>
        <v>6005</v>
      </c>
      <c r="F37"/>
      <c r="G37" s="483"/>
      <c r="H37" s="481"/>
      <c r="I37" s="481"/>
      <c r="J37" s="697"/>
    </row>
    <row r="38" spans="2:11">
      <c r="B38" s="456" t="str">
        <f>CONCATENATE(C94,"     ",D94)</f>
        <v xml:space="preserve">     </v>
      </c>
      <c r="C38" s="295"/>
      <c r="D38" s="218" t="s">
        <v>176</v>
      </c>
      <c r="E38" s="94">
        <f>IF(E37-E21&gt;0,E37-E21,0)</f>
        <v>0</v>
      </c>
      <c r="F38"/>
      <c r="G38" s="482">
        <f>C33</f>
        <v>6458</v>
      </c>
      <c r="H38" s="481" t="str">
        <f>CONCATENATE("Less ",E1-2," Expenditures")</f>
        <v>Less 2012 Expenditures</v>
      </c>
      <c r="I38" s="481"/>
      <c r="J38" s="697"/>
    </row>
    <row r="39" spans="2:11">
      <c r="B39" s="218"/>
      <c r="C39" s="443" t="s">
        <v>657</v>
      </c>
      <c r="D39" s="707">
        <f>inputOth!E41</f>
        <v>0</v>
      </c>
      <c r="E39" s="189">
        <f>ROUND(IF(D39&gt;0,(E38*D39),0),0)</f>
        <v>0</v>
      </c>
      <c r="F39"/>
      <c r="G39" s="699">
        <f>G36-G38</f>
        <v>45156</v>
      </c>
      <c r="H39" s="700" t="str">
        <f>CONCATENATE("Projected ",E1+1," carryover (est.)")</f>
        <v>Projected 2015 carryover (est.)</v>
      </c>
      <c r="I39" s="485"/>
      <c r="J39" s="738"/>
    </row>
    <row r="40" spans="2:11" ht="16.5" thickBot="1">
      <c r="B40" s="64"/>
      <c r="C40" s="811" t="str">
        <f>CONCATENATE("Amount of  ",E1-1," Ad Valorem Tax")</f>
        <v>Amount of  2013 Ad Valorem Tax</v>
      </c>
      <c r="D40" s="812"/>
      <c r="E40" s="714">
        <f>SUM(E38:E39)</f>
        <v>0</v>
      </c>
      <c r="F40"/>
    </row>
    <row r="41" spans="2:11" ht="16.5" thickTop="1">
      <c r="B41" s="64"/>
      <c r="C41" s="811"/>
      <c r="D41" s="812"/>
      <c r="E41" s="715"/>
      <c r="F41"/>
      <c r="G41" s="817" t="s">
        <v>958</v>
      </c>
      <c r="H41" s="818"/>
      <c r="I41" s="818"/>
      <c r="J41" s="819"/>
    </row>
    <row r="42" spans="2:11">
      <c r="B42" s="64"/>
      <c r="C42" s="633"/>
      <c r="D42" s="64"/>
      <c r="E42" s="64"/>
      <c r="F42"/>
      <c r="G42" s="709"/>
      <c r="H42" s="479"/>
      <c r="I42" s="659"/>
      <c r="J42" s="660"/>
    </row>
    <row r="43" spans="2:11">
      <c r="B43" s="69"/>
      <c r="C43" s="69"/>
      <c r="D43" s="276"/>
      <c r="E43" s="276"/>
      <c r="F43"/>
      <c r="G43" s="711" t="str">
        <f>summ!H17</f>
        <v xml:space="preserve">  </v>
      </c>
      <c r="H43" s="479" t="str">
        <f>CONCATENATE("",E1," Fund Mill Rate")</f>
        <v>2014 Fund Mill Rate</v>
      </c>
      <c r="I43" s="659"/>
      <c r="J43" s="660"/>
    </row>
    <row r="44" spans="2:11">
      <c r="B44" s="69" t="s">
        <v>165</v>
      </c>
      <c r="C44" s="717" t="s">
        <v>836</v>
      </c>
      <c r="D44" s="718" t="s">
        <v>837</v>
      </c>
      <c r="E44" s="174" t="s">
        <v>838</v>
      </c>
      <c r="F44"/>
      <c r="G44" s="710" t="str">
        <f>summ!E17</f>
        <v xml:space="preserve">  </v>
      </c>
      <c r="H44" s="479" t="str">
        <f>CONCATENATE("",E1-1," Fund Mill Rate")</f>
        <v>2013 Fund Mill Rate</v>
      </c>
      <c r="I44" s="659"/>
      <c r="J44" s="660"/>
    </row>
    <row r="45" spans="2:11">
      <c r="B45" s="454" t="str">
        <f>inputPrYr!B19</f>
        <v>Library</v>
      </c>
      <c r="C45" s="333" t="str">
        <f>CONCATENATE("Actual for ",$E$1-2,"")</f>
        <v>Actual for 2012</v>
      </c>
      <c r="D45" s="415" t="str">
        <f>CONCATENATE("Estimate for ",$E$1-1,"")</f>
        <v>Estimate for 2013</v>
      </c>
      <c r="E45" s="229" t="str">
        <f>CONCATENATE("Year for ",$E$1,"")</f>
        <v>Year for 2014</v>
      </c>
      <c r="F45"/>
      <c r="G45" s="712">
        <f>summ!H31</f>
        <v>13.044</v>
      </c>
      <c r="H45" s="479" t="str">
        <f>CONCATENATE("Total ",E1," Mill Rate")</f>
        <v>Total 2014 Mill Rate</v>
      </c>
      <c r="I45" s="659"/>
      <c r="J45" s="660"/>
    </row>
    <row r="46" spans="2:11">
      <c r="B46" s="178" t="s">
        <v>282</v>
      </c>
      <c r="C46" s="444"/>
      <c r="D46" s="447">
        <f>C74</f>
        <v>0</v>
      </c>
      <c r="E46" s="189">
        <f>D74</f>
        <v>0</v>
      </c>
      <c r="F46"/>
      <c r="G46" s="710">
        <f>summ!E31</f>
        <v>13.746</v>
      </c>
      <c r="H46" s="647" t="str">
        <f>CONCATENATE("Total ",E1-1," Mill Rate")</f>
        <v>Total 2013 Mill Rate</v>
      </c>
      <c r="I46" s="648"/>
      <c r="J46" s="649"/>
    </row>
    <row r="47" spans="2:11">
      <c r="B47" s="278" t="s">
        <v>284</v>
      </c>
      <c r="C47" s="178"/>
      <c r="D47" s="447"/>
      <c r="E47" s="189"/>
      <c r="F47"/>
    </row>
    <row r="48" spans="2:11">
      <c r="B48" s="178" t="s">
        <v>166</v>
      </c>
      <c r="C48" s="495"/>
      <c r="D48" s="447">
        <f>IF(inputPrYr!H16&gt;0,inputPrYr!G19,inputPrYr!E19)</f>
        <v>0</v>
      </c>
      <c r="E48" s="345" t="s">
        <v>153</v>
      </c>
      <c r="F48"/>
      <c r="G48" s="753" t="s">
        <v>987</v>
      </c>
      <c r="H48" s="752"/>
      <c r="I48" s="751" t="str">
        <f>cert!E38</f>
        <v>No</v>
      </c>
    </row>
    <row r="49" spans="2:10">
      <c r="B49" s="178" t="s">
        <v>167</v>
      </c>
      <c r="C49" s="495"/>
      <c r="D49" s="449">
        <v>0</v>
      </c>
      <c r="E49" s="87"/>
      <c r="F49"/>
    </row>
    <row r="50" spans="2:10">
      <c r="B50" s="178" t="s">
        <v>168</v>
      </c>
      <c r="C50" s="495"/>
      <c r="D50" s="449">
        <v>0</v>
      </c>
      <c r="E50" s="189" t="str">
        <f>Mvalloc!D11</f>
        <v xml:space="preserve">  </v>
      </c>
      <c r="F50"/>
    </row>
    <row r="51" spans="2:10">
      <c r="B51" s="178" t="s">
        <v>169</v>
      </c>
      <c r="C51" s="495"/>
      <c r="D51" s="449">
        <v>0</v>
      </c>
      <c r="E51" s="189" t="str">
        <f>Mvalloc!E11</f>
        <v xml:space="preserve">  </v>
      </c>
      <c r="F51"/>
    </row>
    <row r="52" spans="2:10">
      <c r="B52" s="191" t="s">
        <v>219</v>
      </c>
      <c r="C52" s="495"/>
      <c r="D52" s="449">
        <v>0</v>
      </c>
      <c r="E52" s="189" t="str">
        <f>Mvalloc!F11</f>
        <v xml:space="preserve">  </v>
      </c>
    </row>
    <row r="53" spans="2:10">
      <c r="B53" s="347"/>
      <c r="C53" s="495"/>
      <c r="D53" s="449">
        <v>0</v>
      </c>
      <c r="E53" s="352"/>
    </row>
    <row r="54" spans="2:10">
      <c r="B54" s="347"/>
      <c r="C54" s="495"/>
      <c r="D54" s="449">
        <v>0</v>
      </c>
      <c r="E54" s="352"/>
    </row>
    <row r="55" spans="2:10">
      <c r="B55" s="347"/>
      <c r="C55" s="495"/>
      <c r="D55" s="449"/>
      <c r="E55" s="87"/>
    </row>
    <row r="56" spans="2:10">
      <c r="B56" s="347"/>
      <c r="C56" s="495"/>
      <c r="D56" s="449"/>
      <c r="E56" s="87"/>
    </row>
    <row r="57" spans="2:10">
      <c r="B57" s="337" t="s">
        <v>171</v>
      </c>
      <c r="C57" s="495"/>
      <c r="D57" s="449"/>
      <c r="E57" s="87"/>
    </row>
    <row r="58" spans="2:10">
      <c r="B58" s="178" t="s">
        <v>260</v>
      </c>
      <c r="C58" s="495"/>
      <c r="D58" s="495"/>
      <c r="E58" s="587"/>
    </row>
    <row r="59" spans="2:10">
      <c r="B59" s="178" t="s">
        <v>653</v>
      </c>
      <c r="C59" s="414" t="str">
        <f>IF(C60*0.1&lt;C58,"Exceed 10% Rule","")</f>
        <v/>
      </c>
      <c r="D59" s="414" t="str">
        <f>IF(D60*0.1&lt;D58,"Exceeds 10% Rule","")</f>
        <v/>
      </c>
      <c r="E59" s="426" t="str">
        <f>IF(E60*0.1&lt;E58,"Exceed 10% Rule","")</f>
        <v/>
      </c>
    </row>
    <row r="60" spans="2:10">
      <c r="B60" s="289" t="s">
        <v>172</v>
      </c>
      <c r="C60" s="446">
        <f>SUM(C48:C58)</f>
        <v>0</v>
      </c>
      <c r="D60" s="446">
        <f>SUM(D48:D58)</f>
        <v>0</v>
      </c>
      <c r="E60" s="340">
        <f>SUM(E49:E58)</f>
        <v>0</v>
      </c>
    </row>
    <row r="61" spans="2:10">
      <c r="B61" s="289" t="s">
        <v>173</v>
      </c>
      <c r="C61" s="446">
        <f>C46+C60</f>
        <v>0</v>
      </c>
      <c r="D61" s="446">
        <f>D46+D60</f>
        <v>0</v>
      </c>
      <c r="E61" s="340">
        <f>E46+E60</f>
        <v>0</v>
      </c>
    </row>
    <row r="62" spans="2:10">
      <c r="B62" s="178" t="s">
        <v>174</v>
      </c>
      <c r="C62" s="178"/>
      <c r="D62" s="447"/>
      <c r="E62" s="189"/>
    </row>
    <row r="63" spans="2:10">
      <c r="B63" s="347"/>
      <c r="C63" s="444"/>
      <c r="D63" s="449"/>
      <c r="E63" s="87"/>
    </row>
    <row r="64" spans="2:10">
      <c r="B64" s="347"/>
      <c r="C64" s="444"/>
      <c r="D64" s="449">
        <v>0</v>
      </c>
      <c r="E64" s="87"/>
      <c r="G64" s="821" t="str">
        <f>CONCATENATE("Desired Carryover Into ",E1+1,"")</f>
        <v>Desired Carryover Into 2015</v>
      </c>
      <c r="H64" s="822"/>
      <c r="I64" s="822"/>
      <c r="J64" s="823"/>
    </row>
    <row r="65" spans="2:11">
      <c r="B65" s="347"/>
      <c r="C65" s="444"/>
      <c r="D65" s="449">
        <v>0</v>
      </c>
      <c r="E65" s="87"/>
      <c r="G65" s="567"/>
      <c r="H65" s="465"/>
      <c r="I65" s="481"/>
      <c r="J65" s="568"/>
    </row>
    <row r="66" spans="2:11">
      <c r="B66" s="347"/>
      <c r="C66" s="444"/>
      <c r="D66" s="449">
        <v>0</v>
      </c>
      <c r="E66" s="87"/>
      <c r="G66" s="487" t="s">
        <v>662</v>
      </c>
      <c r="H66" s="481"/>
      <c r="I66" s="481"/>
      <c r="J66" s="475">
        <v>0</v>
      </c>
    </row>
    <row r="67" spans="2:11">
      <c r="B67" s="347"/>
      <c r="C67" s="444"/>
      <c r="D67" s="449">
        <v>0</v>
      </c>
      <c r="E67" s="87"/>
      <c r="G67" s="567" t="s">
        <v>661</v>
      </c>
      <c r="H67" s="465"/>
      <c r="I67" s="465"/>
      <c r="J67" s="698" t="str">
        <f>IF(J66=0,"",ROUND((J66+E80-G79)/inputOth!E7*1000,3)-G84)</f>
        <v/>
      </c>
    </row>
    <row r="68" spans="2:11">
      <c r="B68" s="347"/>
      <c r="C68" s="444"/>
      <c r="D68" s="449">
        <v>0</v>
      </c>
      <c r="E68" s="87"/>
      <c r="G68" s="664" t="str">
        <f>CONCATENATE("",E1," Tot Exp/Non-Appr Must Be:")</f>
        <v>2014 Tot Exp/Non-Appr Must Be:</v>
      </c>
      <c r="H68" s="661"/>
      <c r="I68" s="662"/>
      <c r="J68" s="658">
        <f>IF(J66&gt;0,IF(E77&lt;E61,IF(J66=G79,E77,((J66-G79)*(1-D79))+E61),E77+(J66-G79)),0)</f>
        <v>0</v>
      </c>
    </row>
    <row r="69" spans="2:11">
      <c r="B69" s="347"/>
      <c r="C69" s="444"/>
      <c r="D69" s="449"/>
      <c r="E69" s="87"/>
      <c r="G69" s="696" t="s">
        <v>840</v>
      </c>
      <c r="H69" s="701"/>
      <c r="I69" s="701"/>
      <c r="J69" s="665">
        <f>IF(J66&gt;0,J68-E77,0)</f>
        <v>0</v>
      </c>
    </row>
    <row r="70" spans="2:11">
      <c r="B70" s="191" t="s">
        <v>53</v>
      </c>
      <c r="C70" s="444"/>
      <c r="D70" s="449"/>
      <c r="E70" s="189" t="str">
        <f>Nhood!E9</f>
        <v/>
      </c>
      <c r="F70"/>
    </row>
    <row r="71" spans="2:11">
      <c r="B71" s="191" t="s">
        <v>260</v>
      </c>
      <c r="C71" s="495"/>
      <c r="D71" s="449"/>
      <c r="E71" s="87"/>
      <c r="F71"/>
      <c r="G71" s="821" t="str">
        <f>CONCATENATE("Projected Carryover Into ",E1+1,"")</f>
        <v>Projected Carryover Into 2015</v>
      </c>
      <c r="H71" s="828"/>
      <c r="I71" s="828"/>
      <c r="J71" s="827"/>
    </row>
    <row r="72" spans="2:11">
      <c r="B72" s="191" t="s">
        <v>652</v>
      </c>
      <c r="C72" s="414" t="str">
        <f>IF(C73*0.1&lt;C71,"Exceed 10% Rule","")</f>
        <v/>
      </c>
      <c r="D72" s="414" t="str">
        <f>IF(D73*0.1&lt;D71,"Exceed 10% Rule","")</f>
        <v/>
      </c>
      <c r="E72" s="426" t="str">
        <f>IF(E73*0.1&lt;E71,"Exceed 10% Rule","")</f>
        <v/>
      </c>
      <c r="F72"/>
      <c r="G72" s="476"/>
      <c r="H72" s="465"/>
      <c r="I72" s="465"/>
      <c r="J72" s="713"/>
    </row>
    <row r="73" spans="2:11">
      <c r="B73" s="289" t="s">
        <v>175</v>
      </c>
      <c r="C73" s="446">
        <f>SUM(C63:C71)</f>
        <v>0</v>
      </c>
      <c r="D73" s="446">
        <f>SUM(D63:D71)</f>
        <v>0</v>
      </c>
      <c r="E73" s="340">
        <f>SUM(E63:E71)</f>
        <v>0</v>
      </c>
      <c r="F73"/>
      <c r="G73" s="478">
        <f>D74</f>
        <v>0</v>
      </c>
      <c r="H73" s="479" t="str">
        <f>CONCATENATE("",E1-1," Ending Cash Balance (est.)")</f>
        <v>2013 Ending Cash Balance (est.)</v>
      </c>
      <c r="I73" s="480"/>
      <c r="J73" s="713"/>
    </row>
    <row r="74" spans="2:11">
      <c r="B74" s="178" t="s">
        <v>283</v>
      </c>
      <c r="C74" s="451">
        <f>C61-C73</f>
        <v>0</v>
      </c>
      <c r="D74" s="451">
        <f>D61-D73</f>
        <v>0</v>
      </c>
      <c r="E74" s="345" t="s">
        <v>153</v>
      </c>
      <c r="F74"/>
      <c r="G74" s="478">
        <f>E60</f>
        <v>0</v>
      </c>
      <c r="H74" s="481" t="str">
        <f>CONCATENATE("",E1," Non-AV Receipts (est.)")</f>
        <v>2014 Non-AV Receipts (est.)</v>
      </c>
      <c r="I74" s="480"/>
      <c r="J74" s="713"/>
    </row>
    <row r="75" spans="2:11">
      <c r="B75" s="210" t="str">
        <f>CONCATENATE("",E1-2,"/",E1-1," Budget Authority Amount:")</f>
        <v>2012/2013 Budget Authority Amount:</v>
      </c>
      <c r="C75" s="221">
        <f>inputOth!B57</f>
        <v>0</v>
      </c>
      <c r="D75" s="221">
        <f>inputPrYr!D19</f>
        <v>0</v>
      </c>
      <c r="E75" s="345" t="s">
        <v>153</v>
      </c>
      <c r="F75" s="294"/>
      <c r="G75" s="482">
        <f>IF(E79&gt;0,E78,E80)</f>
        <v>0</v>
      </c>
      <c r="H75" s="481" t="str">
        <f>CONCATENATE("",E1," Ad Valorem Tax (est.)")</f>
        <v>2014 Ad Valorem Tax (est.)</v>
      </c>
      <c r="I75" s="480"/>
      <c r="J75" s="713"/>
      <c r="K75" s="703" t="str">
        <f>IF(G75=E80,"","Note: Does not include Delinquent Taxes")</f>
        <v/>
      </c>
    </row>
    <row r="76" spans="2:11">
      <c r="B76" s="210"/>
      <c r="C76" s="813" t="s">
        <v>655</v>
      </c>
      <c r="D76" s="814"/>
      <c r="E76" s="87">
        <v>0</v>
      </c>
      <c r="F76" s="694" t="str">
        <f>IF(E73/0.95-E73&lt;E76,"Exceeds 5%","")</f>
        <v/>
      </c>
      <c r="G76" s="569">
        <f>SUM(G73:G75)</f>
        <v>0</v>
      </c>
      <c r="H76" s="481" t="str">
        <f>CONCATENATE("Total ",E1," Resources Available")</f>
        <v>Total 2014 Resources Available</v>
      </c>
      <c r="I76" s="477"/>
      <c r="J76" s="713"/>
    </row>
    <row r="77" spans="2:11">
      <c r="B77" s="456" t="str">
        <f>CONCATENATE(C95,"     ",D95)</f>
        <v xml:space="preserve">     </v>
      </c>
      <c r="C77" s="815" t="s">
        <v>656</v>
      </c>
      <c r="D77" s="816"/>
      <c r="E77" s="189">
        <f>E73+E76</f>
        <v>0</v>
      </c>
      <c r="F77"/>
      <c r="G77" s="572"/>
      <c r="H77" s="570"/>
      <c r="I77" s="465"/>
      <c r="J77" s="713"/>
    </row>
    <row r="78" spans="2:11">
      <c r="B78" s="456" t="str">
        <f>CONCATENATE(C96,"     ",D96)</f>
        <v xml:space="preserve">     </v>
      </c>
      <c r="C78" s="295"/>
      <c r="D78" s="218" t="s">
        <v>176</v>
      </c>
      <c r="E78" s="94">
        <f>IF(E77-E61&gt;0,E77-E61,0)</f>
        <v>0</v>
      </c>
      <c r="F78"/>
      <c r="G78" s="571">
        <f>ROUND(C73*0.05+C73,0)</f>
        <v>0</v>
      </c>
      <c r="H78" s="570" t="str">
        <f>CONCATENATE("Less ",E1-2," Expenditures + 5%")</f>
        <v>Less 2012 Expenditures + 5%</v>
      </c>
      <c r="I78" s="477"/>
      <c r="J78" s="713"/>
    </row>
    <row r="79" spans="2:11">
      <c r="B79" s="218"/>
      <c r="C79" s="443" t="s">
        <v>657</v>
      </c>
      <c r="D79" s="707">
        <f>inputOth!E41</f>
        <v>0</v>
      </c>
      <c r="E79" s="189">
        <f>ROUND(IF(E78&gt;0,(E78*D79),0),0)</f>
        <v>0</v>
      </c>
      <c r="F79"/>
      <c r="G79" s="581">
        <f>G76-G78</f>
        <v>0</v>
      </c>
      <c r="H79" s="582" t="str">
        <f>CONCATENATE("Projected ",E1+1," carryover (est.)")</f>
        <v>Projected 2015 carryover (est.)</v>
      </c>
      <c r="I79" s="486"/>
      <c r="J79" s="739"/>
    </row>
    <row r="80" spans="2:11" ht="16.5" thickBot="1">
      <c r="B80" s="64"/>
      <c r="C80" s="811" t="str">
        <f>CONCATENATE("Amount of  ",E1-1," Ad Valorem Tax")</f>
        <v>Amount of  2013 Ad Valorem Tax</v>
      </c>
      <c r="D80" s="812"/>
      <c r="E80" s="714">
        <f>E78+E79</f>
        <v>0</v>
      </c>
      <c r="F80" s="695" t="e">
        <f>IF('Library Grant'!F33="","",IF('Library Grant'!F33="Qualify","Qualifies for State Library Grant","See 'Library Grant' tab"))</f>
        <v>#VALUE!</v>
      </c>
    </row>
    <row r="81" spans="2:10" ht="16.5" thickTop="1">
      <c r="B81" s="218"/>
      <c r="C81" s="811"/>
      <c r="D81" s="812"/>
      <c r="E81" s="715"/>
      <c r="F81"/>
      <c r="G81" s="817" t="s">
        <v>958</v>
      </c>
      <c r="H81" s="818"/>
      <c r="I81" s="818"/>
      <c r="J81" s="819"/>
    </row>
    <row r="82" spans="2:10">
      <c r="B82" s="218"/>
      <c r="C82" s="218"/>
      <c r="D82" s="218"/>
      <c r="E82" s="218"/>
      <c r="G82" s="709"/>
      <c r="H82" s="479"/>
      <c r="I82" s="659"/>
      <c r="J82" s="660"/>
    </row>
    <row r="83" spans="2:10">
      <c r="B83" s="218" t="s">
        <v>178</v>
      </c>
      <c r="C83" s="346">
        <v>8</v>
      </c>
      <c r="D83" s="218"/>
      <c r="E83" s="218"/>
      <c r="F83"/>
      <c r="G83" s="711" t="str">
        <f>summ!H18</f>
        <v/>
      </c>
      <c r="H83" s="479" t="str">
        <f>CONCATENATE("",E1," Fund Mill Rate")</f>
        <v>2014 Fund Mill Rate</v>
      </c>
      <c r="I83" s="659"/>
      <c r="J83" s="660"/>
    </row>
    <row r="84" spans="2:10">
      <c r="G84" s="710" t="str">
        <f>summ!E18</f>
        <v xml:space="preserve">  </v>
      </c>
      <c r="H84" s="479" t="str">
        <f>CONCATENATE("",E1-1," Fund Mill Rate")</f>
        <v>2013 Fund Mill Rate</v>
      </c>
      <c r="I84" s="659"/>
      <c r="J84" s="660"/>
    </row>
    <row r="85" spans="2:10">
      <c r="G85" s="712">
        <f>summ!H31</f>
        <v>13.044</v>
      </c>
      <c r="H85" s="479" t="str">
        <f>CONCATENATE("Total ",E1," Mill Rate")</f>
        <v>Total 2014 Mill Rate</v>
      </c>
      <c r="I85" s="659"/>
      <c r="J85" s="660"/>
    </row>
    <row r="86" spans="2:10">
      <c r="G86" s="710">
        <f>summ!E31</f>
        <v>13.746</v>
      </c>
      <c r="H86" s="647" t="str">
        <f>CONCATENATE("Total ",E1-1," Mill Rate")</f>
        <v>Total 2013 Mill Rate</v>
      </c>
      <c r="I86" s="648"/>
      <c r="J86" s="649"/>
    </row>
    <row r="87" spans="2:10">
      <c r="G87" s="716"/>
      <c r="H87" s="716"/>
      <c r="I87" s="716"/>
      <c r="J87" s="716"/>
    </row>
    <row r="88" spans="2:10">
      <c r="C88" s="65" t="s">
        <v>658</v>
      </c>
      <c r="D88" s="65" t="s">
        <v>658</v>
      </c>
      <c r="G88" s="756" t="s">
        <v>987</v>
      </c>
      <c r="H88" s="755"/>
      <c r="I88" s="754" t="str">
        <f>cert!E38</f>
        <v>No</v>
      </c>
    </row>
    <row r="89" spans="2:10">
      <c r="C89" s="65" t="s">
        <v>658</v>
      </c>
      <c r="D89" s="65" t="s">
        <v>658</v>
      </c>
    </row>
    <row r="91" spans="2:10">
      <c r="C91" s="65" t="s">
        <v>658</v>
      </c>
      <c r="D91" s="65" t="s">
        <v>658</v>
      </c>
    </row>
    <row r="92" spans="2:10">
      <c r="C92" s="65" t="s">
        <v>658</v>
      </c>
      <c r="D92" s="65" t="s">
        <v>658</v>
      </c>
    </row>
    <row r="93" spans="2:10" hidden="1">
      <c r="C93" s="464" t="str">
        <f>IF(C33&gt;C35,"See Tab A","")</f>
        <v/>
      </c>
      <c r="D93" s="464" t="str">
        <f>IF(D33&gt;D35,"See Tab C","")</f>
        <v/>
      </c>
    </row>
    <row r="94" spans="2:10" hidden="1">
      <c r="C94" s="464" t="str">
        <f>IF(C34&lt;0,"See Tab B","")</f>
        <v/>
      </c>
      <c r="D94" s="464" t="str">
        <f>IF(D34&lt;0,"See Tab D","")</f>
        <v/>
      </c>
    </row>
    <row r="95" spans="2:10" hidden="1">
      <c r="C95" s="457" t="str">
        <f>IF(C73&gt;C75,"See Tab A","")</f>
        <v/>
      </c>
      <c r="D95" s="457" t="str">
        <f>IF(D73&gt;D75,"See Tab C","")</f>
        <v/>
      </c>
    </row>
    <row r="96" spans="2:10" hidden="1">
      <c r="C96" s="457" t="str">
        <f>IF(C74&lt;0,"See Tab B","")</f>
        <v/>
      </c>
      <c r="D96" s="457" t="str">
        <f>IF(D74&lt;0,"See Tab D","")</f>
        <v/>
      </c>
    </row>
  </sheetData>
  <sheetProtection sheet="1"/>
  <mergeCells count="14">
    <mergeCell ref="G24:J24"/>
    <mergeCell ref="G31:J31"/>
    <mergeCell ref="C81:D81"/>
    <mergeCell ref="C80:D80"/>
    <mergeCell ref="C76:D76"/>
    <mergeCell ref="C77:D77"/>
    <mergeCell ref="G64:J64"/>
    <mergeCell ref="G71:J71"/>
    <mergeCell ref="G81:J81"/>
    <mergeCell ref="C41:D41"/>
    <mergeCell ref="G41:J41"/>
    <mergeCell ref="C36:D36"/>
    <mergeCell ref="C37:D37"/>
    <mergeCell ref="C40:D40"/>
  </mergeCells>
  <phoneticPr fontId="10" type="noConversion"/>
  <conditionalFormatting sqref="C73">
    <cfRule type="cellIs" dxfId="124" priority="18" stopIfTrue="1" operator="greaterThan">
      <formula>$C$75</formula>
    </cfRule>
  </conditionalFormatting>
  <conditionalFormatting sqref="C74:D74 C34:D34">
    <cfRule type="cellIs" dxfId="123" priority="17" stopIfTrue="1" operator="lessThan">
      <formula>0</formula>
    </cfRule>
  </conditionalFormatting>
  <conditionalFormatting sqref="D73">
    <cfRule type="cellIs" dxfId="122" priority="16" stopIfTrue="1" operator="greaterThan">
      <formula>$D$75</formula>
    </cfRule>
  </conditionalFormatting>
  <conditionalFormatting sqref="C33">
    <cfRule type="cellIs" dxfId="121" priority="12" stopIfTrue="1" operator="greaterThan">
      <formula>$C$35</formula>
    </cfRule>
  </conditionalFormatting>
  <conditionalFormatting sqref="D33">
    <cfRule type="cellIs" dxfId="120" priority="11" stopIfTrue="1" operator="greaterThan">
      <formula>$D$35</formula>
    </cfRule>
  </conditionalFormatting>
  <conditionalFormatting sqref="C31">
    <cfRule type="cellIs" dxfId="119" priority="10" stopIfTrue="1" operator="greaterThan">
      <formula>$C$33*0.1</formula>
    </cfRule>
  </conditionalFormatting>
  <conditionalFormatting sqref="D31">
    <cfRule type="cellIs" dxfId="118" priority="9" stopIfTrue="1" operator="greaterThan">
      <formula>$D$33*0.1</formula>
    </cfRule>
  </conditionalFormatting>
  <conditionalFormatting sqref="E31">
    <cfRule type="cellIs" dxfId="117" priority="8" stopIfTrue="1" operator="greaterThan">
      <formula>$E$33*0.1</formula>
    </cfRule>
  </conditionalFormatting>
  <conditionalFormatting sqref="C18 C58:E58">
    <cfRule type="cellIs" dxfId="116" priority="7" stopIfTrue="1" operator="greaterThan">
      <formula>$C$20*0.1</formula>
    </cfRule>
  </conditionalFormatting>
  <conditionalFormatting sqref="D18">
    <cfRule type="cellIs" dxfId="115" priority="6" stopIfTrue="1" operator="greaterThan">
      <formula>$D$20*0.1</formula>
    </cfRule>
  </conditionalFormatting>
  <conditionalFormatting sqref="E18">
    <cfRule type="cellIs" dxfId="114" priority="5" stopIfTrue="1" operator="greaterThan">
      <formula>$E$20*0.1+$E$40</formula>
    </cfRule>
  </conditionalFormatting>
  <conditionalFormatting sqref="C71">
    <cfRule type="cellIs" dxfId="113" priority="3" stopIfTrue="1" operator="greaterThan">
      <formula>$C$73*0.1</formula>
    </cfRule>
  </conditionalFormatting>
  <conditionalFormatting sqref="D71">
    <cfRule type="cellIs" dxfId="112" priority="2" stopIfTrue="1" operator="greaterThan">
      <formula>$D$73*0.1</formula>
    </cfRule>
  </conditionalFormatting>
  <conditionalFormatting sqref="E71">
    <cfRule type="cellIs" dxfId="111" priority="1" stopIfTrue="1" operator="greaterThan">
      <formula>$E$73*0.1</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topLeftCell="A8" zoomScaleNormal="100" workbookViewId="0">
      <selection activeCell="C36" sqref="C36:D36"/>
    </sheetView>
  </sheetViews>
  <sheetFormatPr defaultRowHeight="15.75"/>
  <cols>
    <col min="1" max="1" width="2.44140625" style="65" customWidth="1"/>
    <col min="2" max="2" width="31.109375" style="65" customWidth="1"/>
    <col min="3" max="4" width="15.77734375" style="65" customWidth="1"/>
    <col min="5" max="5" width="16.21875" style="65" customWidth="1"/>
    <col min="6" max="6" width="8.88671875" style="65"/>
    <col min="7" max="7" width="10.21875" style="65" customWidth="1"/>
    <col min="8" max="8" width="8.88671875" style="65"/>
    <col min="9" max="9" width="5" style="65" customWidth="1"/>
    <col min="10" max="10" width="10" style="65" customWidth="1"/>
    <col min="11" max="16384" width="8.88671875" style="65"/>
  </cols>
  <sheetData>
    <row r="1" spans="2:5">
      <c r="B1" s="201" t="str">
        <f>(inputPrYr!D2)</f>
        <v>City of Circleville</v>
      </c>
      <c r="C1" s="201"/>
      <c r="D1" s="64"/>
      <c r="E1" s="161">
        <f>inputPrYr!$C$5</f>
        <v>2014</v>
      </c>
    </row>
    <row r="2" spans="2:5">
      <c r="B2" s="64"/>
      <c r="C2" s="64"/>
      <c r="D2" s="64"/>
      <c r="E2" s="218"/>
    </row>
    <row r="3" spans="2:5">
      <c r="B3" s="81" t="s">
        <v>223</v>
      </c>
      <c r="C3" s="81"/>
      <c r="D3" s="276"/>
      <c r="E3" s="163"/>
    </row>
    <row r="4" spans="2:5">
      <c r="B4" s="69" t="s">
        <v>165</v>
      </c>
      <c r="C4" s="717" t="s">
        <v>836</v>
      </c>
      <c r="D4" s="718" t="s">
        <v>837</v>
      </c>
      <c r="E4" s="174" t="s">
        <v>838</v>
      </c>
    </row>
    <row r="5" spans="2:5">
      <c r="B5" s="453">
        <f>(inputPrYr!B21)</f>
        <v>0</v>
      </c>
      <c r="C5" s="333" t="str">
        <f>CONCATENATE("Actual for ",$E$1-2,"")</f>
        <v>Actual for 2012</v>
      </c>
      <c r="D5" s="415" t="str">
        <f>CONCATENATE("Estimate for ",$E$1-1,"")</f>
        <v>Estimate for 2013</v>
      </c>
      <c r="E5" s="229" t="str">
        <f>CONCATENATE("Year for ",$E$1,"")</f>
        <v>Year for 2014</v>
      </c>
    </row>
    <row r="6" spans="2:5">
      <c r="B6" s="178" t="s">
        <v>282</v>
      </c>
      <c r="C6" s="448"/>
      <c r="D6" s="447">
        <f>C34</f>
        <v>0</v>
      </c>
      <c r="E6" s="189">
        <f>D34</f>
        <v>0</v>
      </c>
    </row>
    <row r="7" spans="2:5">
      <c r="B7" s="178" t="s">
        <v>284</v>
      </c>
      <c r="C7" s="190"/>
      <c r="D7" s="447"/>
      <c r="E7" s="189"/>
    </row>
    <row r="8" spans="2:5">
      <c r="B8" s="178" t="s">
        <v>166</v>
      </c>
      <c r="C8" s="444"/>
      <c r="D8" s="447">
        <f>IF(inputPrYr!H16&gt;0,inputPrYr!G21,inputPrYr!E21)</f>
        <v>0</v>
      </c>
      <c r="E8" s="345" t="s">
        <v>153</v>
      </c>
    </row>
    <row r="9" spans="2:5">
      <c r="B9" s="178" t="s">
        <v>167</v>
      </c>
      <c r="C9" s="444"/>
      <c r="D9" s="449"/>
      <c r="E9" s="87"/>
    </row>
    <row r="10" spans="2:5">
      <c r="B10" s="178" t="s">
        <v>168</v>
      </c>
      <c r="C10" s="444"/>
      <c r="D10" s="449"/>
      <c r="E10" s="189" t="str">
        <f>Mvalloc!D12</f>
        <v xml:space="preserve">  </v>
      </c>
    </row>
    <row r="11" spans="2:5">
      <c r="B11" s="178" t="s">
        <v>169</v>
      </c>
      <c r="C11" s="444"/>
      <c r="D11" s="449"/>
      <c r="E11" s="189" t="str">
        <f>Mvalloc!E12</f>
        <v xml:space="preserve">  </v>
      </c>
    </row>
    <row r="12" spans="2:5">
      <c r="B12" s="191" t="s">
        <v>219</v>
      </c>
      <c r="C12" s="444"/>
      <c r="D12" s="449"/>
      <c r="E12" s="189" t="str">
        <f>Mvalloc!F12</f>
        <v xml:space="preserve">  </v>
      </c>
    </row>
    <row r="13" spans="2:5">
      <c r="B13" s="347"/>
      <c r="C13" s="444"/>
      <c r="D13" s="449"/>
      <c r="E13" s="352"/>
    </row>
    <row r="14" spans="2:5">
      <c r="B14" s="347"/>
      <c r="C14" s="444"/>
      <c r="D14" s="449"/>
      <c r="E14" s="87"/>
    </row>
    <row r="15" spans="2:5">
      <c r="B15" s="347"/>
      <c r="C15" s="444"/>
      <c r="D15" s="449"/>
      <c r="E15" s="87"/>
    </row>
    <row r="16" spans="2:5">
      <c r="B16" s="347"/>
      <c r="C16" s="444"/>
      <c r="D16" s="449"/>
      <c r="E16" s="87"/>
    </row>
    <row r="17" spans="2:10">
      <c r="B17" s="337"/>
      <c r="C17" s="444"/>
      <c r="D17" s="449"/>
      <c r="E17" s="87"/>
    </row>
    <row r="18" spans="2:10">
      <c r="B18" s="178" t="s">
        <v>260</v>
      </c>
      <c r="C18" s="444"/>
      <c r="D18" s="449"/>
      <c r="E18" s="87"/>
    </row>
    <row r="19" spans="2:10">
      <c r="B19" s="178" t="s">
        <v>653</v>
      </c>
      <c r="C19" s="445" t="str">
        <f>IF(C20*0.1&lt;C18,"Exceed 10% Rule","")</f>
        <v/>
      </c>
      <c r="D19" s="455" t="str">
        <f>IF(D20*0.1&lt;D18,"Exceed 10% Rule","")</f>
        <v/>
      </c>
      <c r="E19" s="338" t="str">
        <f>IF(E20*0.1+E40&lt;E18,"Exceed 10% Rule","")</f>
        <v/>
      </c>
    </row>
    <row r="20" spans="2:10">
      <c r="B20" s="289" t="s">
        <v>172</v>
      </c>
      <c r="C20" s="450">
        <f>SUM(C8:C18)</f>
        <v>0</v>
      </c>
      <c r="D20" s="450">
        <f>SUM(D8:D18)</f>
        <v>0</v>
      </c>
      <c r="E20" s="348">
        <f>SUM(E8:E18)</f>
        <v>0</v>
      </c>
    </row>
    <row r="21" spans="2:10">
      <c r="B21" s="289" t="s">
        <v>173</v>
      </c>
      <c r="C21" s="450">
        <f>C6+C20</f>
        <v>0</v>
      </c>
      <c r="D21" s="450">
        <f>D6+D20</f>
        <v>0</v>
      </c>
      <c r="E21" s="348">
        <f>E6+E20</f>
        <v>0</v>
      </c>
    </row>
    <row r="22" spans="2:10">
      <c r="B22" s="178" t="s">
        <v>174</v>
      </c>
      <c r="C22" s="178"/>
      <c r="D22" s="447"/>
      <c r="E22" s="189"/>
    </row>
    <row r="23" spans="2:10">
      <c r="B23" s="347"/>
      <c r="C23" s="444"/>
      <c r="D23" s="449"/>
      <c r="E23" s="87"/>
    </row>
    <row r="24" spans="2:10">
      <c r="B24" s="347"/>
      <c r="C24" s="444"/>
      <c r="D24" s="449"/>
      <c r="E24" s="87"/>
      <c r="G24" s="821" t="str">
        <f>CONCATENATE("Desired Carryover Into ",E1+1,"")</f>
        <v>Desired Carryover Into 2015</v>
      </c>
      <c r="H24" s="822"/>
      <c r="I24" s="822"/>
      <c r="J24" s="823"/>
    </row>
    <row r="25" spans="2:10">
      <c r="B25" s="347"/>
      <c r="C25" s="444"/>
      <c r="D25" s="449"/>
      <c r="E25" s="87"/>
      <c r="G25" s="567"/>
      <c r="H25" s="465"/>
      <c r="I25" s="481"/>
      <c r="J25" s="568"/>
    </row>
    <row r="26" spans="2:10">
      <c r="B26" s="347"/>
      <c r="C26" s="444"/>
      <c r="D26" s="449"/>
      <c r="E26" s="87"/>
      <c r="G26" s="487" t="s">
        <v>662</v>
      </c>
      <c r="H26" s="481"/>
      <c r="I26" s="481"/>
      <c r="J26" s="475">
        <v>0</v>
      </c>
    </row>
    <row r="27" spans="2:10">
      <c r="B27" s="347"/>
      <c r="C27" s="444"/>
      <c r="D27" s="449"/>
      <c r="E27" s="87"/>
      <c r="G27" s="567" t="s">
        <v>661</v>
      </c>
      <c r="H27" s="465"/>
      <c r="I27" s="465"/>
      <c r="J27" s="698" t="str">
        <f>IF(J26=0,"",ROUND((J26+E40-G39)/inputOth!E7*1000,3)-G44)</f>
        <v/>
      </c>
    </row>
    <row r="28" spans="2:10">
      <c r="B28" s="347"/>
      <c r="C28" s="444"/>
      <c r="D28" s="449"/>
      <c r="E28" s="87"/>
      <c r="G28" s="664" t="str">
        <f>CONCATENATE("",E1," Tot Exp/Non-Appr Must Be:")</f>
        <v>2014 Tot Exp/Non-Appr Must Be:</v>
      </c>
      <c r="H28" s="661"/>
      <c r="I28" s="662"/>
      <c r="J28" s="658">
        <f>IF(J26&gt;0,IF(E37&lt;E21,IF(J26=G39,E38,((J26-G39)*(1-D39))+E21),E38+(J26-G39)),0)</f>
        <v>0</v>
      </c>
    </row>
    <row r="29" spans="2:10">
      <c r="B29" s="347"/>
      <c r="C29" s="444"/>
      <c r="D29" s="449"/>
      <c r="E29" s="87"/>
      <c r="G29" s="696" t="s">
        <v>840</v>
      </c>
      <c r="H29" s="701"/>
      <c r="I29" s="701"/>
      <c r="J29" s="665">
        <f>IF(J26&gt;0,J28-E38,0)</f>
        <v>0</v>
      </c>
    </row>
    <row r="30" spans="2:10">
      <c r="B30" s="343" t="s">
        <v>53</v>
      </c>
      <c r="C30" s="444"/>
      <c r="D30" s="449"/>
      <c r="E30" s="189" t="str">
        <f>Nhood!E10</f>
        <v/>
      </c>
      <c r="J30" s="2"/>
    </row>
    <row r="31" spans="2:10">
      <c r="B31" s="343" t="s">
        <v>260</v>
      </c>
      <c r="C31" s="444"/>
      <c r="D31" s="449"/>
      <c r="E31" s="87"/>
      <c r="G31" s="821" t="str">
        <f>CONCATENATE("Projected Carryover Into ",E1+1,"")</f>
        <v>Projected Carryover Into 2015</v>
      </c>
      <c r="H31" s="826"/>
      <c r="I31" s="826"/>
      <c r="J31" s="827"/>
    </row>
    <row r="32" spans="2:10">
      <c r="B32" s="343" t="s">
        <v>659</v>
      </c>
      <c r="C32" s="414" t="str">
        <f>IF(C33*0.1&lt;C31,"Exceed 10% Rule","")</f>
        <v/>
      </c>
      <c r="D32" s="426" t="str">
        <f>IF(D33*0.1&lt;D31,"Exceed 10% Rule","")</f>
        <v/>
      </c>
      <c r="E32" s="288" t="str">
        <f>IF(E33*0.1&lt;E31,"Exceed 10% Rule","")</f>
        <v/>
      </c>
      <c r="G32" s="567"/>
      <c r="H32" s="481"/>
      <c r="I32" s="481"/>
      <c r="J32" s="713"/>
    </row>
    <row r="33" spans="2:11">
      <c r="B33" s="289" t="s">
        <v>175</v>
      </c>
      <c r="C33" s="446">
        <f>SUM(C23:C31)</f>
        <v>0</v>
      </c>
      <c r="D33" s="446">
        <f>SUM(D23:D31)</f>
        <v>0</v>
      </c>
      <c r="E33" s="340">
        <f>SUM(E23:E31)</f>
        <v>0</v>
      </c>
      <c r="G33" s="478">
        <f>D34</f>
        <v>0</v>
      </c>
      <c r="H33" s="479" t="str">
        <f>CONCATENATE("",E1-1," Ending Cash Balance (est.)")</f>
        <v>2013 Ending Cash Balance (est.)</v>
      </c>
      <c r="I33" s="480"/>
      <c r="J33" s="713"/>
    </row>
    <row r="34" spans="2:11">
      <c r="B34" s="178" t="s">
        <v>283</v>
      </c>
      <c r="C34" s="451">
        <f>C21-C33</f>
        <v>0</v>
      </c>
      <c r="D34" s="451">
        <f>D21-D33</f>
        <v>0</v>
      </c>
      <c r="E34" s="345" t="s">
        <v>153</v>
      </c>
      <c r="G34" s="478">
        <f>E20</f>
        <v>0</v>
      </c>
      <c r="H34" s="481" t="str">
        <f>CONCATENATE("",E1," Non-AV Receipts (est.)")</f>
        <v>2014 Non-AV Receipts (est.)</v>
      </c>
      <c r="I34" s="480"/>
      <c r="J34" s="713"/>
    </row>
    <row r="35" spans="2:11">
      <c r="B35" s="210" t="str">
        <f>CONCATENATE("",E1-2,"/",E1-1," Budget Authority Amount:")</f>
        <v>2012/2013 Budget Authority Amount:</v>
      </c>
      <c r="C35" s="463">
        <f>inputOth!B58</f>
        <v>0</v>
      </c>
      <c r="D35" s="221">
        <f>inputPrYr!D21</f>
        <v>0</v>
      </c>
      <c r="E35" s="345" t="s">
        <v>153</v>
      </c>
      <c r="F35" s="294"/>
      <c r="G35" s="482">
        <f>IF(E39&gt;0,E38,E40)</f>
        <v>0</v>
      </c>
      <c r="H35" s="481" t="str">
        <f>CONCATENATE("",E1," Ad Valorem Tax (est.)")</f>
        <v>2014 Ad Valorem Tax (est.)</v>
      </c>
      <c r="I35" s="480"/>
      <c r="J35" s="740"/>
      <c r="K35" s="703" t="str">
        <f>IF(G35=E40,"","Note: Does not include Delinquent Taxes")</f>
        <v/>
      </c>
    </row>
    <row r="36" spans="2:11">
      <c r="B36" s="210"/>
      <c r="C36" s="813" t="s">
        <v>655</v>
      </c>
      <c r="D36" s="814"/>
      <c r="E36" s="87"/>
      <c r="F36" s="294" t="str">
        <f>IF(E33/0.95-E33&lt;E36,"Exceeds 5%","")</f>
        <v/>
      </c>
      <c r="G36" s="478">
        <f>SUM(G33:G35)</f>
        <v>0</v>
      </c>
      <c r="H36" s="481" t="str">
        <f>CONCATENATE("Total ",E1," Resources Available")</f>
        <v>Total 2014 Resources Available</v>
      </c>
      <c r="I36" s="480"/>
      <c r="J36" s="713"/>
    </row>
    <row r="37" spans="2:11">
      <c r="B37" s="456" t="str">
        <f>CONCATENATE(C94,"     ",D94)</f>
        <v xml:space="preserve">     </v>
      </c>
      <c r="C37" s="815" t="s">
        <v>656</v>
      </c>
      <c r="D37" s="816"/>
      <c r="E37" s="189">
        <f>E33+E36</f>
        <v>0</v>
      </c>
      <c r="G37" s="483"/>
      <c r="H37" s="481"/>
      <c r="I37" s="481"/>
      <c r="J37" s="713"/>
    </row>
    <row r="38" spans="2:11">
      <c r="B38" s="456" t="str">
        <f>CONCATENATE(C95,"     ",D95)</f>
        <v xml:space="preserve">     </v>
      </c>
      <c r="C38" s="295"/>
      <c r="D38" s="218" t="s">
        <v>176</v>
      </c>
      <c r="E38" s="94">
        <f>IF(E37-E21&gt;0,E37-E21,0)</f>
        <v>0</v>
      </c>
      <c r="G38" s="482">
        <f>ROUND(C33*0.05+C33,0)</f>
        <v>0</v>
      </c>
      <c r="H38" s="481" t="str">
        <f>CONCATENATE("Less ",E1-2," Expenditures + 5%")</f>
        <v>Less 2012 Expenditures + 5%</v>
      </c>
      <c r="I38" s="480"/>
      <c r="J38" s="713"/>
    </row>
    <row r="39" spans="2:11">
      <c r="B39" s="218"/>
      <c r="C39" s="443" t="s">
        <v>657</v>
      </c>
      <c r="D39" s="707">
        <f>inputOth!E41</f>
        <v>0</v>
      </c>
      <c r="E39" s="189">
        <f>ROUND(IF(D39&gt;0,(E38*D39),0),0)</f>
        <v>0</v>
      </c>
      <c r="G39" s="699">
        <f>G36-G38</f>
        <v>0</v>
      </c>
      <c r="H39" s="700" t="str">
        <f>CONCATENATE("Projected ",E1+1," carryover (est.)")</f>
        <v>Projected 2015 carryover (est.)</v>
      </c>
      <c r="I39" s="485"/>
      <c r="J39" s="739"/>
    </row>
    <row r="40" spans="2:11" ht="16.5" thickBot="1">
      <c r="B40" s="64"/>
      <c r="C40" s="811" t="str">
        <f>CONCATENATE("Amount of  ",E1-1," Ad Valorem Tax")</f>
        <v>Amount of  2013 Ad Valorem Tax</v>
      </c>
      <c r="D40" s="812"/>
      <c r="E40" s="714">
        <f>E38+E39</f>
        <v>0</v>
      </c>
      <c r="G40" s="2"/>
      <c r="H40" s="2"/>
      <c r="I40" s="2"/>
      <c r="J40" s="2"/>
    </row>
    <row r="41" spans="2:11" ht="16.5" thickTop="1">
      <c r="B41" s="64"/>
      <c r="C41" s="811"/>
      <c r="D41" s="812"/>
      <c r="E41" s="64"/>
      <c r="G41" s="817" t="s">
        <v>958</v>
      </c>
      <c r="H41" s="818"/>
      <c r="I41" s="818"/>
      <c r="J41" s="819"/>
    </row>
    <row r="42" spans="2:11">
      <c r="B42" s="64"/>
      <c r="C42" s="633"/>
      <c r="D42" s="64"/>
      <c r="E42" s="64"/>
      <c r="G42" s="709"/>
      <c r="H42" s="479"/>
      <c r="I42" s="659"/>
      <c r="J42" s="660"/>
    </row>
    <row r="43" spans="2:11">
      <c r="B43" s="69" t="s">
        <v>165</v>
      </c>
      <c r="C43" s="69"/>
      <c r="D43" s="276"/>
      <c r="E43" s="276"/>
      <c r="G43" s="711" t="str">
        <f>summ!H19</f>
        <v xml:space="preserve">  </v>
      </c>
      <c r="H43" s="479" t="str">
        <f>CONCATENATE("",E1," Fund Mill Rate")</f>
        <v>2014 Fund Mill Rate</v>
      </c>
      <c r="I43" s="659"/>
      <c r="J43" s="660"/>
    </row>
    <row r="44" spans="2:11">
      <c r="B44" s="64"/>
      <c r="C44" s="717" t="s">
        <v>836</v>
      </c>
      <c r="D44" s="718" t="s">
        <v>837</v>
      </c>
      <c r="E44" s="174" t="s">
        <v>838</v>
      </c>
      <c r="G44" s="710" t="str">
        <f>summ!E19</f>
        <v xml:space="preserve">  </v>
      </c>
      <c r="H44" s="479" t="str">
        <f>CONCATENATE("",E1-1," Fund Mill Rate")</f>
        <v>2013 Fund Mill Rate</v>
      </c>
      <c r="I44" s="659"/>
      <c r="J44" s="660"/>
    </row>
    <row r="45" spans="2:11">
      <c r="B45" s="454" t="str">
        <f>(inputPrYr!B22)</f>
        <v>Water Bond and Interest</v>
      </c>
      <c r="C45" s="333" t="str">
        <f>CONCATENATE("Actual for ",$E$1-2,"")</f>
        <v>Actual for 2012</v>
      </c>
      <c r="D45" s="415" t="str">
        <f>CONCATENATE("Estimate for ",$E$1-1,"")</f>
        <v>Estimate for 2013</v>
      </c>
      <c r="E45" s="229" t="str">
        <f>CONCATENATE("Year for ",$E$1,"")</f>
        <v>Year for 2014</v>
      </c>
      <c r="G45" s="712">
        <f>summ!H31</f>
        <v>13.044</v>
      </c>
      <c r="H45" s="479" t="str">
        <f>CONCATENATE("Total ",E1," Mill Rate")</f>
        <v>Total 2014 Mill Rate</v>
      </c>
      <c r="I45" s="659"/>
      <c r="J45" s="660"/>
    </row>
    <row r="46" spans="2:11">
      <c r="B46" s="178" t="s">
        <v>282</v>
      </c>
      <c r="C46" s="444">
        <v>54857</v>
      </c>
      <c r="D46" s="447">
        <f>C74</f>
        <v>54507</v>
      </c>
      <c r="E46" s="189">
        <f>D74</f>
        <v>54161</v>
      </c>
      <c r="G46" s="710">
        <f>summ!E31</f>
        <v>13.746</v>
      </c>
      <c r="H46" s="647" t="str">
        <f>CONCATENATE("Total ",E1-1," Mill Rate")</f>
        <v>Total 2013 Mill Rate</v>
      </c>
      <c r="I46" s="648"/>
      <c r="J46" s="649"/>
    </row>
    <row r="47" spans="2:11">
      <c r="B47" s="278" t="s">
        <v>284</v>
      </c>
      <c r="C47" s="178"/>
      <c r="D47" s="447"/>
      <c r="E47" s="189"/>
    </row>
    <row r="48" spans="2:11">
      <c r="B48" s="178" t="s">
        <v>166</v>
      </c>
      <c r="C48" s="444"/>
      <c r="D48" s="447">
        <f>IF(inputPrYr!H16&gt;0,inputPrYr!G22,inputPrYr!E22)</f>
        <v>0</v>
      </c>
      <c r="E48" s="345" t="s">
        <v>153</v>
      </c>
      <c r="G48" s="759" t="s">
        <v>987</v>
      </c>
      <c r="H48" s="758"/>
      <c r="I48" s="757" t="str">
        <f>cert!E38</f>
        <v>No</v>
      </c>
    </row>
    <row r="49" spans="2:10">
      <c r="B49" s="178" t="s">
        <v>167</v>
      </c>
      <c r="C49" s="444"/>
      <c r="D49" s="449"/>
      <c r="E49" s="87"/>
    </row>
    <row r="50" spans="2:10">
      <c r="B50" s="178" t="s">
        <v>168</v>
      </c>
      <c r="C50" s="444"/>
      <c r="D50" s="449"/>
      <c r="E50" s="189" t="str">
        <f>Mvalloc!D13</f>
        <v xml:space="preserve">  </v>
      </c>
    </row>
    <row r="51" spans="2:10">
      <c r="B51" s="178" t="s">
        <v>169</v>
      </c>
      <c r="C51" s="444"/>
      <c r="D51" s="449"/>
      <c r="E51" s="189" t="str">
        <f>Mvalloc!E13</f>
        <v xml:space="preserve">  </v>
      </c>
    </row>
    <row r="52" spans="2:10">
      <c r="B52" s="191" t="s">
        <v>219</v>
      </c>
      <c r="C52" s="444"/>
      <c r="D52" s="449"/>
      <c r="E52" s="189" t="str">
        <f>Mvalloc!F13</f>
        <v xml:space="preserve">  </v>
      </c>
    </row>
    <row r="53" spans="2:10">
      <c r="B53" s="347"/>
      <c r="C53" s="444"/>
      <c r="D53" s="449"/>
      <c r="E53" s="352"/>
    </row>
    <row r="54" spans="2:10">
      <c r="B54" s="347" t="s">
        <v>1036</v>
      </c>
      <c r="C54" s="444">
        <v>13200</v>
      </c>
      <c r="D54" s="449">
        <v>13200</v>
      </c>
      <c r="E54" s="352">
        <v>13200</v>
      </c>
    </row>
    <row r="55" spans="2:10">
      <c r="B55" s="347"/>
      <c r="C55" s="444"/>
      <c r="D55" s="449"/>
      <c r="E55" s="87"/>
    </row>
    <row r="56" spans="2:10">
      <c r="B56" s="347"/>
      <c r="C56" s="444"/>
      <c r="D56" s="449"/>
      <c r="E56" s="87"/>
    </row>
    <row r="57" spans="2:10">
      <c r="B57" s="337" t="s">
        <v>171</v>
      </c>
      <c r="C57" s="444">
        <v>61</v>
      </c>
      <c r="D57" s="449">
        <v>65</v>
      </c>
      <c r="E57" s="87">
        <v>70</v>
      </c>
    </row>
    <row r="58" spans="2:10">
      <c r="B58" s="178" t="s">
        <v>260</v>
      </c>
      <c r="C58" s="444"/>
      <c r="D58" s="449"/>
      <c r="E58" s="87"/>
    </row>
    <row r="59" spans="2:10">
      <c r="B59" s="178" t="s">
        <v>653</v>
      </c>
      <c r="C59" s="445" t="str">
        <f>IF(C60*0.1&lt;C58,"Exceed 10% Rule","")</f>
        <v/>
      </c>
      <c r="D59" s="455" t="str">
        <f>IF(D60*0.1&lt;D58,"Exceed 10% Rule","")</f>
        <v/>
      </c>
      <c r="E59" s="338" t="str">
        <f>IF(E60*0.1+E79&lt;E58,"Exceed 10% Rule","")</f>
        <v/>
      </c>
    </row>
    <row r="60" spans="2:10">
      <c r="B60" s="289" t="s">
        <v>172</v>
      </c>
      <c r="C60" s="446">
        <f>SUM(C48:C58)</f>
        <v>13261</v>
      </c>
      <c r="D60" s="446">
        <f>SUM(D48:D58)</f>
        <v>13265</v>
      </c>
      <c r="E60" s="340">
        <f>SUM(E48:E58)</f>
        <v>13270</v>
      </c>
    </row>
    <row r="61" spans="2:10">
      <c r="B61" s="289" t="s">
        <v>173</v>
      </c>
      <c r="C61" s="446">
        <f>C46+C60</f>
        <v>68118</v>
      </c>
      <c r="D61" s="446">
        <f>D46+D60</f>
        <v>67772</v>
      </c>
      <c r="E61" s="340">
        <f>E46+E60</f>
        <v>67431</v>
      </c>
    </row>
    <row r="62" spans="2:10">
      <c r="B62" s="178" t="s">
        <v>174</v>
      </c>
      <c r="C62" s="178"/>
      <c r="D62" s="447"/>
      <c r="E62" s="189"/>
    </row>
    <row r="63" spans="2:10">
      <c r="B63" s="347"/>
      <c r="C63" s="444"/>
      <c r="D63" s="449"/>
      <c r="E63" s="87"/>
    </row>
    <row r="64" spans="2:10">
      <c r="B64" s="347" t="s">
        <v>212</v>
      </c>
      <c r="C64" s="444">
        <v>2674</v>
      </c>
      <c r="D64" s="449">
        <v>2791</v>
      </c>
      <c r="E64" s="87">
        <v>2914</v>
      </c>
      <c r="G64" s="821" t="str">
        <f>CONCATENATE("Desired Carryover Into ",E1+1,"")</f>
        <v>Desired Carryover Into 2015</v>
      </c>
      <c r="H64" s="822"/>
      <c r="I64" s="822"/>
      <c r="J64" s="823"/>
    </row>
    <row r="65" spans="2:11">
      <c r="B65" s="347" t="s">
        <v>210</v>
      </c>
      <c r="C65" s="444">
        <v>10937</v>
      </c>
      <c r="D65" s="449">
        <v>10820</v>
      </c>
      <c r="E65" s="87">
        <v>10698</v>
      </c>
      <c r="G65" s="567"/>
      <c r="H65" s="465"/>
      <c r="I65" s="481"/>
      <c r="J65" s="568"/>
    </row>
    <row r="66" spans="2:11">
      <c r="B66" s="347"/>
      <c r="C66" s="444"/>
      <c r="D66" s="449"/>
      <c r="E66" s="87"/>
      <c r="G66" s="487" t="s">
        <v>662</v>
      </c>
      <c r="H66" s="481"/>
      <c r="I66" s="481"/>
      <c r="J66" s="475">
        <v>0</v>
      </c>
    </row>
    <row r="67" spans="2:11">
      <c r="B67" s="347"/>
      <c r="C67" s="444"/>
      <c r="D67" s="449"/>
      <c r="E67" s="87"/>
      <c r="G67" s="567" t="s">
        <v>661</v>
      </c>
      <c r="H67" s="465"/>
      <c r="I67" s="465"/>
      <c r="J67" s="698" t="str">
        <f>IF(J66=0,"",ROUND((J66+E80-G79)/inputOth!E7*1000,3)-G84)</f>
        <v/>
      </c>
    </row>
    <row r="68" spans="2:11">
      <c r="B68" s="347"/>
      <c r="C68" s="444"/>
      <c r="D68" s="449"/>
      <c r="E68" s="87"/>
      <c r="G68" s="664" t="str">
        <f>CONCATENATE("",E1," Tot Exp/Non-Appr Must Be:")</f>
        <v>2014 Tot Exp/Non-Appr Must Be:</v>
      </c>
      <c r="H68" s="661"/>
      <c r="I68" s="662"/>
      <c r="J68" s="658">
        <f>IF(J66&gt;0,IF(E77&lt;E61,IF(J66=G79,E77,((J66-G79)*(1-D79))+E61),E77+(J66-G79)),0)</f>
        <v>0</v>
      </c>
    </row>
    <row r="69" spans="2:11">
      <c r="B69" s="347"/>
      <c r="C69" s="444"/>
      <c r="D69" s="449"/>
      <c r="E69" s="87"/>
      <c r="G69" s="696" t="s">
        <v>840</v>
      </c>
      <c r="H69" s="701"/>
      <c r="I69" s="701"/>
      <c r="J69" s="665">
        <f>IF(J66&gt;0,J68-E77,0)</f>
        <v>0</v>
      </c>
    </row>
    <row r="70" spans="2:11">
      <c r="B70" s="191" t="s">
        <v>53</v>
      </c>
      <c r="C70" s="444"/>
      <c r="D70" s="449"/>
      <c r="E70" s="189" t="str">
        <f>Nhood!E11</f>
        <v/>
      </c>
      <c r="J70" s="2"/>
    </row>
    <row r="71" spans="2:11">
      <c r="B71" s="191" t="s">
        <v>260</v>
      </c>
      <c r="C71" s="444"/>
      <c r="D71" s="449"/>
      <c r="E71" s="87"/>
      <c r="G71" s="821" t="str">
        <f>CONCATENATE("Projected Carryover Into ",E1+1,"")</f>
        <v>Projected Carryover Into 2015</v>
      </c>
      <c r="H71" s="828"/>
      <c r="I71" s="828"/>
      <c r="J71" s="827"/>
    </row>
    <row r="72" spans="2:11">
      <c r="B72" s="191" t="s">
        <v>652</v>
      </c>
      <c r="C72" s="445" t="str">
        <f>IF(C73*0.1&lt;C71,"Exceed 10% Rule","")</f>
        <v/>
      </c>
      <c r="D72" s="455" t="str">
        <f>IF(D73*0.1&lt;D71,"Exceed 10% Rule","")</f>
        <v/>
      </c>
      <c r="E72" s="338" t="str">
        <f>IF(E73*0.1&lt;E71,"Exceed 10% Rule","")</f>
        <v/>
      </c>
      <c r="G72" s="476"/>
      <c r="H72" s="465"/>
      <c r="I72" s="465"/>
      <c r="J72" s="168"/>
    </row>
    <row r="73" spans="2:11">
      <c r="B73" s="289" t="s">
        <v>175</v>
      </c>
      <c r="C73" s="446">
        <f>SUM(C63:C71)</f>
        <v>13611</v>
      </c>
      <c r="D73" s="446">
        <f>SUM(D63:D71)</f>
        <v>13611</v>
      </c>
      <c r="E73" s="340">
        <f>SUM(E63:E71)</f>
        <v>13612</v>
      </c>
      <c r="G73" s="478">
        <f>D74</f>
        <v>54161</v>
      </c>
      <c r="H73" s="479" t="str">
        <f>CONCATENATE("",E1-1," Ending Cash Balance (est.)")</f>
        <v>2013 Ending Cash Balance (est.)</v>
      </c>
      <c r="I73" s="480"/>
      <c r="J73" s="168"/>
    </row>
    <row r="74" spans="2:11">
      <c r="B74" s="178" t="s">
        <v>283</v>
      </c>
      <c r="C74" s="451">
        <f>C61-C73</f>
        <v>54507</v>
      </c>
      <c r="D74" s="451">
        <f>D61-D73</f>
        <v>54161</v>
      </c>
      <c r="E74" s="345" t="s">
        <v>153</v>
      </c>
      <c r="G74" s="478">
        <f>E60</f>
        <v>13270</v>
      </c>
      <c r="H74" s="481" t="str">
        <f>CONCATENATE("",E1," Non-AV Receipts (est.)")</f>
        <v>2014 Non-AV Receipts (est.)</v>
      </c>
      <c r="I74" s="480"/>
      <c r="J74" s="168"/>
    </row>
    <row r="75" spans="2:11">
      <c r="B75" s="210" t="str">
        <f>CONCATENATE("",E1-2,"/",E1-1," Budget Authority Amount:")</f>
        <v>2012/2013 Budget Authority Amount:</v>
      </c>
      <c r="C75" s="221">
        <f>inputOth!B59</f>
        <v>67647</v>
      </c>
      <c r="D75" s="221">
        <f>inputPrYr!D22</f>
        <v>67647</v>
      </c>
      <c r="E75" s="345" t="s">
        <v>153</v>
      </c>
      <c r="F75" s="294"/>
      <c r="G75" s="482">
        <f>IF(D79&gt;0,E78,E80)</f>
        <v>0</v>
      </c>
      <c r="H75" s="481" t="str">
        <f>CONCATENATE("",E1," Ad Valorem Tax (est.)")</f>
        <v>2014 Ad Valorem Tax (est.)</v>
      </c>
      <c r="I75" s="480"/>
      <c r="J75" s="168"/>
      <c r="K75" s="703" t="str">
        <f>IF(G75=E80,"","Note: Does not include Delinquent Taxes")</f>
        <v/>
      </c>
    </row>
    <row r="76" spans="2:11">
      <c r="B76" s="210"/>
      <c r="C76" s="813" t="s">
        <v>655</v>
      </c>
      <c r="D76" s="814"/>
      <c r="E76" s="87"/>
      <c r="F76" s="294" t="str">
        <f>IF(E73/0.95-E73&lt;E76,"Exceeds 5%","")</f>
        <v/>
      </c>
      <c r="G76" s="569">
        <f>SUM(G73:G75)</f>
        <v>67431</v>
      </c>
      <c r="H76" s="481" t="str">
        <f>CONCATENATE("Total ",E1," Resources Available")</f>
        <v>Total 2014 Resources Available</v>
      </c>
      <c r="I76" s="477"/>
      <c r="J76" s="168"/>
    </row>
    <row r="77" spans="2:11">
      <c r="B77" s="456" t="str">
        <f>CONCATENATE(C96,"     ",D96)</f>
        <v xml:space="preserve">     </v>
      </c>
      <c r="C77" s="815" t="s">
        <v>656</v>
      </c>
      <c r="D77" s="816"/>
      <c r="E77" s="189">
        <f>E73+E76</f>
        <v>13612</v>
      </c>
      <c r="G77" s="572"/>
      <c r="H77" s="570"/>
      <c r="I77" s="465"/>
      <c r="J77" s="168"/>
    </row>
    <row r="78" spans="2:11">
      <c r="B78" s="456" t="str">
        <f>CONCATENATE(C97,"     ",D97)</f>
        <v xml:space="preserve">     </v>
      </c>
      <c r="C78" s="295"/>
      <c r="D78" s="218" t="s">
        <v>176</v>
      </c>
      <c r="E78" s="94">
        <f>IF(E77-E61&gt;0,E77-E61,0)</f>
        <v>0</v>
      </c>
      <c r="G78" s="571">
        <f>ROUND(C73*0.05+C73,0)</f>
        <v>14292</v>
      </c>
      <c r="H78" s="570" t="str">
        <f>CONCATENATE("Less ",E1-2," Expenditures + 5%")</f>
        <v>Less 2012 Expenditures + 5%</v>
      </c>
      <c r="I78" s="477"/>
      <c r="J78" s="168"/>
    </row>
    <row r="79" spans="2:11">
      <c r="B79" s="218"/>
      <c r="C79" s="443" t="s">
        <v>657</v>
      </c>
      <c r="D79" s="707">
        <f>inputOth!E41</f>
        <v>0</v>
      </c>
      <c r="E79" s="189">
        <f>ROUND(IF(D79&gt;0,(E78*D79),0),0)</f>
        <v>0</v>
      </c>
      <c r="G79" s="581">
        <f>G76-G78</f>
        <v>53139</v>
      </c>
      <c r="H79" s="582" t="str">
        <f>CONCATENATE("Projected ",E1+1," carryover (est.)")</f>
        <v>Projected 2015 carryover (est.)</v>
      </c>
      <c r="I79" s="486"/>
      <c r="J79" s="739"/>
    </row>
    <row r="80" spans="2:11" ht="16.5" thickBot="1">
      <c r="B80" s="64"/>
      <c r="C80" s="811" t="str">
        <f>CONCATENATE("Amount of  ",E1-1," Ad Valorem Tax")</f>
        <v>Amount of  2013 Ad Valorem Tax</v>
      </c>
      <c r="D80" s="812"/>
      <c r="E80" s="714">
        <f>E78+E79</f>
        <v>0</v>
      </c>
      <c r="G80" s="2"/>
      <c r="H80" s="2"/>
      <c r="I80" s="2"/>
    </row>
    <row r="81" spans="2:10" ht="16.5" thickTop="1">
      <c r="B81" s="64"/>
      <c r="C81" s="811"/>
      <c r="D81" s="812"/>
      <c r="E81" s="64"/>
      <c r="G81" s="817" t="s">
        <v>958</v>
      </c>
      <c r="H81" s="818"/>
      <c r="I81" s="818"/>
      <c r="J81" s="819"/>
    </row>
    <row r="82" spans="2:10">
      <c r="B82" s="64"/>
      <c r="C82" s="633"/>
      <c r="D82" s="64"/>
      <c r="E82" s="64"/>
      <c r="G82" s="709"/>
      <c r="H82" s="479"/>
      <c r="I82" s="659"/>
      <c r="J82" s="660"/>
    </row>
    <row r="83" spans="2:10">
      <c r="B83" s="218" t="s">
        <v>178</v>
      </c>
      <c r="C83" s="346">
        <v>9</v>
      </c>
      <c r="D83" s="118"/>
      <c r="E83" s="64"/>
      <c r="G83" s="711" t="str">
        <f>summ!H20</f>
        <v xml:space="preserve">  </v>
      </c>
      <c r="H83" s="479" t="str">
        <f>CONCATENATE("",E1," Fund Mill Rate")</f>
        <v>2014 Fund Mill Rate</v>
      </c>
      <c r="I83" s="659"/>
      <c r="J83" s="660"/>
    </row>
    <row r="84" spans="2:10">
      <c r="G84" s="710" t="str">
        <f>summ!E20</f>
        <v xml:space="preserve">  </v>
      </c>
      <c r="H84" s="479" t="str">
        <f>CONCATENATE("",E1-1," Fund Mill Rate")</f>
        <v>2013 Fund Mill Rate</v>
      </c>
      <c r="I84" s="659"/>
      <c r="J84" s="660"/>
    </row>
    <row r="85" spans="2:10">
      <c r="B85" s="126"/>
      <c r="C85" s="126"/>
      <c r="G85" s="712">
        <f>summ!H31</f>
        <v>13.044</v>
      </c>
      <c r="H85" s="479" t="str">
        <f>CONCATENATE("Total ",E1," Mill Rate")</f>
        <v>Total 2014 Mill Rate</v>
      </c>
      <c r="I85" s="659"/>
      <c r="J85" s="660"/>
    </row>
    <row r="86" spans="2:10">
      <c r="G86" s="710">
        <f>summ!E31</f>
        <v>13.746</v>
      </c>
      <c r="H86" s="647" t="str">
        <f>CONCATENATE("Total ",E1-1," Mill Rate")</f>
        <v>Total 2013 Mill Rate</v>
      </c>
      <c r="I86" s="648"/>
      <c r="J86" s="649"/>
    </row>
    <row r="88" spans="2:10">
      <c r="G88" s="762" t="s">
        <v>987</v>
      </c>
      <c r="H88" s="761"/>
      <c r="I88" s="760" t="str">
        <f>cert!E38</f>
        <v>No</v>
      </c>
    </row>
    <row r="94" spans="2:10" hidden="1">
      <c r="C94" s="464" t="str">
        <f>IF(C33&gt;C35,"See Tab A","")</f>
        <v/>
      </c>
      <c r="D94" s="464" t="str">
        <f>IF(D33&gt;D35,"See Tab C","")</f>
        <v/>
      </c>
    </row>
    <row r="95" spans="2:10" hidden="1">
      <c r="C95" s="464" t="str">
        <f>IF(C34&lt;0,"See Tab B","")</f>
        <v/>
      </c>
      <c r="D95" s="464" t="str">
        <f>IF(D34&lt;0,"See Tab D","")</f>
        <v/>
      </c>
    </row>
    <row r="96" spans="2:10" hidden="1">
      <c r="C96" s="457" t="str">
        <f>IF(C73&gt;C75,"See Tab A","")</f>
        <v/>
      </c>
      <c r="D96" s="457" t="str">
        <f>IF(D73&gt;D75,"See Tab C","")</f>
        <v/>
      </c>
    </row>
    <row r="97" spans="3:4" hidden="1">
      <c r="C97" s="457" t="str">
        <f>IF(C74&lt;0,"See Tab B","")</f>
        <v/>
      </c>
      <c r="D97" s="457" t="str">
        <f>IF(D74&lt;0,"See Tab D","")</f>
        <v/>
      </c>
    </row>
  </sheetData>
  <sheetProtection sheet="1"/>
  <mergeCells count="14">
    <mergeCell ref="C81:D81"/>
    <mergeCell ref="C41:D41"/>
    <mergeCell ref="C36:D36"/>
    <mergeCell ref="C37:D37"/>
    <mergeCell ref="G31:J31"/>
    <mergeCell ref="G71:J71"/>
    <mergeCell ref="G81:J81"/>
    <mergeCell ref="G41:J41"/>
    <mergeCell ref="G24:J24"/>
    <mergeCell ref="G64:J64"/>
    <mergeCell ref="C40:D40"/>
    <mergeCell ref="C80:D80"/>
    <mergeCell ref="C76:D76"/>
    <mergeCell ref="C77:D77"/>
  </mergeCells>
  <phoneticPr fontId="0" type="noConversion"/>
  <conditionalFormatting sqref="E71">
    <cfRule type="cellIs" dxfId="110" priority="3" stopIfTrue="1" operator="greaterThan">
      <formula>$E$73*0.1</formula>
    </cfRule>
  </conditionalFormatting>
  <conditionalFormatting sqref="E76">
    <cfRule type="cellIs" dxfId="109" priority="4" stopIfTrue="1" operator="greaterThan">
      <formula>$E$73/0.95-$E$73</formula>
    </cfRule>
  </conditionalFormatting>
  <conditionalFormatting sqref="E31">
    <cfRule type="cellIs" dxfId="108" priority="5" stopIfTrue="1" operator="greaterThan">
      <formula>$E$33*0.1</formula>
    </cfRule>
  </conditionalFormatting>
  <conditionalFormatting sqref="E36">
    <cfRule type="cellIs" dxfId="107" priority="6" stopIfTrue="1" operator="greaterThan">
      <formula>$E$33/0.95-$E$33</formula>
    </cfRule>
  </conditionalFormatting>
  <conditionalFormatting sqref="C73">
    <cfRule type="cellIs" dxfId="106" priority="7" stopIfTrue="1" operator="greaterThan">
      <formula>$C$75</formula>
    </cfRule>
  </conditionalFormatting>
  <conditionalFormatting sqref="C74 C34">
    <cfRule type="cellIs" dxfId="105" priority="8" stopIfTrue="1" operator="lessThan">
      <formula>0</formula>
    </cfRule>
  </conditionalFormatting>
  <conditionalFormatting sqref="D73">
    <cfRule type="cellIs" dxfId="104" priority="9" stopIfTrue="1" operator="greaterThan">
      <formula>$D$75</formula>
    </cfRule>
  </conditionalFormatting>
  <conditionalFormatting sqref="C33">
    <cfRule type="cellIs" dxfId="103" priority="10" stopIfTrue="1" operator="greaterThan">
      <formula>$C$35</formula>
    </cfRule>
  </conditionalFormatting>
  <conditionalFormatting sqref="D33">
    <cfRule type="cellIs" dxfId="102" priority="11" stopIfTrue="1" operator="greaterThan">
      <formula>$D$35</formula>
    </cfRule>
  </conditionalFormatting>
  <conditionalFormatting sqref="C31">
    <cfRule type="cellIs" dxfId="101" priority="12" stopIfTrue="1" operator="greaterThan">
      <formula>$C$33*0.1</formula>
    </cfRule>
  </conditionalFormatting>
  <conditionalFormatting sqref="D31">
    <cfRule type="cellIs" dxfId="100" priority="13" stopIfTrue="1" operator="greaterThan">
      <formula>$D$33*0.1</formula>
    </cfRule>
  </conditionalFormatting>
  <conditionalFormatting sqref="C71">
    <cfRule type="cellIs" dxfId="99" priority="14" stopIfTrue="1" operator="greaterThan">
      <formula>$C$73*0.1</formula>
    </cfRule>
  </conditionalFormatting>
  <conditionalFormatting sqref="D71">
    <cfRule type="cellIs" dxfId="98" priority="15" stopIfTrue="1" operator="greaterThan">
      <formula>$D$73*0.1</formula>
    </cfRule>
  </conditionalFormatting>
  <conditionalFormatting sqref="D18">
    <cfRule type="cellIs" dxfId="97" priority="16" stopIfTrue="1" operator="greaterThan">
      <formula>$D$20*0.1</formula>
    </cfRule>
  </conditionalFormatting>
  <conditionalFormatting sqref="C18">
    <cfRule type="cellIs" dxfId="96" priority="17" stopIfTrue="1" operator="greaterThan">
      <formula>$C$20*0.1</formula>
    </cfRule>
  </conditionalFormatting>
  <conditionalFormatting sqref="E18">
    <cfRule type="cellIs" dxfId="95" priority="18" stopIfTrue="1" operator="greaterThan">
      <formula>$E$20*0.1+E39</formula>
    </cfRule>
  </conditionalFormatting>
  <conditionalFormatting sqref="C58">
    <cfRule type="cellIs" dxfId="94" priority="19" stopIfTrue="1" operator="greaterThan">
      <formula>$C$60*0.1</formula>
    </cfRule>
  </conditionalFormatting>
  <conditionalFormatting sqref="D58">
    <cfRule type="cellIs" dxfId="93" priority="20" stopIfTrue="1" operator="greaterThan">
      <formula>$D$60*0.1</formula>
    </cfRule>
  </conditionalFormatting>
  <conditionalFormatting sqref="E58">
    <cfRule type="cellIs" dxfId="92" priority="21" stopIfTrue="1" operator="greaterThan">
      <formula>$E$60*0.1+E79</formula>
    </cfRule>
  </conditionalFormatting>
  <conditionalFormatting sqref="D74 D34">
    <cfRule type="cellIs" dxfId="91" priority="2" stopIfTrue="1" operator="lessThan">
      <formula>0</formula>
    </cfRule>
  </conditionalFormatting>
  <pageMargins left="0.5" right="0.5" top="1" bottom="0.5" header="0.5" footer="0.5"/>
  <pageSetup scale="53" orientation="portrait" blackAndWhite="1" r:id="rId1"/>
  <headerFooter alignWithMargins="0">
    <oddHeader xml:space="preserve">&amp;RState of Kansas
City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8"/>
  <sheetViews>
    <sheetView zoomScaleNormal="100" workbookViewId="0">
      <selection activeCell="C56" sqref="C56"/>
    </sheetView>
  </sheetViews>
  <sheetFormatPr defaultRowHeight="15.75"/>
  <cols>
    <col min="1" max="1" width="2.44140625" style="65" customWidth="1"/>
    <col min="2" max="2" width="31.109375" style="65" customWidth="1"/>
    <col min="3" max="4" width="15.77734375" style="65" customWidth="1"/>
    <col min="5" max="5" width="16.21875" style="65" customWidth="1"/>
    <col min="6" max="6" width="8.88671875" style="65"/>
    <col min="7" max="7" width="10.21875" style="65" customWidth="1"/>
    <col min="8" max="8" width="8.88671875" style="65"/>
    <col min="9" max="9" width="5" style="65" customWidth="1"/>
    <col min="10" max="10" width="10" style="65" customWidth="1"/>
    <col min="11" max="16384" width="8.88671875" style="65"/>
  </cols>
  <sheetData>
    <row r="1" spans="2:5">
      <c r="B1" s="201" t="str">
        <f>(inputPrYr!D2)</f>
        <v>City of Circleville</v>
      </c>
      <c r="C1" s="201"/>
      <c r="D1" s="64"/>
      <c r="E1" s="161">
        <f>inputPrYr!$C$5</f>
        <v>2014</v>
      </c>
    </row>
    <row r="2" spans="2:5">
      <c r="B2" s="64"/>
      <c r="C2" s="64"/>
      <c r="D2" s="64"/>
      <c r="E2" s="218"/>
    </row>
    <row r="3" spans="2:5">
      <c r="B3" s="81" t="s">
        <v>223</v>
      </c>
      <c r="C3" s="344"/>
      <c r="D3" s="172"/>
      <c r="E3" s="163"/>
    </row>
    <row r="4" spans="2:5">
      <c r="B4" s="69" t="s">
        <v>165</v>
      </c>
      <c r="C4" s="717" t="s">
        <v>836</v>
      </c>
      <c r="D4" s="718" t="s">
        <v>837</v>
      </c>
      <c r="E4" s="174" t="s">
        <v>838</v>
      </c>
    </row>
    <row r="5" spans="2:5">
      <c r="B5" s="454">
        <f>(inputPrYr!B23)</f>
        <v>0</v>
      </c>
      <c r="C5" s="333" t="str">
        <f>CONCATENATE("Actual for ",$E$1-2,"")</f>
        <v>Actual for 2012</v>
      </c>
      <c r="D5" s="415" t="str">
        <f>CONCATENATE("Estimate for ",$E$1-1,"")</f>
        <v>Estimate for 2013</v>
      </c>
      <c r="E5" s="229" t="str">
        <f>CONCATENATE("Year for ",$E$1,"")</f>
        <v>Year for 2014</v>
      </c>
    </row>
    <row r="6" spans="2:5">
      <c r="B6" s="178" t="s">
        <v>282</v>
      </c>
      <c r="C6" s="444"/>
      <c r="D6" s="447">
        <f>C34</f>
        <v>0</v>
      </c>
      <c r="E6" s="189">
        <f>D34</f>
        <v>0</v>
      </c>
    </row>
    <row r="7" spans="2:5">
      <c r="B7" s="278" t="s">
        <v>284</v>
      </c>
      <c r="C7" s="178"/>
      <c r="D7" s="447"/>
      <c r="E7" s="189"/>
    </row>
    <row r="8" spans="2:5">
      <c r="B8" s="178" t="s">
        <v>166</v>
      </c>
      <c r="C8" s="449"/>
      <c r="D8" s="447">
        <f>IF(inputPrYr!H16&gt;0,inputPrYr!G23,inputPrYr!E23)</f>
        <v>0</v>
      </c>
      <c r="E8" s="345" t="s">
        <v>153</v>
      </c>
    </row>
    <row r="9" spans="2:5">
      <c r="B9" s="178" t="s">
        <v>167</v>
      </c>
      <c r="C9" s="449"/>
      <c r="D9" s="449"/>
      <c r="E9" s="87"/>
    </row>
    <row r="10" spans="2:5">
      <c r="B10" s="178" t="s">
        <v>168</v>
      </c>
      <c r="C10" s="449"/>
      <c r="D10" s="449"/>
      <c r="E10" s="189" t="str">
        <f>Mvalloc!D14</f>
        <v xml:space="preserve">  </v>
      </c>
    </row>
    <row r="11" spans="2:5">
      <c r="B11" s="178" t="s">
        <v>169</v>
      </c>
      <c r="C11" s="449"/>
      <c r="D11" s="449"/>
      <c r="E11" s="189" t="str">
        <f>Mvalloc!E14</f>
        <v xml:space="preserve">  </v>
      </c>
    </row>
    <row r="12" spans="2:5">
      <c r="B12" s="191" t="s">
        <v>219</v>
      </c>
      <c r="C12" s="449"/>
      <c r="D12" s="449"/>
      <c r="E12" s="189" t="str">
        <f>Mvalloc!F14</f>
        <v xml:space="preserve">  </v>
      </c>
    </row>
    <row r="13" spans="2:5">
      <c r="B13" s="292"/>
      <c r="C13" s="449"/>
      <c r="D13" s="449"/>
      <c r="E13" s="90"/>
    </row>
    <row r="14" spans="2:5">
      <c r="B14" s="292"/>
      <c r="C14" s="449"/>
      <c r="D14" s="449"/>
      <c r="E14" s="90"/>
    </row>
    <row r="15" spans="2:5">
      <c r="B15" s="292"/>
      <c r="C15" s="449"/>
      <c r="D15" s="449"/>
      <c r="E15" s="87"/>
    </row>
    <row r="16" spans="2:5">
      <c r="B16" s="292"/>
      <c r="C16" s="449"/>
      <c r="D16" s="449"/>
      <c r="E16" s="87"/>
    </row>
    <row r="17" spans="2:10">
      <c r="B17" s="337" t="s">
        <v>171</v>
      </c>
      <c r="C17" s="449"/>
      <c r="D17" s="449"/>
      <c r="E17" s="87"/>
    </row>
    <row r="18" spans="2:10">
      <c r="B18" s="341" t="s">
        <v>260</v>
      </c>
      <c r="C18" s="449"/>
      <c r="D18" s="449"/>
      <c r="E18" s="87"/>
    </row>
    <row r="19" spans="2:10">
      <c r="B19" s="341" t="s">
        <v>653</v>
      </c>
      <c r="C19" s="445" t="str">
        <f>IF(C20*0.1&lt;C18,"Exceed 10% Rule","")</f>
        <v/>
      </c>
      <c r="D19" s="445" t="str">
        <f>IF(D20*0.1&lt;D18,"Exceed 10% Rule","")</f>
        <v/>
      </c>
      <c r="E19" s="455" t="str">
        <f>IF(E20*0.1+E40&lt;E18,"Exceed 10% Rule","")</f>
        <v/>
      </c>
    </row>
    <row r="20" spans="2:10">
      <c r="B20" s="289" t="s">
        <v>172</v>
      </c>
      <c r="C20" s="446">
        <f>SUM(C8:C18)</f>
        <v>0</v>
      </c>
      <c r="D20" s="446">
        <f>SUM(D8:D18)</f>
        <v>0</v>
      </c>
      <c r="E20" s="340">
        <f>SUM(E8:E18)</f>
        <v>0</v>
      </c>
    </row>
    <row r="21" spans="2:10">
      <c r="B21" s="289" t="s">
        <v>173</v>
      </c>
      <c r="C21" s="446">
        <f>C6+C20</f>
        <v>0</v>
      </c>
      <c r="D21" s="446">
        <f>D6+D20</f>
        <v>0</v>
      </c>
      <c r="E21" s="340">
        <f>E6+E20</f>
        <v>0</v>
      </c>
    </row>
    <row r="22" spans="2:10">
      <c r="B22" s="178" t="s">
        <v>174</v>
      </c>
      <c r="C22" s="178"/>
      <c r="D22" s="447"/>
      <c r="E22" s="189"/>
    </row>
    <row r="23" spans="2:10">
      <c r="B23" s="292"/>
      <c r="C23" s="449"/>
      <c r="D23" s="449"/>
      <c r="E23" s="87"/>
    </row>
    <row r="24" spans="2:10">
      <c r="B24" s="292"/>
      <c r="C24" s="449"/>
      <c r="D24" s="449"/>
      <c r="E24" s="87"/>
      <c r="G24" s="821" t="str">
        <f>CONCATENATE("Desired Carryover Into ",E1+1,"")</f>
        <v>Desired Carryover Into 2015</v>
      </c>
      <c r="H24" s="822"/>
      <c r="I24" s="822"/>
      <c r="J24" s="823"/>
    </row>
    <row r="25" spans="2:10">
      <c r="B25" s="292"/>
      <c r="C25" s="449"/>
      <c r="D25" s="449"/>
      <c r="E25" s="87"/>
      <c r="G25" s="567"/>
      <c r="H25" s="465"/>
      <c r="I25" s="481"/>
      <c r="J25" s="568"/>
    </row>
    <row r="26" spans="2:10">
      <c r="B26" s="292"/>
      <c r="C26" s="449"/>
      <c r="D26" s="449"/>
      <c r="E26" s="87"/>
      <c r="G26" s="487" t="s">
        <v>662</v>
      </c>
      <c r="H26" s="481"/>
      <c r="I26" s="481"/>
      <c r="J26" s="475">
        <v>0</v>
      </c>
    </row>
    <row r="27" spans="2:10">
      <c r="B27" s="292"/>
      <c r="C27" s="449"/>
      <c r="D27" s="449"/>
      <c r="E27" s="87"/>
      <c r="G27" s="567" t="s">
        <v>661</v>
      </c>
      <c r="H27" s="465"/>
      <c r="I27" s="465"/>
      <c r="J27" s="698" t="str">
        <f>IF(J26=0,"",ROUND((J26+E40-G39)/inputOth!E7*1000,3)-G44)</f>
        <v/>
      </c>
    </row>
    <row r="28" spans="2:10">
      <c r="B28" s="292"/>
      <c r="C28" s="449"/>
      <c r="D28" s="449"/>
      <c r="E28" s="87"/>
      <c r="G28" s="664" t="str">
        <f>CONCATENATE("",E1," Tot Exp/Non-Appr Must Be:")</f>
        <v>2014 Tot Exp/Non-Appr Must Be:</v>
      </c>
      <c r="H28" s="661"/>
      <c r="I28" s="662"/>
      <c r="J28" s="658">
        <f>IF(J26&gt;0,IF(E37&lt;E21,IF(J26=G39,E38,((J26-G39)*(1-D39))+E21),E38+(J26-G39)),0)</f>
        <v>0</v>
      </c>
    </row>
    <row r="29" spans="2:10">
      <c r="B29" s="292"/>
      <c r="C29" s="449"/>
      <c r="D29" s="449"/>
      <c r="E29" s="87"/>
      <c r="G29" s="696" t="s">
        <v>840</v>
      </c>
      <c r="H29" s="701"/>
      <c r="I29" s="701"/>
      <c r="J29" s="665">
        <f>IF(J26&gt;0,J28-E38,0)</f>
        <v>0</v>
      </c>
    </row>
    <row r="30" spans="2:10">
      <c r="B30" s="191" t="s">
        <v>53</v>
      </c>
      <c r="C30" s="449"/>
      <c r="D30" s="449"/>
      <c r="E30" s="189" t="str">
        <f>Nhood!E12</f>
        <v/>
      </c>
      <c r="J30" s="2"/>
    </row>
    <row r="31" spans="2:10">
      <c r="B31" s="191" t="s">
        <v>260</v>
      </c>
      <c r="C31" s="449"/>
      <c r="D31" s="449"/>
      <c r="E31" s="87"/>
      <c r="G31" s="821" t="str">
        <f>CONCATENATE("Projected Carryover Into ",E1+1,"")</f>
        <v>Projected Carryover Into 2015</v>
      </c>
      <c r="H31" s="826"/>
      <c r="I31" s="826"/>
      <c r="J31" s="827"/>
    </row>
    <row r="32" spans="2:10">
      <c r="B32" s="191" t="s">
        <v>652</v>
      </c>
      <c r="C32" s="445" t="str">
        <f>IF(C33*0.1&lt;C31,"Exceed 10% Rule","")</f>
        <v/>
      </c>
      <c r="D32" s="445" t="str">
        <f>IF(D33*0.1&lt;D31,"Exceed 10% Rule","")</f>
        <v/>
      </c>
      <c r="E32" s="455" t="str">
        <f>IF(E33*0.1&lt;E31,"Exceed 10% Rule","")</f>
        <v/>
      </c>
      <c r="G32" s="567"/>
      <c r="H32" s="481"/>
      <c r="I32" s="481"/>
      <c r="J32" s="741"/>
    </row>
    <row r="33" spans="2:11">
      <c r="B33" s="289" t="s">
        <v>175</v>
      </c>
      <c r="C33" s="446">
        <f>SUM(C23:C31)</f>
        <v>0</v>
      </c>
      <c r="D33" s="446">
        <f>SUM(D23:D31)</f>
        <v>0</v>
      </c>
      <c r="E33" s="340">
        <f>SUM(E23:E31)</f>
        <v>0</v>
      </c>
      <c r="G33" s="478">
        <f>D34</f>
        <v>0</v>
      </c>
      <c r="H33" s="479" t="str">
        <f>CONCATENATE("",E1-1," Ending Cash Balance (est.)")</f>
        <v>2013 Ending Cash Balance (est.)</v>
      </c>
      <c r="I33" s="480"/>
      <c r="J33" s="741"/>
    </row>
    <row r="34" spans="2:11">
      <c r="B34" s="178" t="s">
        <v>283</v>
      </c>
      <c r="C34" s="451">
        <f>C21-C33</f>
        <v>0</v>
      </c>
      <c r="D34" s="451">
        <f>D21-D33</f>
        <v>0</v>
      </c>
      <c r="E34" s="345" t="s">
        <v>153</v>
      </c>
      <c r="G34" s="478">
        <f>E20</f>
        <v>0</v>
      </c>
      <c r="H34" s="481" t="str">
        <f>CONCATENATE("",E1," Non-AV Receipts (est.)")</f>
        <v>2014 Non-AV Receipts (est.)</v>
      </c>
      <c r="I34" s="480"/>
      <c r="J34" s="741"/>
    </row>
    <row r="35" spans="2:11">
      <c r="B35" s="210" t="str">
        <f>CONCATENATE("",E1-2,"/",E1-1," Budget Authority Amount:")</f>
        <v>2012/2013 Budget Authority Amount:</v>
      </c>
      <c r="C35" s="221">
        <f>inputOth!B60</f>
        <v>0</v>
      </c>
      <c r="D35" s="221">
        <f>inputPrYr!D23</f>
        <v>0</v>
      </c>
      <c r="E35" s="345" t="s">
        <v>153</v>
      </c>
      <c r="F35" s="294"/>
      <c r="G35" s="482">
        <f>IF(D39&gt;0,E38,E40)</f>
        <v>0</v>
      </c>
      <c r="H35" s="481" t="str">
        <f>CONCATENATE("",E1," Ad Valorem Tax (est.)")</f>
        <v>2014 Ad Valorem Tax (est.)</v>
      </c>
      <c r="I35" s="480"/>
      <c r="J35" s="741"/>
      <c r="K35" s="703" t="str">
        <f>IF(G35=E40,"","Note: Does not include Delinquent Taxes")</f>
        <v/>
      </c>
    </row>
    <row r="36" spans="2:11">
      <c r="B36" s="210"/>
      <c r="C36" s="813" t="s">
        <v>655</v>
      </c>
      <c r="D36" s="814"/>
      <c r="E36" s="87"/>
      <c r="F36" s="294" t="str">
        <f>IF(E33/0.95-E33&lt;E36,"Exceeds 5%","")</f>
        <v/>
      </c>
      <c r="G36" s="478">
        <f>SUM(G33:G35)</f>
        <v>0</v>
      </c>
      <c r="H36" s="481" t="str">
        <f>CONCATENATE("Total ",E1," Resources Available")</f>
        <v>Total 2014 Resources Available</v>
      </c>
      <c r="I36" s="480"/>
      <c r="J36" s="741"/>
    </row>
    <row r="37" spans="2:11">
      <c r="B37" s="456" t="str">
        <f>CONCATENATE(C93,"     ",D93)</f>
        <v xml:space="preserve">     </v>
      </c>
      <c r="C37" s="815" t="s">
        <v>656</v>
      </c>
      <c r="D37" s="816"/>
      <c r="E37" s="189">
        <f>E33+E36</f>
        <v>0</v>
      </c>
      <c r="G37" s="483"/>
      <c r="H37" s="481"/>
      <c r="I37" s="481"/>
      <c r="J37" s="741"/>
    </row>
    <row r="38" spans="2:11">
      <c r="B38" s="456" t="str">
        <f>CONCATENATE(C94,"     ",D94)</f>
        <v xml:space="preserve">     </v>
      </c>
      <c r="C38" s="295"/>
      <c r="D38" s="218" t="s">
        <v>176</v>
      </c>
      <c r="E38" s="94">
        <f>IF(E37-E21&gt;0,E37-E21,0)</f>
        <v>0</v>
      </c>
      <c r="G38" s="482">
        <f>ROUND(C33*0.05+C33,0)</f>
        <v>0</v>
      </c>
      <c r="H38" s="481" t="str">
        <f>CONCATENATE("Less ",E1-2," Expenditures + 5%")</f>
        <v>Less 2012 Expenditures + 5%</v>
      </c>
      <c r="I38" s="480"/>
      <c r="J38" s="741"/>
    </row>
    <row r="39" spans="2:11">
      <c r="B39" s="218"/>
      <c r="C39" s="443" t="s">
        <v>657</v>
      </c>
      <c r="D39" s="707">
        <f>inputOth!E41</f>
        <v>0</v>
      </c>
      <c r="E39" s="189">
        <f>ROUND(IF(D39&gt;0,(E38*D39),0),0)</f>
        <v>0</v>
      </c>
      <c r="G39" s="699">
        <f>G36-G38</f>
        <v>0</v>
      </c>
      <c r="H39" s="700" t="str">
        <f>CONCATENATE("Projected ",E1+1," carryover (est.)")</f>
        <v>Projected 2015 carryover (est.)</v>
      </c>
      <c r="I39" s="485"/>
      <c r="J39" s="739"/>
    </row>
    <row r="40" spans="2:11" ht="16.5" thickBot="1">
      <c r="B40" s="64"/>
      <c r="C40" s="829" t="str">
        <f>CONCATENATE("Amount of  ",E1-1," Ad Valorem Tax")</f>
        <v>Amount of  2013 Ad Valorem Tax</v>
      </c>
      <c r="D40" s="830"/>
      <c r="E40" s="714">
        <f>E38+E39</f>
        <v>0</v>
      </c>
      <c r="G40" s="2"/>
      <c r="H40" s="2"/>
      <c r="I40" s="2"/>
      <c r="J40" s="2"/>
    </row>
    <row r="41" spans="2:11" ht="16.5" thickTop="1">
      <c r="B41" s="64"/>
      <c r="C41" s="811"/>
      <c r="D41" s="812"/>
      <c r="E41" s="64"/>
      <c r="G41" s="817" t="s">
        <v>958</v>
      </c>
      <c r="H41" s="818"/>
      <c r="I41" s="818"/>
      <c r="J41" s="819"/>
    </row>
    <row r="42" spans="2:11">
      <c r="B42" s="64"/>
      <c r="C42" s="634"/>
      <c r="D42" s="64"/>
      <c r="E42" s="64"/>
      <c r="G42" s="709"/>
      <c r="H42" s="479"/>
      <c r="I42" s="659"/>
      <c r="J42" s="660"/>
    </row>
    <row r="43" spans="2:11">
      <c r="B43" s="69" t="s">
        <v>165</v>
      </c>
      <c r="C43" s="91"/>
      <c r="D43" s="172"/>
      <c r="E43" s="172"/>
      <c r="G43" s="711" t="str">
        <f>summ!H21</f>
        <v xml:space="preserve">  </v>
      </c>
      <c r="H43" s="479" t="str">
        <f>CONCATENATE("",E1," Fund Mill Rate")</f>
        <v>2014 Fund Mill Rate</v>
      </c>
      <c r="I43" s="659"/>
      <c r="J43" s="660"/>
    </row>
    <row r="44" spans="2:11">
      <c r="B44" s="64"/>
      <c r="C44" s="717" t="s">
        <v>836</v>
      </c>
      <c r="D44" s="718" t="s">
        <v>837</v>
      </c>
      <c r="E44" s="174" t="s">
        <v>838</v>
      </c>
      <c r="G44" s="710" t="str">
        <f>summ!E21</f>
        <v xml:space="preserve">  </v>
      </c>
      <c r="H44" s="479" t="str">
        <f>CONCATENATE("",E1-1," Fund Mill Rate")</f>
        <v>2013 Fund Mill Rate</v>
      </c>
      <c r="I44" s="659"/>
      <c r="J44" s="660"/>
    </row>
    <row r="45" spans="2:11">
      <c r="B45" s="453">
        <f>(inputPrYr!B24)</f>
        <v>0</v>
      </c>
      <c r="C45" s="333" t="str">
        <f>CONCATENATE("Actual for ",$E$1-2,"")</f>
        <v>Actual for 2012</v>
      </c>
      <c r="D45" s="415" t="str">
        <f>CONCATENATE("Estimate for ",$E$1-1,"")</f>
        <v>Estimate for 2013</v>
      </c>
      <c r="E45" s="229" t="str">
        <f>CONCATENATE("Year for ",$E$1,"")</f>
        <v>Year for 2014</v>
      </c>
      <c r="G45" s="712">
        <f>summ!H31</f>
        <v>13.044</v>
      </c>
      <c r="H45" s="479" t="str">
        <f>CONCATENATE("Total ",E1," Mill Rate")</f>
        <v>Total 2014 Mill Rate</v>
      </c>
      <c r="I45" s="659"/>
      <c r="J45" s="660"/>
    </row>
    <row r="46" spans="2:11">
      <c r="B46" s="178" t="s">
        <v>282</v>
      </c>
      <c r="C46" s="448"/>
      <c r="D46" s="447">
        <f>C74</f>
        <v>0</v>
      </c>
      <c r="E46" s="189">
        <f>D74</f>
        <v>0</v>
      </c>
      <c r="G46" s="710">
        <f>summ!E31</f>
        <v>13.746</v>
      </c>
      <c r="H46" s="647" t="str">
        <f>CONCATENATE("Total ",E1-1," Mill Rate")</f>
        <v>Total 2013 Mill Rate</v>
      </c>
      <c r="I46" s="648"/>
      <c r="J46" s="649"/>
    </row>
    <row r="47" spans="2:11">
      <c r="B47" s="178" t="s">
        <v>284</v>
      </c>
      <c r="C47" s="178"/>
      <c r="D47" s="447"/>
      <c r="E47" s="189"/>
    </row>
    <row r="48" spans="2:11">
      <c r="B48" s="178" t="s">
        <v>166</v>
      </c>
      <c r="C48" s="444"/>
      <c r="D48" s="447">
        <f>IF(inputPrYr!H16&gt;0,inputPrYr!G24,inputPrYr!E24)</f>
        <v>0</v>
      </c>
      <c r="E48" s="345" t="s">
        <v>153</v>
      </c>
      <c r="G48" s="765" t="s">
        <v>987</v>
      </c>
      <c r="H48" s="764"/>
      <c r="I48" s="763" t="str">
        <f>cert!E38</f>
        <v>No</v>
      </c>
    </row>
    <row r="49" spans="2:10">
      <c r="B49" s="178" t="s">
        <v>167</v>
      </c>
      <c r="C49" s="444"/>
      <c r="D49" s="444"/>
      <c r="E49" s="87"/>
    </row>
    <row r="50" spans="2:10">
      <c r="B50" s="178" t="s">
        <v>168</v>
      </c>
      <c r="C50" s="444"/>
      <c r="D50" s="444"/>
      <c r="E50" s="189" t="str">
        <f>Mvalloc!D15</f>
        <v xml:space="preserve">  </v>
      </c>
    </row>
    <row r="51" spans="2:10">
      <c r="B51" s="178" t="s">
        <v>169</v>
      </c>
      <c r="C51" s="444"/>
      <c r="D51" s="444"/>
      <c r="E51" s="189" t="str">
        <f>Mvalloc!E15</f>
        <v xml:space="preserve">  </v>
      </c>
    </row>
    <row r="52" spans="2:10">
      <c r="B52" s="191" t="s">
        <v>219</v>
      </c>
      <c r="C52" s="444"/>
      <c r="D52" s="444"/>
      <c r="E52" s="189" t="str">
        <f>Mvalloc!F15</f>
        <v xml:space="preserve">  </v>
      </c>
    </row>
    <row r="53" spans="2:10">
      <c r="B53" s="292"/>
      <c r="C53" s="444"/>
      <c r="D53" s="444"/>
      <c r="E53" s="90"/>
    </row>
    <row r="54" spans="2:10">
      <c r="B54" s="292"/>
      <c r="C54" s="444"/>
      <c r="D54" s="444"/>
      <c r="E54" s="90"/>
    </row>
    <row r="55" spans="2:10">
      <c r="B55" s="292"/>
      <c r="C55" s="444"/>
      <c r="D55" s="444"/>
      <c r="E55" s="87"/>
    </row>
    <row r="56" spans="2:10">
      <c r="B56" s="292"/>
      <c r="C56" s="444"/>
      <c r="D56" s="444"/>
      <c r="E56" s="87"/>
    </row>
    <row r="57" spans="2:10">
      <c r="B57" s="337" t="s">
        <v>171</v>
      </c>
      <c r="C57" s="444"/>
      <c r="D57" s="444"/>
      <c r="E57" s="87"/>
    </row>
    <row r="58" spans="2:10">
      <c r="B58" s="178" t="s">
        <v>260</v>
      </c>
      <c r="C58" s="444"/>
      <c r="D58" s="444"/>
      <c r="E58" s="87"/>
    </row>
    <row r="59" spans="2:10">
      <c r="B59" s="178" t="s">
        <v>54</v>
      </c>
      <c r="C59" s="452" t="str">
        <f>IF(C60*0.1&lt;C58,"Exceed 10% Rule","")</f>
        <v/>
      </c>
      <c r="D59" s="445" t="str">
        <f>IF(D60*0.1&lt;D58,"Exceed 10% Rule","")</f>
        <v/>
      </c>
      <c r="E59" s="455" t="str">
        <f>IF(E60*0.1+E80&lt;E58,"Exceed 10% Rule","")</f>
        <v/>
      </c>
    </row>
    <row r="60" spans="2:10">
      <c r="B60" s="289" t="s">
        <v>172</v>
      </c>
      <c r="C60" s="446">
        <f>SUM(C48:C58)</f>
        <v>0</v>
      </c>
      <c r="D60" s="446">
        <f>SUM(D48:D58)</f>
        <v>0</v>
      </c>
      <c r="E60" s="340">
        <f>SUM(E48:E58)</f>
        <v>0</v>
      </c>
    </row>
    <row r="61" spans="2:10">
      <c r="B61" s="289" t="s">
        <v>173</v>
      </c>
      <c r="C61" s="446">
        <f>C46+C60</f>
        <v>0</v>
      </c>
      <c r="D61" s="446">
        <f>D46+D60</f>
        <v>0</v>
      </c>
      <c r="E61" s="340">
        <f>E46+E60</f>
        <v>0</v>
      </c>
    </row>
    <row r="62" spans="2:10">
      <c r="B62" s="178" t="s">
        <v>174</v>
      </c>
      <c r="C62" s="178"/>
      <c r="D62" s="447"/>
      <c r="E62" s="189"/>
    </row>
    <row r="63" spans="2:10">
      <c r="B63" s="292"/>
      <c r="C63" s="444"/>
      <c r="D63" s="444"/>
      <c r="E63" s="87"/>
    </row>
    <row r="64" spans="2:10">
      <c r="B64" s="292"/>
      <c r="C64" s="444"/>
      <c r="D64" s="444"/>
      <c r="E64" s="87"/>
      <c r="G64" s="821" t="str">
        <f>CONCATENATE("Desired Carryover Into ",E1+1,"")</f>
        <v>Desired Carryover Into 2015</v>
      </c>
      <c r="H64" s="822"/>
      <c r="I64" s="822"/>
      <c r="J64" s="823"/>
    </row>
    <row r="65" spans="2:11">
      <c r="B65" s="292"/>
      <c r="C65" s="444"/>
      <c r="D65" s="444"/>
      <c r="E65" s="87"/>
      <c r="G65" s="567"/>
      <c r="H65" s="465"/>
      <c r="I65" s="481"/>
      <c r="J65" s="568"/>
    </row>
    <row r="66" spans="2:11">
      <c r="B66" s="292"/>
      <c r="C66" s="444"/>
      <c r="D66" s="444"/>
      <c r="E66" s="87"/>
      <c r="G66" s="487" t="s">
        <v>662</v>
      </c>
      <c r="H66" s="481"/>
      <c r="I66" s="481"/>
      <c r="J66" s="475">
        <v>0</v>
      </c>
    </row>
    <row r="67" spans="2:11">
      <c r="B67" s="292"/>
      <c r="C67" s="444"/>
      <c r="D67" s="444"/>
      <c r="E67" s="87"/>
      <c r="G67" s="567" t="s">
        <v>661</v>
      </c>
      <c r="H67" s="465"/>
      <c r="I67" s="465"/>
      <c r="J67" s="698" t="str">
        <f>IF(J66=0,"",ROUND((J66+E80-G79)/inputOth!E7*1000,3)-G84)</f>
        <v/>
      </c>
    </row>
    <row r="68" spans="2:11">
      <c r="B68" s="292"/>
      <c r="C68" s="444"/>
      <c r="D68" s="444"/>
      <c r="E68" s="87"/>
      <c r="G68" s="664" t="str">
        <f>CONCATENATE("",E1," Tot Exp/Non-Appr Must Be:")</f>
        <v>2014 Tot Exp/Non-Appr Must Be:</v>
      </c>
      <c r="H68" s="661"/>
      <c r="I68" s="662"/>
      <c r="J68" s="658">
        <f>IF(J66&gt;0,IF(E77&lt;E61,IF(J66=G79,E77,((J66-G79)*(1-D79))+E61),E77+(J66-G79)),0)</f>
        <v>0</v>
      </c>
    </row>
    <row r="69" spans="2:11">
      <c r="B69" s="292"/>
      <c r="C69" s="444"/>
      <c r="D69" s="444"/>
      <c r="E69" s="87"/>
      <c r="G69" s="696" t="s">
        <v>840</v>
      </c>
      <c r="H69" s="701"/>
      <c r="I69" s="701"/>
      <c r="J69" s="665">
        <f>IF(J66&gt;0,J68-E77,0)</f>
        <v>0</v>
      </c>
    </row>
    <row r="70" spans="2:11">
      <c r="B70" s="191" t="s">
        <v>53</v>
      </c>
      <c r="C70" s="444"/>
      <c r="D70" s="444"/>
      <c r="E70" s="189" t="str">
        <f>Nhood!E13</f>
        <v/>
      </c>
      <c r="J70" s="2"/>
    </row>
    <row r="71" spans="2:11">
      <c r="B71" s="191" t="s">
        <v>260</v>
      </c>
      <c r="C71" s="444"/>
      <c r="D71" s="444"/>
      <c r="E71" s="87"/>
      <c r="G71" s="821" t="str">
        <f>CONCATENATE("Projected Carryover Into ",E1+1,"")</f>
        <v>Projected Carryover Into 2015</v>
      </c>
      <c r="H71" s="828"/>
      <c r="I71" s="828"/>
      <c r="J71" s="827"/>
    </row>
    <row r="72" spans="2:11">
      <c r="B72" s="191" t="s">
        <v>55</v>
      </c>
      <c r="C72" s="445" t="str">
        <f>IF(C73*0.1&lt;C71,"Exceed 10% Rule","")</f>
        <v/>
      </c>
      <c r="D72" s="445" t="str">
        <f>IF(D73*0.1&lt;D71,"Exceed 10% Rule","")</f>
        <v/>
      </c>
      <c r="E72" s="455" t="str">
        <f>IF(E73*0.1&lt;E71,"Exceed 10% Rule","")</f>
        <v/>
      </c>
      <c r="G72" s="476"/>
      <c r="H72" s="465"/>
      <c r="I72" s="465"/>
      <c r="J72" s="741"/>
    </row>
    <row r="73" spans="2:11">
      <c r="B73" s="289" t="s">
        <v>175</v>
      </c>
      <c r="C73" s="446">
        <f>SUM(C63:C71)</f>
        <v>0</v>
      </c>
      <c r="D73" s="446">
        <f>SUM(D63:D71)</f>
        <v>0</v>
      </c>
      <c r="E73" s="340">
        <f>SUM(E63:E71)</f>
        <v>0</v>
      </c>
      <c r="G73" s="478">
        <f>D74</f>
        <v>0</v>
      </c>
      <c r="H73" s="479" t="str">
        <f>CONCATENATE("",E1-1," Ending Cash Balance (est.)")</f>
        <v>2013 Ending Cash Balance (est.)</v>
      </c>
      <c r="I73" s="480"/>
      <c r="J73" s="741"/>
    </row>
    <row r="74" spans="2:11">
      <c r="B74" s="178" t="s">
        <v>283</v>
      </c>
      <c r="C74" s="451">
        <f>C61-C73</f>
        <v>0</v>
      </c>
      <c r="D74" s="451">
        <f>D61-D73</f>
        <v>0</v>
      </c>
      <c r="E74" s="345" t="s">
        <v>153</v>
      </c>
      <c r="G74" s="478">
        <f>E60</f>
        <v>0</v>
      </c>
      <c r="H74" s="481" t="str">
        <f>CONCATENATE("",E1," Non-AV Receipts (est.)")</f>
        <v>2014 Non-AV Receipts (est.)</v>
      </c>
      <c r="I74" s="480"/>
      <c r="J74" s="741"/>
    </row>
    <row r="75" spans="2:11">
      <c r="B75" s="210" t="str">
        <f>CONCATENATE("",E1-2,"/",E1-1," Budget Authority Amount:")</f>
        <v>2012/2013 Budget Authority Amount:</v>
      </c>
      <c r="C75" s="221">
        <f>inputOth!B61</f>
        <v>0</v>
      </c>
      <c r="D75" s="221">
        <f>inputPrYr!D24</f>
        <v>0</v>
      </c>
      <c r="E75" s="345" t="s">
        <v>153</v>
      </c>
      <c r="F75" s="294"/>
      <c r="G75" s="482">
        <f>IF(D79&gt;0,E78,E80)</f>
        <v>0</v>
      </c>
      <c r="H75" s="481" t="str">
        <f>CONCATENATE("",E1," Ad Valorem Tax (est.)")</f>
        <v>2014 Ad Valorem Tax (est.)</v>
      </c>
      <c r="I75" s="480"/>
      <c r="J75" s="741"/>
      <c r="K75" s="703" t="str">
        <f>IF(G75=E80,"","Note: Does not include Delinquent Taxes")</f>
        <v/>
      </c>
    </row>
    <row r="76" spans="2:11">
      <c r="B76" s="210"/>
      <c r="C76" s="813" t="s">
        <v>655</v>
      </c>
      <c r="D76" s="814"/>
      <c r="E76" s="87"/>
      <c r="F76" s="294" t="str">
        <f>IF(E73/0.95-E73&lt;E76,"Exceeds 5%","")</f>
        <v/>
      </c>
      <c r="G76" s="569">
        <f>SUM(G73:G75)</f>
        <v>0</v>
      </c>
      <c r="H76" s="481" t="str">
        <f>CONCATENATE("Total ",E1," Resources Available")</f>
        <v>Total 2014 Resources Available</v>
      </c>
      <c r="I76" s="477"/>
      <c r="J76" s="741"/>
    </row>
    <row r="77" spans="2:11">
      <c r="B77" s="456" t="str">
        <f>CONCATENATE(C95,"     ",D95)</f>
        <v xml:space="preserve">     </v>
      </c>
      <c r="C77" s="815" t="s">
        <v>656</v>
      </c>
      <c r="D77" s="816"/>
      <c r="E77" s="189">
        <f>E73+E76</f>
        <v>0</v>
      </c>
      <c r="G77" s="572"/>
      <c r="H77" s="570"/>
      <c r="I77" s="465"/>
      <c r="J77" s="741"/>
    </row>
    <row r="78" spans="2:11">
      <c r="B78" s="456" t="str">
        <f>CONCATENATE(C96,"     ",D96)</f>
        <v xml:space="preserve">     </v>
      </c>
      <c r="C78" s="295"/>
      <c r="D78" s="218" t="s">
        <v>176</v>
      </c>
      <c r="E78" s="94">
        <f>IF(E77-E61&gt;0,E77-E61,0)</f>
        <v>0</v>
      </c>
      <c r="G78" s="571">
        <f>ROUND(C73*0.05+C73,0)</f>
        <v>0</v>
      </c>
      <c r="H78" s="570" t="str">
        <f>CONCATENATE("Less ",E1-2," Expenditures + 5%")</f>
        <v>Less 2012 Expenditures + 5%</v>
      </c>
      <c r="I78" s="477"/>
      <c r="J78" s="741"/>
    </row>
    <row r="79" spans="2:11">
      <c r="B79" s="218"/>
      <c r="C79" s="443" t="s">
        <v>657</v>
      </c>
      <c r="D79" s="707">
        <f>inputOth!E41</f>
        <v>0</v>
      </c>
      <c r="E79" s="189">
        <f>ROUND(IF(D79&gt;0,(E78*D79),0),0)</f>
        <v>0</v>
      </c>
      <c r="G79" s="581">
        <f>G76-G78</f>
        <v>0</v>
      </c>
      <c r="H79" s="582" t="str">
        <f>CONCATENATE("Projected ",E1+1," carryover (est.)")</f>
        <v>Projected 2015 carryover (est.)</v>
      </c>
      <c r="I79" s="486"/>
      <c r="J79" s="739"/>
    </row>
    <row r="80" spans="2:11" ht="16.5" thickBot="1">
      <c r="B80" s="64"/>
      <c r="C80" s="829" t="str">
        <f>CONCATENATE("Amount of  ",E1-1," Ad Valorem Tax")</f>
        <v>Amount of  2013 Ad Valorem Tax</v>
      </c>
      <c r="D80" s="830"/>
      <c r="E80" s="714">
        <f>E78+E79</f>
        <v>0</v>
      </c>
      <c r="G80" s="2"/>
      <c r="H80" s="2"/>
      <c r="I80" s="2"/>
    </row>
    <row r="81" spans="2:10" ht="16.5" thickTop="1">
      <c r="B81" s="64"/>
      <c r="C81" s="811"/>
      <c r="D81" s="812"/>
      <c r="E81" s="64"/>
      <c r="G81" s="817" t="s">
        <v>958</v>
      </c>
      <c r="H81" s="818"/>
      <c r="I81" s="818"/>
      <c r="J81" s="819"/>
    </row>
    <row r="82" spans="2:10">
      <c r="B82" s="64"/>
      <c r="C82" s="64"/>
      <c r="D82" s="64"/>
      <c r="E82" s="64"/>
      <c r="G82" s="709"/>
      <c r="H82" s="479"/>
      <c r="I82" s="659"/>
      <c r="J82" s="660"/>
    </row>
    <row r="83" spans="2:10">
      <c r="B83" s="218" t="s">
        <v>178</v>
      </c>
      <c r="C83" s="346"/>
      <c r="D83" s="118"/>
      <c r="E83" s="64"/>
      <c r="G83" s="711" t="str">
        <f>summ!H22</f>
        <v xml:space="preserve">  </v>
      </c>
      <c r="H83" s="479" t="str">
        <f>CONCATENATE("",E1," Fund Mill Rate")</f>
        <v>2014 Fund Mill Rate</v>
      </c>
      <c r="I83" s="659"/>
      <c r="J83" s="660"/>
    </row>
    <row r="84" spans="2:10">
      <c r="G84" s="710" t="str">
        <f>summ!E22</f>
        <v xml:space="preserve">  </v>
      </c>
      <c r="H84" s="479" t="str">
        <f>CONCATENATE("",E1-1," Fund Mill Rate")</f>
        <v>2013 Fund Mill Rate</v>
      </c>
      <c r="I84" s="659"/>
      <c r="J84" s="660"/>
    </row>
    <row r="85" spans="2:10">
      <c r="B85" s="126"/>
      <c r="C85" s="126"/>
      <c r="G85" s="712">
        <f>summ!H31</f>
        <v>13.044</v>
      </c>
      <c r="H85" s="479" t="str">
        <f>CONCATENATE("Total ",E1," Mill Rate")</f>
        <v>Total 2014 Mill Rate</v>
      </c>
      <c r="I85" s="659"/>
      <c r="J85" s="660"/>
    </row>
    <row r="86" spans="2:10">
      <c r="G86" s="710">
        <f>summ!E31</f>
        <v>13.746</v>
      </c>
      <c r="H86" s="647" t="str">
        <f>CONCATENATE("Total ",E1-1," Mill Rate")</f>
        <v>Total 2013 Mill Rate</v>
      </c>
      <c r="I86" s="648"/>
      <c r="J86" s="649"/>
    </row>
    <row r="88" spans="2:10">
      <c r="G88" s="768" t="s">
        <v>987</v>
      </c>
      <c r="H88" s="767"/>
      <c r="I88" s="766" t="str">
        <f>cert!E38</f>
        <v>No</v>
      </c>
    </row>
    <row r="93" spans="2:10" hidden="1">
      <c r="C93" s="464" t="str">
        <f>IF(C33&gt;C35,"See Tab A","")</f>
        <v/>
      </c>
      <c r="D93" s="464" t="str">
        <f>IF(D33&gt;D35,"See Tab C","")</f>
        <v/>
      </c>
    </row>
    <row r="94" spans="2:10" hidden="1">
      <c r="C94" s="464" t="str">
        <f>IF(C34&lt;0,"See Tab B","")</f>
        <v/>
      </c>
      <c r="D94" s="464" t="str">
        <f>IF(D34&lt;0,"See Tab D","")</f>
        <v/>
      </c>
    </row>
    <row r="95" spans="2:10" hidden="1">
      <c r="C95" s="457" t="str">
        <f>IF(C73&gt;C75,"See Tab A","")</f>
        <v/>
      </c>
      <c r="D95" s="457" t="str">
        <f>IF(D73&gt;D75,"See Tab C","")</f>
        <v/>
      </c>
    </row>
    <row r="96" spans="2:10" hidden="1">
      <c r="C96" s="457" t="str">
        <f>IF(C74&lt;0,"See Tab B","")</f>
        <v/>
      </c>
      <c r="D96" s="457" t="str">
        <f>IF(D74&lt;0,"See Tab D","")</f>
        <v/>
      </c>
    </row>
    <row r="97" spans="3:4">
      <c r="C97" s="457"/>
      <c r="D97" s="457"/>
    </row>
    <row r="98" spans="3:4">
      <c r="C98" s="457"/>
      <c r="D98" s="457"/>
    </row>
  </sheetData>
  <sheetProtection sheet="1"/>
  <mergeCells count="14">
    <mergeCell ref="G81:J81"/>
    <mergeCell ref="C81:D81"/>
    <mergeCell ref="C41:D41"/>
    <mergeCell ref="C40:D40"/>
    <mergeCell ref="C80:D80"/>
    <mergeCell ref="C76:D76"/>
    <mergeCell ref="C77:D77"/>
    <mergeCell ref="G71:J71"/>
    <mergeCell ref="G41:J41"/>
    <mergeCell ref="C36:D36"/>
    <mergeCell ref="C37:D37"/>
    <mergeCell ref="G24:J24"/>
    <mergeCell ref="G64:J64"/>
    <mergeCell ref="G31:J31"/>
  </mergeCells>
  <phoneticPr fontId="0" type="noConversion"/>
  <conditionalFormatting sqref="E71">
    <cfRule type="cellIs" dxfId="90" priority="3" stopIfTrue="1" operator="greaterThan">
      <formula>$E$73*0.1</formula>
    </cfRule>
  </conditionalFormatting>
  <conditionalFormatting sqref="E76">
    <cfRule type="cellIs" dxfId="89" priority="4" stopIfTrue="1" operator="greaterThan">
      <formula>$E$73/0.95-$E$73</formula>
    </cfRule>
  </conditionalFormatting>
  <conditionalFormatting sqref="E31">
    <cfRule type="cellIs" dxfId="88" priority="5" stopIfTrue="1" operator="greaterThan">
      <formula>$E$33*0.1</formula>
    </cfRule>
  </conditionalFormatting>
  <conditionalFormatting sqref="E36">
    <cfRule type="cellIs" dxfId="87" priority="6" stopIfTrue="1" operator="greaterThan">
      <formula>$E$33/0.95-$E$33</formula>
    </cfRule>
  </conditionalFormatting>
  <conditionalFormatting sqref="C74 C34">
    <cfRule type="cellIs" dxfId="86" priority="7" stopIfTrue="1" operator="lessThan">
      <formula>0</formula>
    </cfRule>
  </conditionalFormatting>
  <conditionalFormatting sqref="C73">
    <cfRule type="cellIs" dxfId="85" priority="8" stopIfTrue="1" operator="greaterThan">
      <formula>$C$75</formula>
    </cfRule>
  </conditionalFormatting>
  <conditionalFormatting sqref="D73">
    <cfRule type="cellIs" dxfId="84" priority="9" stopIfTrue="1" operator="greaterThan">
      <formula>$D$75</formula>
    </cfRule>
  </conditionalFormatting>
  <conditionalFormatting sqref="C33">
    <cfRule type="cellIs" dxfId="83" priority="10" stopIfTrue="1" operator="greaterThan">
      <formula>$C$35</formula>
    </cfRule>
  </conditionalFormatting>
  <conditionalFormatting sqref="D33">
    <cfRule type="cellIs" dxfId="82" priority="11" stopIfTrue="1" operator="greaterThan">
      <formula>$D$35</formula>
    </cfRule>
  </conditionalFormatting>
  <conditionalFormatting sqref="E58">
    <cfRule type="cellIs" dxfId="81" priority="12" stopIfTrue="1" operator="greaterThan">
      <formula>$E$60*0.1+E80</formula>
    </cfRule>
  </conditionalFormatting>
  <conditionalFormatting sqref="E18">
    <cfRule type="cellIs" dxfId="80" priority="13" stopIfTrue="1" operator="greaterThan">
      <formula>$E$20*0.1+E40</formula>
    </cfRule>
  </conditionalFormatting>
  <conditionalFormatting sqref="D18">
    <cfRule type="cellIs" dxfId="79" priority="14" stopIfTrue="1" operator="greaterThan">
      <formula>$D$20*0.1</formula>
    </cfRule>
  </conditionalFormatting>
  <conditionalFormatting sqref="C18">
    <cfRule type="cellIs" dxfId="78" priority="15" stopIfTrue="1" operator="greaterThan">
      <formula>$C$20*0.1</formula>
    </cfRule>
  </conditionalFormatting>
  <conditionalFormatting sqref="C31">
    <cfRule type="cellIs" dxfId="77" priority="16" stopIfTrue="1" operator="greaterThan">
      <formula>$C$33*0.1</formula>
    </cfRule>
  </conditionalFormatting>
  <conditionalFormatting sqref="D31">
    <cfRule type="cellIs" dxfId="76" priority="17" stopIfTrue="1" operator="greaterThan">
      <formula>$D$33*0.1</formula>
    </cfRule>
  </conditionalFormatting>
  <conditionalFormatting sqref="D58">
    <cfRule type="cellIs" dxfId="75" priority="18" stopIfTrue="1" operator="greaterThan">
      <formula>$D$60*0.1</formula>
    </cfRule>
  </conditionalFormatting>
  <conditionalFormatting sqref="C58">
    <cfRule type="cellIs" dxfId="74" priority="19" stopIfTrue="1" operator="greaterThan">
      <formula>$C$60*0.1</formula>
    </cfRule>
  </conditionalFormatting>
  <conditionalFormatting sqref="C71">
    <cfRule type="cellIs" dxfId="73" priority="20" stopIfTrue="1" operator="greaterThan">
      <formula>$C$73*0.1</formula>
    </cfRule>
  </conditionalFormatting>
  <conditionalFormatting sqref="D71">
    <cfRule type="cellIs" dxfId="72" priority="21" stopIfTrue="1" operator="greaterThan">
      <formula>$D$73*0.1</formula>
    </cfRule>
  </conditionalFormatting>
  <conditionalFormatting sqref="D74 D34">
    <cfRule type="cellIs" dxfId="71"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6"/>
  <sheetViews>
    <sheetView topLeftCell="A12" workbookViewId="0">
      <selection activeCell="A29" sqref="A29"/>
    </sheetView>
  </sheetViews>
  <sheetFormatPr defaultRowHeight="15.75"/>
  <cols>
    <col min="1" max="1" width="2.44140625" style="65" customWidth="1"/>
    <col min="2" max="2" width="31.109375" style="65" customWidth="1"/>
    <col min="3" max="4" width="15.77734375" style="65" customWidth="1"/>
    <col min="5" max="5" width="16.109375" style="65" customWidth="1"/>
    <col min="6" max="16384" width="8.88671875" style="65"/>
  </cols>
  <sheetData>
    <row r="1" spans="2:5">
      <c r="B1" s="201" t="str">
        <f>(inputPrYr!D2)</f>
        <v>City of Circleville</v>
      </c>
      <c r="C1" s="64"/>
      <c r="D1" s="64"/>
      <c r="E1" s="161">
        <f>inputPrYr!$C$5</f>
        <v>2014</v>
      </c>
    </row>
    <row r="2" spans="2:5">
      <c r="B2" s="64"/>
      <c r="C2" s="64"/>
      <c r="D2" s="64"/>
      <c r="E2" s="218"/>
    </row>
    <row r="3" spans="2:5">
      <c r="B3" s="81" t="s">
        <v>224</v>
      </c>
      <c r="C3" s="331"/>
      <c r="D3" s="331"/>
      <c r="E3" s="332"/>
    </row>
    <row r="4" spans="2:5">
      <c r="B4" s="69" t="s">
        <v>165</v>
      </c>
      <c r="C4" s="717" t="s">
        <v>836</v>
      </c>
      <c r="D4" s="718" t="s">
        <v>837</v>
      </c>
      <c r="E4" s="174" t="s">
        <v>838</v>
      </c>
    </row>
    <row r="5" spans="2:5">
      <c r="B5" s="454" t="str">
        <f>(inputPrYr!B28)</f>
        <v>Special Highway</v>
      </c>
      <c r="C5" s="333" t="str">
        <f>CONCATENATE("Actual for ",$E$1-2,"")</f>
        <v>Actual for 2012</v>
      </c>
      <c r="D5" s="415" t="str">
        <f>CONCATENATE("Estimate for ",$E$1-1,"")</f>
        <v>Estimate for 2013</v>
      </c>
      <c r="E5" s="229" t="str">
        <f>CONCATENATE("Year for ",$E$1,"")</f>
        <v>Year for 2014</v>
      </c>
    </row>
    <row r="6" spans="2:5">
      <c r="B6" s="178" t="s">
        <v>282</v>
      </c>
      <c r="C6" s="87">
        <v>8764</v>
      </c>
      <c r="D6" s="189">
        <f>C25</f>
        <v>10085</v>
      </c>
      <c r="E6" s="189">
        <f>D25</f>
        <v>12046</v>
      </c>
    </row>
    <row r="7" spans="2:5">
      <c r="B7" s="278" t="s">
        <v>284</v>
      </c>
      <c r="C7" s="189"/>
      <c r="D7" s="189"/>
      <c r="E7" s="189"/>
    </row>
    <row r="8" spans="2:5">
      <c r="B8" s="343" t="s">
        <v>180</v>
      </c>
      <c r="C8" s="87">
        <v>4391</v>
      </c>
      <c r="D8" s="189">
        <f>inputOth!E47</f>
        <v>4250</v>
      </c>
      <c r="E8" s="189">
        <f>inputOth!E45</f>
        <v>4400</v>
      </c>
    </row>
    <row r="9" spans="2:5">
      <c r="B9" s="343" t="s">
        <v>326</v>
      </c>
      <c r="C9" s="87"/>
      <c r="D9" s="189">
        <f>inputOth!E48</f>
        <v>0</v>
      </c>
      <c r="E9" s="189">
        <f>inputOth!E46</f>
        <v>0</v>
      </c>
    </row>
    <row r="10" spans="2:5">
      <c r="B10" s="292" t="s">
        <v>1057</v>
      </c>
      <c r="C10" s="87"/>
      <c r="D10" s="87">
        <v>4000</v>
      </c>
      <c r="E10" s="87">
        <v>5000</v>
      </c>
    </row>
    <row r="11" spans="2:5">
      <c r="B11" s="292"/>
      <c r="C11" s="87"/>
      <c r="D11" s="87"/>
      <c r="E11" s="87"/>
    </row>
    <row r="12" spans="2:5">
      <c r="B12" s="337" t="s">
        <v>171</v>
      </c>
      <c r="C12" s="87"/>
      <c r="D12" s="87"/>
      <c r="E12" s="87"/>
    </row>
    <row r="13" spans="2:5">
      <c r="B13" s="341" t="s">
        <v>260</v>
      </c>
      <c r="C13" s="87"/>
      <c r="D13" s="87"/>
      <c r="E13" s="87"/>
    </row>
    <row r="14" spans="2:5">
      <c r="B14" s="341" t="s">
        <v>653</v>
      </c>
      <c r="C14" s="455" t="str">
        <f>IF(C15*0.1&lt;C13,"Exceed 10% Rule","")</f>
        <v/>
      </c>
      <c r="D14" s="338" t="str">
        <f>IF(D15*0.1&lt;D13,"Exceed 10% Rule","")</f>
        <v/>
      </c>
      <c r="E14" s="338" t="str">
        <f>IF(E15*0.1&lt;E13,"Exceed 10% Rule","")</f>
        <v/>
      </c>
    </row>
    <row r="15" spans="2:5">
      <c r="B15" s="289" t="s">
        <v>172</v>
      </c>
      <c r="C15" s="340">
        <f>SUM(C8:C13)</f>
        <v>4391</v>
      </c>
      <c r="D15" s="340">
        <f>SUM(D8:D13)</f>
        <v>8250</v>
      </c>
      <c r="E15" s="340">
        <f>SUM(E8:E13)</f>
        <v>9400</v>
      </c>
    </row>
    <row r="16" spans="2:5">
      <c r="B16" s="289" t="s">
        <v>173</v>
      </c>
      <c r="C16" s="340">
        <f>C6+C15</f>
        <v>13155</v>
      </c>
      <c r="D16" s="340">
        <f>D6+D15</f>
        <v>18335</v>
      </c>
      <c r="E16" s="340">
        <f>E6+E15</f>
        <v>21446</v>
      </c>
    </row>
    <row r="17" spans="2:5">
      <c r="B17" s="178" t="s">
        <v>174</v>
      </c>
      <c r="C17" s="189"/>
      <c r="D17" s="189"/>
      <c r="E17" s="189"/>
    </row>
    <row r="18" spans="2:5">
      <c r="B18" s="292" t="s">
        <v>1026</v>
      </c>
      <c r="C18" s="87">
        <v>1413</v>
      </c>
      <c r="D18" s="87">
        <v>4189</v>
      </c>
      <c r="E18" s="87">
        <v>4400</v>
      </c>
    </row>
    <row r="19" spans="2:5">
      <c r="B19" s="406" t="s">
        <v>1013</v>
      </c>
      <c r="C19" s="87">
        <v>441</v>
      </c>
      <c r="D19" s="87">
        <v>600</v>
      </c>
      <c r="E19" s="87">
        <v>1000</v>
      </c>
    </row>
    <row r="20" spans="2:5">
      <c r="B20" s="292" t="s">
        <v>1025</v>
      </c>
      <c r="C20" s="87">
        <v>1216</v>
      </c>
      <c r="D20" s="87">
        <v>1500</v>
      </c>
      <c r="E20" s="87">
        <v>2000</v>
      </c>
    </row>
    <row r="21" spans="2:5">
      <c r="B21" s="292"/>
      <c r="C21" s="87"/>
      <c r="D21" s="87"/>
      <c r="E21" s="87"/>
    </row>
    <row r="22" spans="2:5">
      <c r="B22" s="191" t="s">
        <v>260</v>
      </c>
      <c r="C22" s="87"/>
      <c r="D22" s="87"/>
      <c r="E22" s="87"/>
    </row>
    <row r="23" spans="2:5">
      <c r="B23" s="86" t="s">
        <v>652</v>
      </c>
      <c r="C23" s="455" t="str">
        <f>IF(C24*0.1&lt;C22,"Exceed 10% Rule","")</f>
        <v/>
      </c>
      <c r="D23" s="338" t="str">
        <f>IF(D24*0.1&lt;D22,"Exceed 10% Rule","")</f>
        <v/>
      </c>
      <c r="E23" s="338" t="str">
        <f>IF(E24*0.1&lt;E22,"Exceed 10% Rule","")</f>
        <v/>
      </c>
    </row>
    <row r="24" spans="2:5">
      <c r="B24" s="289" t="s">
        <v>175</v>
      </c>
      <c r="C24" s="340">
        <f>SUM(C18:C22)</f>
        <v>3070</v>
      </c>
      <c r="D24" s="340">
        <f>SUM(D18:D22)</f>
        <v>6289</v>
      </c>
      <c r="E24" s="340">
        <f>SUM(E18:E22)</f>
        <v>7400</v>
      </c>
    </row>
    <row r="25" spans="2:5">
      <c r="B25" s="178" t="s">
        <v>283</v>
      </c>
      <c r="C25" s="94">
        <f>C16-C24</f>
        <v>10085</v>
      </c>
      <c r="D25" s="94">
        <f>D16-D24</f>
        <v>12046</v>
      </c>
      <c r="E25" s="94">
        <f>E16-E24</f>
        <v>14046</v>
      </c>
    </row>
    <row r="26" spans="2:5">
      <c r="B26" s="210" t="str">
        <f>CONCATENATE("",E1-2,"/",E1-1," Budget Authority Amount:")</f>
        <v>2012/2013 Budget Authority Amount:</v>
      </c>
      <c r="C26" s="221">
        <f>inputOth!B62</f>
        <v>8919</v>
      </c>
      <c r="D26" s="221">
        <f>inputPrYr!D28</f>
        <v>8919</v>
      </c>
      <c r="E26" s="462" t="str">
        <f>IF(E25&lt;0,"See Tab E","")</f>
        <v/>
      </c>
    </row>
    <row r="27" spans="2:5">
      <c r="B27" s="210"/>
      <c r="C27" s="295" t="str">
        <f>IF(C24&gt;C26,"See Tab A","")</f>
        <v/>
      </c>
      <c r="D27" s="295" t="str">
        <f>IF(D24&gt;D26,"See Tab C","")</f>
        <v/>
      </c>
      <c r="E27" s="208"/>
    </row>
    <row r="28" spans="2:5">
      <c r="B28" s="210"/>
      <c r="C28" s="295" t="str">
        <f>IF(C25&lt;0,"See Tab B","")</f>
        <v/>
      </c>
      <c r="D28" s="295" t="str">
        <f>IF(D25&lt;0,"See Tab D","")</f>
        <v/>
      </c>
      <c r="E28" s="208"/>
    </row>
    <row r="29" spans="2:5">
      <c r="B29" s="64"/>
      <c r="C29" s="208"/>
      <c r="D29" s="208"/>
      <c r="E29" s="208"/>
    </row>
    <row r="30" spans="2:5">
      <c r="B30" s="69" t="s">
        <v>165</v>
      </c>
      <c r="C30" s="717" t="s">
        <v>836</v>
      </c>
      <c r="D30" s="718" t="s">
        <v>837</v>
      </c>
      <c r="E30" s="174" t="s">
        <v>838</v>
      </c>
    </row>
    <row r="31" spans="2:5">
      <c r="B31" s="453" t="str">
        <f>(inputPrYr!B29)</f>
        <v>Water</v>
      </c>
      <c r="C31" s="333" t="str">
        <f>CONCATENATE("Actual for ",$E$1-2,"")</f>
        <v>Actual for 2012</v>
      </c>
      <c r="D31" s="415" t="str">
        <f>CONCATENATE("Estimate for ",$E$1-1,"")</f>
        <v>Estimate for 2013</v>
      </c>
      <c r="E31" s="229" t="str">
        <f>CONCATENATE("Year for ",$E$1,"")</f>
        <v>Year for 2014</v>
      </c>
    </row>
    <row r="32" spans="2:5">
      <c r="B32" s="178" t="s">
        <v>282</v>
      </c>
      <c r="C32" s="87">
        <v>25300</v>
      </c>
      <c r="D32" s="189">
        <f>C61</f>
        <v>28961.5</v>
      </c>
      <c r="E32" s="189">
        <f>D61</f>
        <v>25306.5</v>
      </c>
    </row>
    <row r="33" spans="2:5">
      <c r="B33" s="178" t="s">
        <v>284</v>
      </c>
      <c r="C33" s="189"/>
      <c r="D33" s="189"/>
      <c r="E33" s="189"/>
    </row>
    <row r="34" spans="2:5">
      <c r="B34" s="292"/>
      <c r="C34" s="87"/>
      <c r="D34" s="87"/>
      <c r="E34" s="87"/>
    </row>
    <row r="35" spans="2:5">
      <c r="B35" s="292" t="s">
        <v>181</v>
      </c>
      <c r="C35" s="87">
        <v>44973</v>
      </c>
      <c r="D35" s="87">
        <v>48000</v>
      </c>
      <c r="E35" s="87">
        <v>48000</v>
      </c>
    </row>
    <row r="36" spans="2:5">
      <c r="B36" s="292" t="s">
        <v>1037</v>
      </c>
      <c r="C36" s="87">
        <v>300</v>
      </c>
      <c r="D36" s="87">
        <v>500</v>
      </c>
      <c r="E36" s="87">
        <v>500</v>
      </c>
    </row>
    <row r="37" spans="2:5">
      <c r="B37" s="292"/>
      <c r="C37" s="87"/>
      <c r="D37" s="87"/>
      <c r="E37" s="87"/>
    </row>
    <row r="38" spans="2:5">
      <c r="B38" s="292"/>
      <c r="C38" s="87"/>
      <c r="D38" s="87"/>
      <c r="E38" s="87"/>
    </row>
    <row r="39" spans="2:5">
      <c r="B39" s="292"/>
      <c r="C39" s="87"/>
      <c r="D39" s="87"/>
      <c r="E39" s="87"/>
    </row>
    <row r="40" spans="2:5">
      <c r="B40" s="337" t="s">
        <v>171</v>
      </c>
      <c r="C40" s="87"/>
      <c r="D40" s="87"/>
      <c r="E40" s="87"/>
    </row>
    <row r="41" spans="2:5">
      <c r="B41" s="341" t="s">
        <v>260</v>
      </c>
      <c r="C41" s="87"/>
      <c r="D41" s="87"/>
      <c r="E41" s="87"/>
    </row>
    <row r="42" spans="2:5">
      <c r="B42" s="341" t="s">
        <v>54</v>
      </c>
      <c r="C42" s="455" t="str">
        <f>IF(C43*0.1&lt;C41,"Exceed 10% Rule","")</f>
        <v/>
      </c>
      <c r="D42" s="338" t="str">
        <f>IF(D43*0.1&lt;D41,"Exceed 10% Rule","")</f>
        <v/>
      </c>
      <c r="E42" s="338" t="str">
        <f>IF(E43*0.1&lt;E41,"Exceed 10% Rule","")</f>
        <v/>
      </c>
    </row>
    <row r="43" spans="2:5">
      <c r="B43" s="289" t="s">
        <v>172</v>
      </c>
      <c r="C43" s="340">
        <f>SUM(C34:C41)</f>
        <v>45273</v>
      </c>
      <c r="D43" s="340">
        <f>SUM(D34:D41)</f>
        <v>48500</v>
      </c>
      <c r="E43" s="340">
        <f>SUM(E34:E41)</f>
        <v>48500</v>
      </c>
    </row>
    <row r="44" spans="2:5">
      <c r="B44" s="289" t="s">
        <v>173</v>
      </c>
      <c r="C44" s="340">
        <f>C32+C43</f>
        <v>70573</v>
      </c>
      <c r="D44" s="340">
        <f>D32+D43</f>
        <v>77461.5</v>
      </c>
      <c r="E44" s="340">
        <f>E32+E43</f>
        <v>73806.5</v>
      </c>
    </row>
    <row r="45" spans="2:5">
      <c r="B45" s="178" t="s">
        <v>174</v>
      </c>
      <c r="C45" s="189"/>
      <c r="D45" s="189"/>
      <c r="E45" s="189"/>
    </row>
    <row r="46" spans="2:5">
      <c r="B46" s="292" t="s">
        <v>1027</v>
      </c>
      <c r="C46" s="87">
        <v>3963</v>
      </c>
      <c r="D46" s="87">
        <v>4500</v>
      </c>
      <c r="E46" s="87">
        <v>5000</v>
      </c>
    </row>
    <row r="47" spans="2:5">
      <c r="B47" s="627" t="s">
        <v>1012</v>
      </c>
      <c r="C47" s="87">
        <v>430</v>
      </c>
      <c r="D47" s="87">
        <v>650</v>
      </c>
      <c r="E47" s="87">
        <v>750</v>
      </c>
    </row>
    <row r="48" spans="2:5">
      <c r="B48" s="627" t="s">
        <v>1038</v>
      </c>
      <c r="C48" s="87">
        <v>19734</v>
      </c>
      <c r="D48" s="87">
        <v>25000</v>
      </c>
      <c r="E48" s="87">
        <v>25000</v>
      </c>
    </row>
    <row r="49" spans="2:5">
      <c r="B49" s="627" t="s">
        <v>1011</v>
      </c>
      <c r="C49" s="87">
        <v>1315</v>
      </c>
      <c r="D49" s="87">
        <v>1500</v>
      </c>
      <c r="E49" s="87">
        <v>1700</v>
      </c>
    </row>
    <row r="50" spans="2:5">
      <c r="B50" s="627" t="s">
        <v>1013</v>
      </c>
      <c r="C50" s="87">
        <v>982</v>
      </c>
      <c r="D50" s="87">
        <v>2000</v>
      </c>
      <c r="E50" s="87">
        <v>4000</v>
      </c>
    </row>
    <row r="51" spans="2:5">
      <c r="B51" s="627" t="s">
        <v>1030</v>
      </c>
      <c r="C51" s="87">
        <v>1405.5</v>
      </c>
      <c r="D51" s="87">
        <v>4000</v>
      </c>
      <c r="E51" s="87">
        <v>10000</v>
      </c>
    </row>
    <row r="52" spans="2:5">
      <c r="B52" s="627" t="s">
        <v>1028</v>
      </c>
      <c r="C52" s="87">
        <v>373</v>
      </c>
      <c r="D52" s="87">
        <v>500</v>
      </c>
      <c r="E52" s="87">
        <v>500</v>
      </c>
    </row>
    <row r="53" spans="2:5">
      <c r="B53" s="627" t="s">
        <v>1040</v>
      </c>
      <c r="C53" s="87">
        <v>129</v>
      </c>
      <c r="D53" s="87">
        <v>500</v>
      </c>
      <c r="E53" s="87">
        <v>500</v>
      </c>
    </row>
    <row r="54" spans="2:5">
      <c r="B54" s="627" t="s">
        <v>1050</v>
      </c>
      <c r="C54" s="87"/>
      <c r="D54" s="87">
        <v>100</v>
      </c>
      <c r="E54" s="87">
        <v>100</v>
      </c>
    </row>
    <row r="55" spans="2:5">
      <c r="B55" s="627" t="s">
        <v>1019</v>
      </c>
      <c r="C55" s="87"/>
      <c r="D55" s="87">
        <v>100</v>
      </c>
      <c r="E55" s="87">
        <v>100</v>
      </c>
    </row>
    <row r="56" spans="2:5">
      <c r="B56" s="627" t="s">
        <v>1041</v>
      </c>
      <c r="C56" s="87">
        <v>75</v>
      </c>
      <c r="D56" s="87">
        <v>75</v>
      </c>
      <c r="E56" s="87">
        <v>75</v>
      </c>
    </row>
    <row r="57" spans="2:5">
      <c r="B57" s="407" t="s">
        <v>1039</v>
      </c>
      <c r="C57" s="87">
        <v>13200</v>
      </c>
      <c r="D57" s="87">
        <v>13200</v>
      </c>
      <c r="E57" s="87">
        <v>13200</v>
      </c>
    </row>
    <row r="58" spans="2:5">
      <c r="B58" s="191" t="s">
        <v>260</v>
      </c>
      <c r="C58" s="87">
        <v>5</v>
      </c>
      <c r="D58" s="87">
        <v>30</v>
      </c>
      <c r="E58" s="87">
        <v>5</v>
      </c>
    </row>
    <row r="59" spans="2:5">
      <c r="B59" s="191" t="s">
        <v>55</v>
      </c>
      <c r="C59" s="455" t="str">
        <f>IF(C60*0.1&lt;C58,"Exceed 10% Rule","")</f>
        <v/>
      </c>
      <c r="D59" s="338" t="str">
        <f>IF(D60*0.1&lt;D58,"Exceed 10% Rule","")</f>
        <v/>
      </c>
      <c r="E59" s="338" t="str">
        <f>IF(E60*0.1&lt;E58,"Exceed 10% Rule","")</f>
        <v/>
      </c>
    </row>
    <row r="60" spans="2:5">
      <c r="B60" s="289" t="s">
        <v>175</v>
      </c>
      <c r="C60" s="340">
        <f>SUM(C46:C58)</f>
        <v>41611.5</v>
      </c>
      <c r="D60" s="340">
        <f>SUM(D46:D58)</f>
        <v>52155</v>
      </c>
      <c r="E60" s="340">
        <f>SUM(E46:E58)</f>
        <v>60930</v>
      </c>
    </row>
    <row r="61" spans="2:5">
      <c r="B61" s="178" t="s">
        <v>283</v>
      </c>
      <c r="C61" s="94">
        <f>C44-C60</f>
        <v>28961.5</v>
      </c>
      <c r="D61" s="94">
        <f>D44-D60</f>
        <v>25306.5</v>
      </c>
      <c r="E61" s="94">
        <f>E44-E60</f>
        <v>12876.5</v>
      </c>
    </row>
    <row r="62" spans="2:5">
      <c r="B62" s="210" t="str">
        <f>CONCATENATE("",E1-2,"/",E1-1," Budget Authority Amount:")</f>
        <v>2012/2013 Budget Authority Amount:</v>
      </c>
      <c r="C62" s="221">
        <f>inputOth!B63</f>
        <v>70928</v>
      </c>
      <c r="D62" s="221">
        <f>inputPrYr!D29</f>
        <v>70928</v>
      </c>
      <c r="E62" s="462" t="str">
        <f>IF(E61&lt;0,"See Tab E","")</f>
        <v/>
      </c>
    </row>
    <row r="63" spans="2:5">
      <c r="B63" s="210"/>
      <c r="C63" s="295" t="str">
        <f>IF(C60&gt;C62,"See Tab A","")</f>
        <v/>
      </c>
      <c r="D63" s="295" t="str">
        <f>IF(D60&gt;D62,"See Tab C","")</f>
        <v/>
      </c>
      <c r="E63" s="64"/>
    </row>
    <row r="64" spans="2:5">
      <c r="B64" s="210"/>
      <c r="C64" s="295" t="str">
        <f>IF(C61&lt;0,"See Tab B","")</f>
        <v/>
      </c>
      <c r="D64" s="295" t="str">
        <f>IF(D61&lt;0,"See Tab D","")</f>
        <v/>
      </c>
      <c r="E64" s="64"/>
    </row>
    <row r="65" spans="2:5">
      <c r="B65" s="64"/>
      <c r="C65" s="64"/>
      <c r="D65" s="64"/>
      <c r="E65" s="64"/>
    </row>
    <row r="66" spans="2:5">
      <c r="B66" s="218" t="s">
        <v>178</v>
      </c>
      <c r="C66" s="297">
        <v>10</v>
      </c>
      <c r="D66" s="64"/>
      <c r="E66" s="64"/>
    </row>
  </sheetData>
  <sheetProtection sheet="1"/>
  <phoneticPr fontId="0" type="noConversion"/>
  <conditionalFormatting sqref="C13">
    <cfRule type="cellIs" dxfId="70" priority="9" stopIfTrue="1" operator="greaterThan">
      <formula>$C$15*0.1</formula>
    </cfRule>
  </conditionalFormatting>
  <conditionalFormatting sqref="C41">
    <cfRule type="cellIs" dxfId="69" priority="10" stopIfTrue="1" operator="greaterThan">
      <formula>$C$43*0.1</formula>
    </cfRule>
  </conditionalFormatting>
  <conditionalFormatting sqref="D13">
    <cfRule type="cellIs" dxfId="68" priority="11" stopIfTrue="1" operator="greaterThan">
      <formula>$D$15*0.1</formula>
    </cfRule>
  </conditionalFormatting>
  <conditionalFormatting sqref="E13">
    <cfRule type="cellIs" dxfId="67" priority="12" stopIfTrue="1" operator="greaterThan">
      <formula>$E$15*0.1</formula>
    </cfRule>
  </conditionalFormatting>
  <conditionalFormatting sqref="D41">
    <cfRule type="cellIs" dxfId="66" priority="13" stopIfTrue="1" operator="greaterThan">
      <formula>$D$43*0.1</formula>
    </cfRule>
  </conditionalFormatting>
  <conditionalFormatting sqref="E41">
    <cfRule type="cellIs" dxfId="65" priority="14" stopIfTrue="1" operator="greaterThan">
      <formula>$E$43*0.1</formula>
    </cfRule>
  </conditionalFormatting>
  <conditionalFormatting sqref="C22">
    <cfRule type="cellIs" dxfId="64" priority="15" stopIfTrue="1" operator="greaterThan">
      <formula>$C$24*0.1</formula>
    </cfRule>
  </conditionalFormatting>
  <conditionalFormatting sqref="D22">
    <cfRule type="cellIs" dxfId="63" priority="16" stopIfTrue="1" operator="greaterThan">
      <formula>$D$24*0.1</formula>
    </cfRule>
  </conditionalFormatting>
  <conditionalFormatting sqref="E22">
    <cfRule type="cellIs" dxfId="62" priority="17" stopIfTrue="1" operator="greaterThan">
      <formula>$E$24*0.1</formula>
    </cfRule>
  </conditionalFormatting>
  <conditionalFormatting sqref="C58">
    <cfRule type="cellIs" dxfId="61" priority="18" stopIfTrue="1" operator="greaterThan">
      <formula>$C$60*0.1</formula>
    </cfRule>
  </conditionalFormatting>
  <conditionalFormatting sqref="D58">
    <cfRule type="cellIs" dxfId="60" priority="19" stopIfTrue="1" operator="greaterThan">
      <formula>$D$60*0.1</formula>
    </cfRule>
  </conditionalFormatting>
  <conditionalFormatting sqref="E58">
    <cfRule type="cellIs" dxfId="59" priority="20" stopIfTrue="1" operator="greaterThan">
      <formula>$E$60*0.1</formula>
    </cfRule>
  </conditionalFormatting>
  <conditionalFormatting sqref="E25 C61">
    <cfRule type="cellIs" dxfId="58" priority="21" stopIfTrue="1" operator="lessThan">
      <formula>0</formula>
    </cfRule>
  </conditionalFormatting>
  <conditionalFormatting sqref="D60">
    <cfRule type="cellIs" dxfId="57" priority="22" stopIfTrue="1" operator="greaterThan">
      <formula>$D$62</formula>
    </cfRule>
  </conditionalFormatting>
  <conditionalFormatting sqref="E61">
    <cfRule type="cellIs" dxfId="56" priority="23" stopIfTrue="1" operator="lessThan">
      <formula>0</formula>
    </cfRule>
  </conditionalFormatting>
  <conditionalFormatting sqref="D25">
    <cfRule type="cellIs" dxfId="55" priority="6" stopIfTrue="1" operator="lessThan">
      <formula>0</formula>
    </cfRule>
    <cfRule type="cellIs" dxfId="54" priority="8" stopIfTrue="1" operator="lessThan">
      <formula>0</formula>
    </cfRule>
  </conditionalFormatting>
  <conditionalFormatting sqref="D61">
    <cfRule type="cellIs" dxfId="53" priority="7" stopIfTrue="1" operator="lessThan">
      <formula>0</formula>
    </cfRule>
  </conditionalFormatting>
  <conditionalFormatting sqref="C25">
    <cfRule type="cellIs" dxfId="52" priority="5" stopIfTrue="1" operator="lessThan">
      <formula>0</formula>
    </cfRule>
  </conditionalFormatting>
  <conditionalFormatting sqref="D24">
    <cfRule type="cellIs" dxfId="51" priority="3" stopIfTrue="1" operator="greaterThan">
      <formula>$D$26</formula>
    </cfRule>
  </conditionalFormatting>
  <conditionalFormatting sqref="C24">
    <cfRule type="cellIs" dxfId="50" priority="2" stopIfTrue="1" operator="greaterThan">
      <formula>$C$26</formula>
    </cfRule>
  </conditionalFormatting>
  <conditionalFormatting sqref="C60">
    <cfRule type="cellIs" dxfId="49" priority="1" stopIfTrue="1" operator="greaterThan">
      <formula>$C$62</formula>
    </cfRule>
  </conditionalFormatting>
  <pageMargins left="0.5" right="0.5" top="1" bottom="0.5" header="0.5" footer="0.5"/>
  <pageSetup scale="67" orientation="portrait" blackAndWhite="1"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8"/>
  <sheetViews>
    <sheetView workbookViewId="0">
      <selection activeCell="E20" sqref="E20"/>
    </sheetView>
  </sheetViews>
  <sheetFormatPr defaultRowHeight="15.75"/>
  <cols>
    <col min="1" max="1" width="2.44140625" style="65" customWidth="1"/>
    <col min="2" max="2" width="31.109375" style="65" customWidth="1"/>
    <col min="3" max="4" width="15.77734375" style="65" customWidth="1"/>
    <col min="5" max="5" width="16.21875" style="65" customWidth="1"/>
    <col min="6" max="16384" width="8.88671875" style="65"/>
  </cols>
  <sheetData>
    <row r="1" spans="2:5">
      <c r="B1" s="201" t="str">
        <f>(inputPrYr!D2)</f>
        <v>City of Circleville</v>
      </c>
      <c r="C1" s="64"/>
      <c r="D1" s="64"/>
      <c r="E1" s="161">
        <f>inputPrYr!$C$5</f>
        <v>2014</v>
      </c>
    </row>
    <row r="2" spans="2:5">
      <c r="B2" s="64"/>
      <c r="C2" s="64"/>
      <c r="D2" s="64"/>
      <c r="E2" s="218"/>
    </row>
    <row r="3" spans="2:5">
      <c r="B3" s="81" t="s">
        <v>224</v>
      </c>
      <c r="C3" s="172"/>
      <c r="D3" s="172"/>
      <c r="E3" s="163"/>
    </row>
    <row r="4" spans="2:5">
      <c r="B4" s="69" t="s">
        <v>165</v>
      </c>
      <c r="C4" s="717" t="s">
        <v>836</v>
      </c>
      <c r="D4" s="718" t="s">
        <v>837</v>
      </c>
      <c r="E4" s="174" t="s">
        <v>838</v>
      </c>
    </row>
    <row r="5" spans="2:5">
      <c r="B5" s="454" t="str">
        <f>(inputPrYr!B30)</f>
        <v>Sewer</v>
      </c>
      <c r="C5" s="333" t="str">
        <f>CONCATENATE("Actual for ",$E$1-2,"")</f>
        <v>Actual for 2012</v>
      </c>
      <c r="D5" s="415" t="str">
        <f>CONCATENATE("Estimate for ",$E$1-1,"")</f>
        <v>Estimate for 2013</v>
      </c>
      <c r="E5" s="229" t="str">
        <f>CONCATENATE("Year for ",$E$1,"")</f>
        <v>Year for 2014</v>
      </c>
    </row>
    <row r="6" spans="2:5">
      <c r="B6" s="178" t="s">
        <v>282</v>
      </c>
      <c r="C6" s="87">
        <v>6435</v>
      </c>
      <c r="D6" s="189">
        <f>C31</f>
        <v>5560</v>
      </c>
      <c r="E6" s="189">
        <f>D31</f>
        <v>3690</v>
      </c>
    </row>
    <row r="7" spans="2:5">
      <c r="B7" s="278" t="s">
        <v>284</v>
      </c>
      <c r="C7" s="189"/>
      <c r="D7" s="189"/>
      <c r="E7" s="189"/>
    </row>
    <row r="8" spans="2:5">
      <c r="B8" s="292"/>
      <c r="C8" s="87"/>
      <c r="D8" s="87"/>
      <c r="E8" s="87"/>
    </row>
    <row r="9" spans="2:5">
      <c r="B9" s="292" t="s">
        <v>181</v>
      </c>
      <c r="C9" s="87">
        <v>17900</v>
      </c>
      <c r="D9" s="87">
        <v>19000</v>
      </c>
      <c r="E9" s="87">
        <v>19000</v>
      </c>
    </row>
    <row r="10" spans="2:5">
      <c r="B10" s="292"/>
      <c r="C10" s="87"/>
      <c r="D10" s="87"/>
      <c r="E10" s="87"/>
    </row>
    <row r="11" spans="2:5">
      <c r="B11" s="292"/>
      <c r="C11" s="87"/>
      <c r="D11" s="87"/>
      <c r="E11" s="87"/>
    </row>
    <row r="12" spans="2:5">
      <c r="B12" s="337" t="s">
        <v>171</v>
      </c>
      <c r="C12" s="87">
        <v>4</v>
      </c>
      <c r="D12" s="87"/>
      <c r="E12" s="87"/>
    </row>
    <row r="13" spans="2:5">
      <c r="B13" s="341" t="s">
        <v>260</v>
      </c>
      <c r="C13" s="87"/>
      <c r="D13" s="87"/>
      <c r="E13" s="87"/>
    </row>
    <row r="14" spans="2:5">
      <c r="B14" s="341" t="s">
        <v>653</v>
      </c>
      <c r="C14" s="455" t="str">
        <f>IF(C15*0.1&lt;C13,"Exceed 10% Rule","")</f>
        <v/>
      </c>
      <c r="D14" s="338" t="str">
        <f>IF(D15*0.1&lt;D13,"Exceed 10% Rule","")</f>
        <v/>
      </c>
      <c r="E14" s="338" t="str">
        <f>IF(E15*0.1&lt;E13,"Exceed 10% Rule","")</f>
        <v/>
      </c>
    </row>
    <row r="15" spans="2:5">
      <c r="B15" s="289" t="s">
        <v>172</v>
      </c>
      <c r="C15" s="340">
        <f>SUM(C8:C13)</f>
        <v>17904</v>
      </c>
      <c r="D15" s="340">
        <f>SUM(D8:D13)</f>
        <v>19000</v>
      </c>
      <c r="E15" s="340">
        <f>SUM(E8:E13)</f>
        <v>19000</v>
      </c>
    </row>
    <row r="16" spans="2:5">
      <c r="B16" s="289" t="s">
        <v>173</v>
      </c>
      <c r="C16" s="340">
        <f>C6+C15</f>
        <v>24339</v>
      </c>
      <c r="D16" s="340">
        <f>D6+D15</f>
        <v>24560</v>
      </c>
      <c r="E16" s="340">
        <f>E6+E15</f>
        <v>22690</v>
      </c>
    </row>
    <row r="17" spans="2:5">
      <c r="B17" s="178" t="s">
        <v>174</v>
      </c>
      <c r="C17" s="189"/>
      <c r="D17" s="189"/>
      <c r="E17" s="189"/>
    </row>
    <row r="18" spans="2:5">
      <c r="B18" s="408"/>
      <c r="C18" s="87"/>
      <c r="D18" s="409"/>
      <c r="E18" s="87"/>
    </row>
    <row r="19" spans="2:5">
      <c r="B19" s="408" t="s">
        <v>1027</v>
      </c>
      <c r="C19" s="87">
        <v>1698</v>
      </c>
      <c r="D19" s="409">
        <v>2000</v>
      </c>
      <c r="E19" s="87">
        <v>2500</v>
      </c>
    </row>
    <row r="20" spans="2:5">
      <c r="B20" s="408" t="s">
        <v>1030</v>
      </c>
      <c r="C20" s="87">
        <v>2740</v>
      </c>
      <c r="D20" s="409">
        <v>3500</v>
      </c>
      <c r="E20" s="87">
        <v>4000</v>
      </c>
    </row>
    <row r="21" spans="2:5">
      <c r="B21" s="408" t="s">
        <v>1013</v>
      </c>
      <c r="C21" s="87">
        <v>167</v>
      </c>
      <c r="D21" s="409">
        <v>1000</v>
      </c>
      <c r="E21" s="87">
        <v>1000</v>
      </c>
    </row>
    <row r="22" spans="2:5">
      <c r="B22" s="408" t="s">
        <v>1028</v>
      </c>
      <c r="C22" s="87">
        <v>185</v>
      </c>
      <c r="D22" s="409">
        <v>250</v>
      </c>
      <c r="E22" s="87">
        <v>250</v>
      </c>
    </row>
    <row r="23" spans="2:5">
      <c r="B23" s="408" t="s">
        <v>1012</v>
      </c>
      <c r="C23" s="87">
        <v>769</v>
      </c>
      <c r="D23" s="409">
        <v>900</v>
      </c>
      <c r="E23" s="87">
        <v>900</v>
      </c>
    </row>
    <row r="24" spans="2:5">
      <c r="B24" s="408" t="s">
        <v>1051</v>
      </c>
      <c r="C24" s="87">
        <v>20</v>
      </c>
      <c r="D24" s="409">
        <v>20</v>
      </c>
      <c r="E24" s="87">
        <v>20</v>
      </c>
    </row>
    <row r="25" spans="2:5">
      <c r="B25" s="408"/>
      <c r="C25" s="87"/>
      <c r="D25" s="409"/>
      <c r="E25" s="87"/>
    </row>
    <row r="26" spans="2:5">
      <c r="B26" s="408" t="s">
        <v>1029</v>
      </c>
      <c r="C26" s="87">
        <v>13200</v>
      </c>
      <c r="D26" s="409">
        <v>13200</v>
      </c>
      <c r="E26" s="87">
        <v>13200</v>
      </c>
    </row>
    <row r="27" spans="2:5">
      <c r="B27" s="408"/>
      <c r="C27" s="87"/>
      <c r="D27" s="409"/>
      <c r="E27" s="87"/>
    </row>
    <row r="28" spans="2:5">
      <c r="B28" s="191" t="s">
        <v>260</v>
      </c>
      <c r="C28" s="87"/>
      <c r="D28" s="409"/>
      <c r="E28" s="87"/>
    </row>
    <row r="29" spans="2:5">
      <c r="B29" s="191" t="s">
        <v>652</v>
      </c>
      <c r="C29" s="455" t="str">
        <f>IF(C30*0.1&lt;C28,"Exceed 10% Rule","")</f>
        <v/>
      </c>
      <c r="D29" s="338" t="str">
        <f>IF(D30*0.1&lt;D28,"Exceed 10% Rule","")</f>
        <v/>
      </c>
      <c r="E29" s="338" t="str">
        <f>IF(E30*0.1&lt;E28,"Exceed 10% Rule","")</f>
        <v/>
      </c>
    </row>
    <row r="30" spans="2:5">
      <c r="B30" s="289" t="s">
        <v>175</v>
      </c>
      <c r="C30" s="340">
        <f>SUM(C18:C28)</f>
        <v>18779</v>
      </c>
      <c r="D30" s="340">
        <f>SUM(D18:D28)</f>
        <v>20870</v>
      </c>
      <c r="E30" s="340">
        <f>SUM(E18:E28)</f>
        <v>21870</v>
      </c>
    </row>
    <row r="31" spans="2:5">
      <c r="B31" s="178" t="s">
        <v>283</v>
      </c>
      <c r="C31" s="94">
        <f>C16-C30</f>
        <v>5560</v>
      </c>
      <c r="D31" s="94">
        <f>D16-D30</f>
        <v>3690</v>
      </c>
      <c r="E31" s="94">
        <f>E16-E30</f>
        <v>820</v>
      </c>
    </row>
    <row r="32" spans="2:5">
      <c r="B32" s="210" t="str">
        <f>CONCATENATE("",E1-2,"/",E1-1," Budget Authority Amount:")</f>
        <v>2012/2013 Budget Authority Amount:</v>
      </c>
      <c r="C32" s="221">
        <f>inputOth!B64</f>
        <v>23630</v>
      </c>
      <c r="D32" s="221">
        <f>inputPrYr!D30</f>
        <v>23630</v>
      </c>
      <c r="E32" s="462" t="str">
        <f>IF(E31&lt;0,"See Tab E","")</f>
        <v/>
      </c>
    </row>
    <row r="33" spans="2:5">
      <c r="B33" s="210"/>
      <c r="C33" s="295" t="str">
        <f>IF(C30&gt;C32,"See Tab A","")</f>
        <v/>
      </c>
      <c r="D33" s="295" t="str">
        <f>IF(D30&gt;D32,"See Tab C","")</f>
        <v/>
      </c>
      <c r="E33" s="342"/>
    </row>
    <row r="34" spans="2:5">
      <c r="B34" s="210"/>
      <c r="C34" s="295" t="str">
        <f>IF(C31&lt;0,"See Tab B","")</f>
        <v/>
      </c>
      <c r="D34" s="295" t="str">
        <f>IF(D31&lt;0,"See Tab D","")</f>
        <v/>
      </c>
      <c r="E34" s="342"/>
    </row>
    <row r="35" spans="2:5">
      <c r="B35" s="64"/>
      <c r="C35" s="342"/>
      <c r="D35" s="342"/>
      <c r="E35" s="342"/>
    </row>
    <row r="36" spans="2:5">
      <c r="B36" s="64"/>
      <c r="C36" s="342"/>
      <c r="D36" s="342"/>
      <c r="E36" s="342"/>
    </row>
    <row r="37" spans="2:5">
      <c r="B37" s="69" t="s">
        <v>165</v>
      </c>
      <c r="C37" s="717" t="s">
        <v>836</v>
      </c>
      <c r="D37" s="718" t="s">
        <v>837</v>
      </c>
      <c r="E37" s="174" t="s">
        <v>838</v>
      </c>
    </row>
    <row r="38" spans="2:5">
      <c r="B38" s="454" t="str">
        <f>(inputPrYr!B31)</f>
        <v>Park</v>
      </c>
      <c r="C38" s="333" t="str">
        <f>CONCATENATE("Actual for ",$E$1-2,"")</f>
        <v>Actual for 2012</v>
      </c>
      <c r="D38" s="415" t="str">
        <f>CONCATENATE("Estimate for ",$E$1-1,"")</f>
        <v>Estimate for 2013</v>
      </c>
      <c r="E38" s="229" t="str">
        <f>CONCATENATE("Year for ",$E$1,"")</f>
        <v>Year for 2014</v>
      </c>
    </row>
    <row r="39" spans="2:5">
      <c r="B39" s="178" t="s">
        <v>282</v>
      </c>
      <c r="C39" s="87">
        <v>26099</v>
      </c>
      <c r="D39" s="189">
        <f>C63</f>
        <v>12697</v>
      </c>
      <c r="E39" s="189">
        <f>D63</f>
        <v>1997</v>
      </c>
    </row>
    <row r="40" spans="2:5">
      <c r="B40" s="278" t="s">
        <v>284</v>
      </c>
      <c r="C40" s="189"/>
      <c r="D40" s="189"/>
      <c r="E40" s="189"/>
    </row>
    <row r="41" spans="2:5">
      <c r="B41" s="292"/>
      <c r="C41" s="87"/>
      <c r="D41" s="87"/>
      <c r="E41" s="87"/>
    </row>
    <row r="42" spans="2:5">
      <c r="B42" s="292" t="s">
        <v>1034</v>
      </c>
      <c r="C42" s="87">
        <v>1773</v>
      </c>
      <c r="D42" s="87">
        <v>2000</v>
      </c>
      <c r="E42" s="87">
        <v>2000</v>
      </c>
    </row>
    <row r="43" spans="2:5">
      <c r="B43" s="292"/>
      <c r="C43" s="87"/>
      <c r="D43" s="87"/>
      <c r="E43" s="87"/>
    </row>
    <row r="44" spans="2:5">
      <c r="B44" s="292"/>
      <c r="C44" s="87"/>
      <c r="D44" s="87"/>
      <c r="E44" s="87"/>
    </row>
    <row r="45" spans="2:5">
      <c r="B45" s="337" t="s">
        <v>171</v>
      </c>
      <c r="C45" s="87"/>
      <c r="D45" s="87"/>
      <c r="E45" s="87"/>
    </row>
    <row r="46" spans="2:5">
      <c r="B46" s="341" t="s">
        <v>260</v>
      </c>
      <c r="C46" s="87"/>
      <c r="D46" s="87"/>
      <c r="E46" s="87"/>
    </row>
    <row r="47" spans="2:5">
      <c r="B47" s="341" t="s">
        <v>653</v>
      </c>
      <c r="C47" s="455" t="str">
        <f>IF(C48*0.1&lt;C46,"Exceed 10% Rule","")</f>
        <v/>
      </c>
      <c r="D47" s="338" t="str">
        <f>IF(D48*0.1&lt;D46,"Exceed 10% Rule","")</f>
        <v/>
      </c>
      <c r="E47" s="338" t="str">
        <f>IF(E48*0.1&lt;E46,"Exceed 10% Rule","")</f>
        <v/>
      </c>
    </row>
    <row r="48" spans="2:5">
      <c r="B48" s="289" t="s">
        <v>172</v>
      </c>
      <c r="C48" s="340">
        <f>SUM(C41:C46)</f>
        <v>1773</v>
      </c>
      <c r="D48" s="340">
        <f>SUM(D41:D46)</f>
        <v>2000</v>
      </c>
      <c r="E48" s="340">
        <f>SUM(E41:E46)</f>
        <v>2000</v>
      </c>
    </row>
    <row r="49" spans="2:5">
      <c r="B49" s="289" t="s">
        <v>173</v>
      </c>
      <c r="C49" s="340">
        <f>C39+C48</f>
        <v>27872</v>
      </c>
      <c r="D49" s="340">
        <f>D39+D48</f>
        <v>14697</v>
      </c>
      <c r="E49" s="340">
        <f>E39+E48</f>
        <v>3997</v>
      </c>
    </row>
    <row r="50" spans="2:5">
      <c r="B50" s="178" t="s">
        <v>174</v>
      </c>
      <c r="C50" s="189"/>
      <c r="D50" s="189"/>
      <c r="E50" s="189"/>
    </row>
    <row r="51" spans="2:5">
      <c r="B51" s="410"/>
      <c r="C51" s="87"/>
      <c r="D51" s="87"/>
      <c r="E51" s="87"/>
    </row>
    <row r="52" spans="2:5">
      <c r="B52" s="410" t="s">
        <v>1035</v>
      </c>
      <c r="C52" s="87">
        <v>15115</v>
      </c>
      <c r="D52" s="411">
        <v>12500</v>
      </c>
      <c r="E52" s="87">
        <v>3500</v>
      </c>
    </row>
    <row r="53" spans="2:5">
      <c r="B53" s="410" t="s">
        <v>1015</v>
      </c>
      <c r="C53" s="87">
        <v>60</v>
      </c>
      <c r="D53" s="411">
        <v>200</v>
      </c>
      <c r="E53" s="87">
        <v>200</v>
      </c>
    </row>
    <row r="54" spans="2:5">
      <c r="B54" s="292"/>
      <c r="C54" s="87"/>
      <c r="D54" s="411"/>
      <c r="E54" s="87"/>
    </row>
    <row r="55" spans="2:5">
      <c r="B55" s="292"/>
      <c r="C55" s="87"/>
      <c r="D55" s="87"/>
      <c r="E55" s="87"/>
    </row>
    <row r="56" spans="2:5">
      <c r="B56" s="292"/>
      <c r="C56" s="87"/>
      <c r="D56" s="87"/>
      <c r="E56" s="87"/>
    </row>
    <row r="57" spans="2:5">
      <c r="B57" s="292"/>
      <c r="C57" s="87"/>
      <c r="D57" s="87"/>
      <c r="E57" s="87"/>
    </row>
    <row r="58" spans="2:5">
      <c r="B58" s="292"/>
      <c r="C58" s="87"/>
      <c r="D58" s="87"/>
      <c r="E58" s="87"/>
    </row>
    <row r="59" spans="2:5">
      <c r="B59" s="292"/>
      <c r="C59" s="87"/>
      <c r="D59" s="87"/>
      <c r="E59" s="87"/>
    </row>
    <row r="60" spans="2:5">
      <c r="B60" s="191" t="s">
        <v>260</v>
      </c>
      <c r="C60" s="87"/>
      <c r="D60" s="334"/>
      <c r="E60" s="334"/>
    </row>
    <row r="61" spans="2:5">
      <c r="B61" s="191" t="s">
        <v>652</v>
      </c>
      <c r="C61" s="455" t="str">
        <f>IF(C62*0.1&lt;C60,"Exceed 10% Rule","")</f>
        <v/>
      </c>
      <c r="D61" s="338" t="str">
        <f>IF(D62*0.1&lt;D60,"Exceed 10% Rule","")</f>
        <v/>
      </c>
      <c r="E61" s="338" t="str">
        <f>IF(E62*0.1&lt;E60,"Exceed 10% Rule","")</f>
        <v/>
      </c>
    </row>
    <row r="62" spans="2:5">
      <c r="B62" s="289" t="s">
        <v>175</v>
      </c>
      <c r="C62" s="340">
        <f>SUM(C51:C60)</f>
        <v>15175</v>
      </c>
      <c r="D62" s="340">
        <f>SUM(D51:D60)</f>
        <v>12700</v>
      </c>
      <c r="E62" s="340">
        <f>SUM(E51:E60)</f>
        <v>3700</v>
      </c>
    </row>
    <row r="63" spans="2:5">
      <c r="B63" s="178" t="s">
        <v>283</v>
      </c>
      <c r="C63" s="94">
        <f>C49-C62</f>
        <v>12697</v>
      </c>
      <c r="D63" s="94">
        <f>D49-D62</f>
        <v>1997</v>
      </c>
      <c r="E63" s="94">
        <f>E49-E62</f>
        <v>297</v>
      </c>
    </row>
    <row r="64" spans="2:5">
      <c r="B64" s="210" t="str">
        <f>CONCATENATE("",E1-2,"/",E1-1," Budget Authority Amount:")</f>
        <v>2012/2013 Budget Authority Amount:</v>
      </c>
      <c r="C64" s="221">
        <f>inputOth!B65</f>
        <v>12854</v>
      </c>
      <c r="D64" s="221">
        <f>inputPrYr!D31</f>
        <v>12854</v>
      </c>
      <c r="E64" s="462" t="str">
        <f>IF(E63&lt;0,"See Tab E","")</f>
        <v/>
      </c>
    </row>
    <row r="65" spans="2:5">
      <c r="B65" s="210"/>
      <c r="C65" s="295" t="str">
        <f>IF(C62&gt;C64,"See Tab A","")</f>
        <v>See Tab A</v>
      </c>
      <c r="D65" s="295" t="str">
        <f>IF(D62&gt;D64,"See Tab C","")</f>
        <v/>
      </c>
      <c r="E65" s="64"/>
    </row>
    <row r="66" spans="2:5">
      <c r="B66" s="210"/>
      <c r="C66" s="295" t="str">
        <f>IF(C63&lt;0,"See Tab B","")</f>
        <v/>
      </c>
      <c r="D66" s="295" t="str">
        <f>IF(D63&lt;0,"See Tab D","")</f>
        <v/>
      </c>
      <c r="E66" s="64"/>
    </row>
    <row r="67" spans="2:5">
      <c r="B67" s="64"/>
      <c r="C67" s="64"/>
      <c r="D67" s="64"/>
      <c r="E67" s="64"/>
    </row>
    <row r="68" spans="2:5">
      <c r="B68" s="218" t="s">
        <v>178</v>
      </c>
      <c r="C68" s="297">
        <v>11</v>
      </c>
      <c r="D68" s="64"/>
      <c r="E68" s="64"/>
    </row>
  </sheetData>
  <sheetProtection sheet="1"/>
  <phoneticPr fontId="0" type="noConversion"/>
  <conditionalFormatting sqref="C13">
    <cfRule type="cellIs" dxfId="48" priority="4" stopIfTrue="1" operator="greaterThan">
      <formula>$C$15*0.1</formula>
    </cfRule>
  </conditionalFormatting>
  <conditionalFormatting sqref="D13">
    <cfRule type="cellIs" dxfId="47" priority="5" stopIfTrue="1" operator="greaterThan">
      <formula>$D$15*0.1</formula>
    </cfRule>
  </conditionalFormatting>
  <conditionalFormatting sqref="E13">
    <cfRule type="cellIs" dxfId="46" priority="6" stopIfTrue="1" operator="greaterThan">
      <formula>$E$15*0.1</formula>
    </cfRule>
  </conditionalFormatting>
  <conditionalFormatting sqref="C46">
    <cfRule type="cellIs" dxfId="45" priority="7" stopIfTrue="1" operator="greaterThan">
      <formula>$C$48*0.1</formula>
    </cfRule>
  </conditionalFormatting>
  <conditionalFormatting sqref="D46">
    <cfRule type="cellIs" dxfId="44" priority="8" stopIfTrue="1" operator="greaterThan">
      <formula>$D$48*0.1</formula>
    </cfRule>
  </conditionalFormatting>
  <conditionalFormatting sqref="E46">
    <cfRule type="cellIs" dxfId="43" priority="9" stopIfTrue="1" operator="greaterThan">
      <formula>$E$48*0.1</formula>
    </cfRule>
  </conditionalFormatting>
  <conditionalFormatting sqref="C60">
    <cfRule type="cellIs" dxfId="42" priority="10" stopIfTrue="1" operator="greaterThan">
      <formula>$C$62*0.1</formula>
    </cfRule>
  </conditionalFormatting>
  <conditionalFormatting sqref="D60">
    <cfRule type="cellIs" dxfId="41" priority="11" stopIfTrue="1" operator="greaterThan">
      <formula>$D$62*0.1</formula>
    </cfRule>
  </conditionalFormatting>
  <conditionalFormatting sqref="E60">
    <cfRule type="cellIs" dxfId="40" priority="12" stopIfTrue="1" operator="greaterThan">
      <formula>$E$62*0.1</formula>
    </cfRule>
  </conditionalFormatting>
  <conditionalFormatting sqref="C28">
    <cfRule type="cellIs" dxfId="39" priority="13" stopIfTrue="1" operator="greaterThan">
      <formula>$C$30*0.1</formula>
    </cfRule>
  </conditionalFormatting>
  <conditionalFormatting sqref="D28">
    <cfRule type="cellIs" dxfId="38" priority="14" stopIfTrue="1" operator="greaterThan">
      <formula>$D$30*0.1</formula>
    </cfRule>
  </conditionalFormatting>
  <conditionalFormatting sqref="E28">
    <cfRule type="cellIs" dxfId="37" priority="15" stopIfTrue="1" operator="greaterThan">
      <formula>$E$30*0.1</formula>
    </cfRule>
  </conditionalFormatting>
  <conditionalFormatting sqref="C31 C63 E31 E63">
    <cfRule type="cellIs" dxfId="36" priority="16" stopIfTrue="1" operator="lessThan">
      <formula>0</formula>
    </cfRule>
  </conditionalFormatting>
  <conditionalFormatting sqref="D30">
    <cfRule type="cellIs" dxfId="35" priority="17" stopIfTrue="1" operator="greaterThan">
      <formula>$D$32</formula>
    </cfRule>
  </conditionalFormatting>
  <conditionalFormatting sqref="C62">
    <cfRule type="cellIs" dxfId="34" priority="18" stopIfTrue="1" operator="greaterThan">
      <formula>$C$64</formula>
    </cfRule>
  </conditionalFormatting>
  <conditionalFormatting sqref="D62">
    <cfRule type="cellIs" dxfId="33" priority="19" stopIfTrue="1" operator="greaterThan">
      <formula>$D$64</formula>
    </cfRule>
  </conditionalFormatting>
  <conditionalFormatting sqref="D31">
    <cfRule type="cellIs" dxfId="32" priority="3" stopIfTrue="1" operator="lessThan">
      <formula>0</formula>
    </cfRule>
  </conditionalFormatting>
  <conditionalFormatting sqref="D63">
    <cfRule type="cellIs" dxfId="31" priority="2" stopIfTrue="1" operator="lessThan">
      <formula>0</formula>
    </cfRule>
  </conditionalFormatting>
  <conditionalFormatting sqref="C30">
    <cfRule type="cellIs" dxfId="30" priority="1" stopIfTrue="1" operator="greaterThan">
      <formula>$C$32</formula>
    </cfRule>
  </conditionalFormatting>
  <pageMargins left="0.5" right="0.5" top="1" bottom="0.5" header="0.5" footer="0.5"/>
  <pageSetup scale="64" orientation="portrait" blackAndWhite="1"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topLeftCell="A23" zoomScaleNormal="100" workbookViewId="0">
      <selection activeCell="B40" sqref="B40"/>
    </sheetView>
  </sheetViews>
  <sheetFormatPr defaultRowHeight="15.75"/>
  <cols>
    <col min="1" max="1" width="15.77734375" style="65" customWidth="1"/>
    <col min="2" max="2" width="20.77734375" style="65" customWidth="1"/>
    <col min="3" max="3" width="9.77734375" style="65" customWidth="1"/>
    <col min="4" max="4" width="15.109375" style="65" customWidth="1"/>
    <col min="5" max="5" width="15.77734375" style="65" customWidth="1"/>
    <col min="6" max="6" width="1.77734375" style="65" customWidth="1"/>
    <col min="7" max="7" width="18.6640625" style="65" customWidth="1"/>
    <col min="8" max="16384" width="8.88671875" style="65"/>
  </cols>
  <sheetData>
    <row r="1" spans="1:8">
      <c r="A1" s="63" t="s">
        <v>128</v>
      </c>
      <c r="B1" s="64"/>
      <c r="C1" s="64"/>
      <c r="D1" s="64"/>
      <c r="E1" s="64"/>
    </row>
    <row r="2" spans="1:8">
      <c r="A2" s="66" t="s">
        <v>73</v>
      </c>
      <c r="B2" s="64"/>
      <c r="C2" s="64"/>
      <c r="D2" s="625" t="s">
        <v>995</v>
      </c>
      <c r="E2" s="67"/>
    </row>
    <row r="3" spans="1:8">
      <c r="A3" s="66" t="s">
        <v>74</v>
      </c>
      <c r="B3" s="64"/>
      <c r="C3" s="64"/>
      <c r="D3" s="626" t="s">
        <v>996</v>
      </c>
      <c r="E3" s="68"/>
    </row>
    <row r="4" spans="1:8">
      <c r="A4" s="69"/>
      <c r="B4" s="64"/>
      <c r="C4" s="64"/>
      <c r="D4" s="70"/>
      <c r="E4" s="64"/>
    </row>
    <row r="5" spans="1:8">
      <c r="A5" s="66" t="s">
        <v>311</v>
      </c>
      <c r="B5" s="64"/>
      <c r="C5" s="71">
        <v>2014</v>
      </c>
      <c r="D5" s="70"/>
      <c r="E5" s="64"/>
    </row>
    <row r="6" spans="1:8">
      <c r="A6" s="64"/>
      <c r="B6" s="64"/>
      <c r="C6" s="64"/>
      <c r="D6" s="64"/>
      <c r="E6" s="64"/>
    </row>
    <row r="7" spans="1:8">
      <c r="A7" s="72" t="s">
        <v>347</v>
      </c>
      <c r="B7" s="73"/>
      <c r="C7" s="73"/>
      <c r="D7" s="73"/>
      <c r="E7" s="73"/>
    </row>
    <row r="8" spans="1:8">
      <c r="A8" s="72" t="s">
        <v>346</v>
      </c>
      <c r="B8" s="73"/>
      <c r="C8" s="73"/>
      <c r="D8" s="73"/>
      <c r="E8" s="73"/>
      <c r="F8" s="64"/>
      <c r="G8" s="771" t="s">
        <v>922</v>
      </c>
      <c r="H8" s="772"/>
    </row>
    <row r="9" spans="1:8" ht="15.75" customHeight="1">
      <c r="A9" s="74"/>
      <c r="B9" s="73"/>
      <c r="C9" s="73"/>
      <c r="D9" s="73"/>
      <c r="E9" s="73"/>
      <c r="F9" s="64"/>
      <c r="G9" s="773"/>
      <c r="H9" s="772"/>
    </row>
    <row r="10" spans="1:8">
      <c r="A10" s="769" t="s">
        <v>22</v>
      </c>
      <c r="B10" s="770"/>
      <c r="C10" s="770"/>
      <c r="D10" s="770"/>
      <c r="E10" s="770"/>
      <c r="F10" s="64"/>
      <c r="G10" s="773"/>
      <c r="H10" s="772"/>
    </row>
    <row r="11" spans="1:8">
      <c r="A11" s="74"/>
      <c r="B11" s="73"/>
      <c r="C11" s="73"/>
      <c r="D11" s="73"/>
      <c r="E11" s="73"/>
      <c r="F11" s="64"/>
      <c r="G11" s="773"/>
      <c r="H11" s="772"/>
    </row>
    <row r="12" spans="1:8">
      <c r="A12" s="76" t="s">
        <v>23</v>
      </c>
      <c r="B12" s="77"/>
      <c r="C12" s="64"/>
      <c r="D12" s="64"/>
      <c r="E12" s="64"/>
      <c r="F12" s="64"/>
      <c r="G12" s="773"/>
      <c r="H12" s="772"/>
    </row>
    <row r="13" spans="1:8">
      <c r="A13" s="78" t="str">
        <f>CONCATENATE("the ",C5-1," Budget, Certificate Page:")</f>
        <v>the 2013 Budget, Certificate Page:</v>
      </c>
      <c r="B13" s="79"/>
      <c r="C13" s="80"/>
      <c r="D13" s="64"/>
      <c r="E13" s="64"/>
      <c r="F13" s="64"/>
      <c r="G13" s="773"/>
      <c r="H13" s="772"/>
    </row>
    <row r="14" spans="1:8">
      <c r="A14" s="78" t="s">
        <v>345</v>
      </c>
      <c r="B14" s="79"/>
      <c r="C14" s="80"/>
      <c r="D14" s="64"/>
      <c r="E14" s="64"/>
      <c r="F14" s="64"/>
      <c r="G14" s="96"/>
      <c r="H14" s="705"/>
    </row>
    <row r="15" spans="1:8">
      <c r="A15" s="81"/>
      <c r="B15" s="64"/>
      <c r="C15" s="64"/>
      <c r="D15" s="82">
        <f>$C$5-1</f>
        <v>2013</v>
      </c>
      <c r="E15" s="82">
        <f>$C$5-2</f>
        <v>2012</v>
      </c>
      <c r="G15" s="219" t="s">
        <v>825</v>
      </c>
      <c r="H15" s="187" t="s">
        <v>177</v>
      </c>
    </row>
    <row r="16" spans="1:8">
      <c r="A16" s="69" t="s">
        <v>129</v>
      </c>
      <c r="B16" s="64"/>
      <c r="C16" s="83" t="s">
        <v>130</v>
      </c>
      <c r="D16" s="84" t="s">
        <v>344</v>
      </c>
      <c r="E16" s="84" t="s">
        <v>113</v>
      </c>
      <c r="G16" s="246" t="str">
        <f>CONCATENATE("",E15," Ad Valorem Tax")</f>
        <v>2012 Ad Valorem Tax</v>
      </c>
      <c r="H16" s="704">
        <v>0</v>
      </c>
    </row>
    <row r="17" spans="1:7">
      <c r="A17" s="64"/>
      <c r="B17" s="85" t="s">
        <v>131</v>
      </c>
      <c r="C17" s="187" t="s">
        <v>287</v>
      </c>
      <c r="D17" s="87">
        <v>64118</v>
      </c>
      <c r="E17" s="87">
        <v>7596</v>
      </c>
      <c r="G17" s="189">
        <f>IF(H16&gt;0,ROUND(E17-(E17*H16),0),0)</f>
        <v>0</v>
      </c>
    </row>
    <row r="18" spans="1:7">
      <c r="A18" s="64"/>
      <c r="B18" s="85" t="s">
        <v>108</v>
      </c>
      <c r="C18" s="187" t="s">
        <v>312</v>
      </c>
      <c r="D18" s="87">
        <v>44616</v>
      </c>
      <c r="E18" s="87"/>
      <c r="G18" s="189">
        <f>IF(H16&gt;0,ROUND(E18-(E18*H16),0),0)</f>
        <v>0</v>
      </c>
    </row>
    <row r="19" spans="1:7">
      <c r="A19" s="64"/>
      <c r="B19" s="85" t="s">
        <v>842</v>
      </c>
      <c r="C19" s="187" t="s">
        <v>843</v>
      </c>
      <c r="D19" s="87">
        <v>0</v>
      </c>
      <c r="E19" s="87">
        <v>0</v>
      </c>
      <c r="G19" s="189">
        <f>IF(H16&gt;0,ROUND(E19-(E19*H16),0),0)</f>
        <v>0</v>
      </c>
    </row>
    <row r="20" spans="1:7">
      <c r="A20" s="69" t="s">
        <v>132</v>
      </c>
      <c r="B20" s="64"/>
      <c r="C20" s="64"/>
      <c r="D20" s="88"/>
      <c r="E20" s="88"/>
    </row>
    <row r="21" spans="1:7">
      <c r="A21" s="64"/>
      <c r="B21" s="89"/>
      <c r="C21" s="585"/>
      <c r="D21" s="87"/>
      <c r="E21" s="87"/>
      <c r="G21" s="189">
        <f>IF(H16&gt;0,ROUND(E21-(E21*H16),0),0)</f>
        <v>0</v>
      </c>
    </row>
    <row r="22" spans="1:7">
      <c r="A22" s="64"/>
      <c r="B22" s="90" t="s">
        <v>997</v>
      </c>
      <c r="C22" s="586"/>
      <c r="D22" s="87">
        <v>67647</v>
      </c>
      <c r="E22" s="87"/>
      <c r="G22" s="189">
        <f>IF(H16&gt;0,ROUND(E22-(E22*H16),0),0)</f>
        <v>0</v>
      </c>
    </row>
    <row r="23" spans="1:7">
      <c r="A23" s="64"/>
      <c r="B23" s="90"/>
      <c r="C23" s="585"/>
      <c r="D23" s="87"/>
      <c r="E23" s="87"/>
      <c r="G23" s="189">
        <f>IF(H16&gt;0,ROUND(E23-(E23*H16),0),0)</f>
        <v>0</v>
      </c>
    </row>
    <row r="24" spans="1:7">
      <c r="A24" s="64"/>
      <c r="B24" s="90"/>
      <c r="C24" s="585"/>
      <c r="D24" s="87"/>
      <c r="E24" s="87"/>
      <c r="G24" s="189">
        <f>IF(H16&gt;0,ROUND(E24-(E24*H16),0),0)</f>
        <v>0</v>
      </c>
    </row>
    <row r="25" spans="1:7">
      <c r="A25" s="91" t="str">
        <f>CONCATENATE("Total Ad Valorem Tax Levy Funds for ",C5-1," Budgeted Year")</f>
        <v>Total Ad Valorem Tax Levy Funds for 2013 Budgeted Year</v>
      </c>
      <c r="B25" s="92"/>
      <c r="C25" s="92"/>
      <c r="D25" s="93"/>
      <c r="E25" s="94">
        <f>SUM(E17:E24)</f>
        <v>7596</v>
      </c>
    </row>
    <row r="26" spans="1:7">
      <c r="A26" s="99"/>
      <c r="B26" s="96"/>
      <c r="C26" s="96"/>
      <c r="D26" s="208"/>
      <c r="E26" s="96"/>
    </row>
    <row r="27" spans="1:7">
      <c r="A27" s="69" t="s">
        <v>133</v>
      </c>
      <c r="B27" s="64"/>
      <c r="C27" s="64"/>
      <c r="D27" s="64"/>
      <c r="E27" s="64"/>
    </row>
    <row r="28" spans="1:7">
      <c r="A28" s="64"/>
      <c r="B28" s="95" t="s">
        <v>134</v>
      </c>
      <c r="C28" s="96"/>
      <c r="D28" s="87">
        <v>8919</v>
      </c>
      <c r="E28" s="96"/>
    </row>
    <row r="29" spans="1:7">
      <c r="A29" s="64"/>
      <c r="B29" s="412" t="s">
        <v>998</v>
      </c>
      <c r="C29" s="96"/>
      <c r="D29" s="87">
        <v>70928</v>
      </c>
      <c r="E29" s="96"/>
    </row>
    <row r="30" spans="1:7">
      <c r="A30" s="64"/>
      <c r="B30" s="412" t="s">
        <v>999</v>
      </c>
      <c r="C30" s="96"/>
      <c r="D30" s="87">
        <v>23630</v>
      </c>
      <c r="E30" s="96"/>
    </row>
    <row r="31" spans="1:7">
      <c r="A31" s="64"/>
      <c r="B31" s="412" t="s">
        <v>1000</v>
      </c>
      <c r="C31" s="96"/>
      <c r="D31" s="87">
        <v>12854</v>
      </c>
      <c r="E31" s="96"/>
    </row>
    <row r="32" spans="1:7">
      <c r="A32" s="64"/>
      <c r="B32" s="97" t="s">
        <v>1001</v>
      </c>
      <c r="C32" s="96"/>
      <c r="D32" s="87">
        <v>13245</v>
      </c>
      <c r="E32" s="96"/>
    </row>
    <row r="33" spans="1:5">
      <c r="A33" s="64"/>
      <c r="B33" s="97" t="s">
        <v>1002</v>
      </c>
      <c r="C33" s="96"/>
      <c r="D33" s="87"/>
      <c r="E33" s="96"/>
    </row>
    <row r="34" spans="1:5">
      <c r="A34" s="64" t="s">
        <v>104</v>
      </c>
      <c r="B34" s="98"/>
      <c r="C34" s="96"/>
      <c r="D34" s="96"/>
      <c r="E34" s="96"/>
    </row>
    <row r="35" spans="1:5">
      <c r="A35" s="99"/>
      <c r="B35" s="89"/>
      <c r="C35" s="100"/>
      <c r="D35" s="87"/>
      <c r="E35" s="101"/>
    </row>
    <row r="36" spans="1:5">
      <c r="A36" s="91" t="str">
        <f>CONCATENATE("Total Expenditures for ",C5-1," Budgeted Year")</f>
        <v>Total Expenditures for 2013 Budgeted Year</v>
      </c>
      <c r="B36" s="102"/>
      <c r="C36" s="103"/>
      <c r="D36" s="94">
        <f>SUM(D17:D19,D21:D24,D28:D33,D35)</f>
        <v>305957</v>
      </c>
      <c r="E36" s="101"/>
    </row>
    <row r="37" spans="1:5">
      <c r="A37" s="99" t="s">
        <v>35</v>
      </c>
      <c r="B37" s="96"/>
      <c r="C37" s="96"/>
      <c r="D37" s="96"/>
      <c r="E37" s="64"/>
    </row>
    <row r="38" spans="1:5">
      <c r="A38" s="104">
        <v>1</v>
      </c>
      <c r="B38" s="89"/>
      <c r="C38" s="96"/>
      <c r="D38" s="96"/>
      <c r="E38" s="64"/>
    </row>
    <row r="39" spans="1:5">
      <c r="A39" s="104">
        <v>2</v>
      </c>
      <c r="B39" s="89"/>
      <c r="C39" s="96"/>
      <c r="D39" s="96"/>
      <c r="E39" s="64"/>
    </row>
    <row r="40" spans="1:5">
      <c r="A40" s="104">
        <v>3</v>
      </c>
      <c r="B40" s="89"/>
      <c r="C40" s="96"/>
      <c r="D40" s="96"/>
      <c r="E40" s="64"/>
    </row>
    <row r="41" spans="1:5">
      <c r="A41" s="104">
        <v>4</v>
      </c>
      <c r="B41" s="89"/>
      <c r="C41" s="96"/>
      <c r="D41" s="96"/>
      <c r="E41" s="64"/>
    </row>
    <row r="42" spans="1:5">
      <c r="A42" s="104">
        <v>5</v>
      </c>
      <c r="B42" s="89"/>
      <c r="C42" s="96"/>
      <c r="D42" s="96"/>
      <c r="E42" s="64"/>
    </row>
    <row r="43" spans="1:5">
      <c r="A43" s="105"/>
      <c r="B43" s="96"/>
      <c r="C43" s="96"/>
      <c r="D43" s="96"/>
      <c r="E43" s="64"/>
    </row>
    <row r="44" spans="1:5" ht="18" customHeight="1">
      <c r="A44" s="64"/>
      <c r="B44" s="64"/>
      <c r="C44" s="64"/>
      <c r="D44" s="64"/>
      <c r="E44" s="64"/>
    </row>
    <row r="45" spans="1:5">
      <c r="A45" s="76" t="s">
        <v>23</v>
      </c>
      <c r="B45" s="77"/>
      <c r="C45" s="64"/>
      <c r="D45" s="106" t="str">
        <f>CONCATENATE("",C5-3," Tax Rate")</f>
        <v>2011 Tax Rate</v>
      </c>
      <c r="E45" s="64"/>
    </row>
    <row r="46" spans="1:5">
      <c r="A46" s="78" t="str">
        <f>CONCATENATE("the ",C5-1," Budget, Budget Summary Page")</f>
        <v>the 2013 Budget, Budget Summary Page</v>
      </c>
      <c r="B46" s="79"/>
      <c r="C46" s="64"/>
      <c r="D46" s="107" t="str">
        <f>CONCATENATE("(",C5-2," Column)")</f>
        <v>(2012 Column)</v>
      </c>
      <c r="E46" s="64"/>
    </row>
    <row r="47" spans="1:5">
      <c r="A47" s="64"/>
      <c r="B47" s="108" t="str">
        <f>B17</f>
        <v>General</v>
      </c>
      <c r="C47" s="109"/>
      <c r="D47" s="110">
        <v>13.967000000000001</v>
      </c>
      <c r="E47" s="64"/>
    </row>
    <row r="48" spans="1:5">
      <c r="A48" s="64"/>
      <c r="B48" s="108" t="str">
        <f>B18</f>
        <v>Debt Service</v>
      </c>
      <c r="C48" s="109"/>
      <c r="D48" s="110"/>
      <c r="E48" s="64"/>
    </row>
    <row r="49" spans="1:5">
      <c r="A49" s="64"/>
      <c r="B49" s="108" t="str">
        <f>B19</f>
        <v>Library</v>
      </c>
      <c r="C49" s="109"/>
      <c r="D49" s="110"/>
      <c r="E49" s="64"/>
    </row>
    <row r="50" spans="1:5">
      <c r="A50" s="64"/>
      <c r="B50" s="108">
        <f>B21</f>
        <v>0</v>
      </c>
      <c r="C50" s="86"/>
      <c r="D50" s="110"/>
      <c r="E50" s="64"/>
    </row>
    <row r="51" spans="1:5">
      <c r="A51" s="64"/>
      <c r="B51" s="108" t="str">
        <f>B22</f>
        <v>Water Bond and Interest</v>
      </c>
      <c r="C51" s="86"/>
      <c r="D51" s="110"/>
      <c r="E51" s="64"/>
    </row>
    <row r="52" spans="1:5">
      <c r="A52" s="64"/>
      <c r="B52" s="108">
        <f>B23</f>
        <v>0</v>
      </c>
      <c r="C52" s="86"/>
      <c r="D52" s="110"/>
      <c r="E52" s="64"/>
    </row>
    <row r="53" spans="1:5">
      <c r="A53" s="64"/>
      <c r="B53" s="108">
        <f>B24</f>
        <v>0</v>
      </c>
      <c r="C53" s="86"/>
      <c r="D53" s="110"/>
      <c r="E53" s="64"/>
    </row>
    <row r="54" spans="1:5">
      <c r="A54" s="91" t="s">
        <v>135</v>
      </c>
      <c r="B54" s="92"/>
      <c r="C54" s="103"/>
      <c r="D54" s="111">
        <f>SUM(D47:D53)</f>
        <v>13.967000000000001</v>
      </c>
      <c r="E54" s="64"/>
    </row>
    <row r="55" spans="1:5">
      <c r="A55" s="64"/>
      <c r="B55" s="64"/>
      <c r="C55" s="64"/>
      <c r="D55" s="64"/>
      <c r="E55" s="64"/>
    </row>
    <row r="56" spans="1:5">
      <c r="A56" s="112" t="str">
        <f>CONCATENATE("Total Tax Levied (",C5-2," budget column)")</f>
        <v>Total Tax Levied (2012 budget column)</v>
      </c>
      <c r="B56" s="113"/>
      <c r="C56" s="92"/>
      <c r="D56" s="103"/>
      <c r="E56" s="87">
        <v>7572</v>
      </c>
    </row>
    <row r="57" spans="1:5">
      <c r="A57" s="112" t="str">
        <f>CONCATENATE("Assessed Valuation  (",C5-2," budget column)")</f>
        <v>Assessed Valuation  (2012 budget column)</v>
      </c>
      <c r="B57" s="114"/>
      <c r="C57" s="115"/>
      <c r="D57" s="116"/>
      <c r="E57" s="87">
        <v>542150</v>
      </c>
    </row>
    <row r="58" spans="1:5">
      <c r="A58" s="64"/>
      <c r="B58" s="64"/>
      <c r="C58" s="64"/>
      <c r="D58" s="80"/>
      <c r="E58" s="88"/>
    </row>
    <row r="59" spans="1:5">
      <c r="A59" s="117" t="s">
        <v>45</v>
      </c>
      <c r="B59" s="117"/>
      <c r="C59" s="118"/>
      <c r="D59" s="119">
        <f>C5-3</f>
        <v>2011</v>
      </c>
      <c r="E59" s="120">
        <f>C5-2</f>
        <v>2012</v>
      </c>
    </row>
    <row r="60" spans="1:5">
      <c r="A60" s="121" t="s">
        <v>322</v>
      </c>
      <c r="B60" s="121"/>
      <c r="C60" s="122"/>
      <c r="D60" s="123">
        <v>285090</v>
      </c>
      <c r="E60" s="123">
        <v>279983</v>
      </c>
    </row>
    <row r="61" spans="1:5">
      <c r="A61" s="124" t="s">
        <v>323</v>
      </c>
      <c r="B61" s="124"/>
      <c r="C61" s="125"/>
      <c r="D61" s="123"/>
      <c r="E61" s="123"/>
    </row>
    <row r="62" spans="1:5">
      <c r="A62" s="124" t="s">
        <v>324</v>
      </c>
      <c r="B62" s="124"/>
      <c r="C62" s="125"/>
      <c r="D62" s="123"/>
      <c r="E62" s="123"/>
    </row>
    <row r="63" spans="1:5">
      <c r="A63" s="124" t="s">
        <v>325</v>
      </c>
      <c r="B63" s="124"/>
      <c r="C63" s="125"/>
      <c r="D63" s="123"/>
      <c r="E63" s="123"/>
    </row>
    <row r="70" spans="1:6" s="126" customFormat="1">
      <c r="A70" s="65"/>
      <c r="B70" s="65"/>
      <c r="C70" s="65"/>
      <c r="D70" s="65"/>
      <c r="E70" s="65"/>
      <c r="F70" s="643"/>
    </row>
  </sheetData>
  <sheetProtection sheet="1"/>
  <mergeCells count="2">
    <mergeCell ref="A10:E10"/>
    <mergeCell ref="G8:H13"/>
  </mergeCells>
  <phoneticPr fontId="0" type="noConversion"/>
  <pageMargins left="0.5" right="0.5" top="0.75" bottom="0.5" header="0.5" footer="0.5"/>
  <pageSetup scale="77"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8"/>
  <sheetViews>
    <sheetView topLeftCell="A4" workbookViewId="0">
      <selection activeCell="A43" sqref="A43"/>
    </sheetView>
  </sheetViews>
  <sheetFormatPr defaultRowHeight="15.75"/>
  <cols>
    <col min="1" max="1" width="2.44140625" style="65" customWidth="1"/>
    <col min="2" max="2" width="31.109375" style="65" customWidth="1"/>
    <col min="3" max="4" width="15.77734375" style="65" customWidth="1"/>
    <col min="5" max="5" width="16.33203125" style="65" customWidth="1"/>
    <col min="6" max="16384" width="8.88671875" style="65"/>
  </cols>
  <sheetData>
    <row r="1" spans="2:5">
      <c r="B1" s="201" t="str">
        <f>(inputPrYr!D2)</f>
        <v>City of Circleville</v>
      </c>
      <c r="C1" s="64"/>
      <c r="D1" s="64"/>
      <c r="E1" s="161">
        <f>inputPrYr!$C$5</f>
        <v>2014</v>
      </c>
    </row>
    <row r="2" spans="2:5">
      <c r="B2" s="64"/>
      <c r="C2" s="64"/>
      <c r="D2" s="64"/>
      <c r="E2" s="218"/>
    </row>
    <row r="3" spans="2:5">
      <c r="B3" s="81" t="s">
        <v>224</v>
      </c>
      <c r="C3" s="331"/>
      <c r="D3" s="331"/>
      <c r="E3" s="332"/>
    </row>
    <row r="4" spans="2:5">
      <c r="B4" s="69" t="s">
        <v>165</v>
      </c>
      <c r="C4" s="717" t="s">
        <v>836</v>
      </c>
      <c r="D4" s="718" t="s">
        <v>837</v>
      </c>
      <c r="E4" s="174" t="s">
        <v>838</v>
      </c>
    </row>
    <row r="5" spans="2:5">
      <c r="B5" s="454" t="str">
        <f>(inputPrYr!B32)</f>
        <v>Solid Waste</v>
      </c>
      <c r="C5" s="333" t="str">
        <f>CONCATENATE("Actual for ",$E$1-2,"")</f>
        <v>Actual for 2012</v>
      </c>
      <c r="D5" s="415" t="str">
        <f>CONCATENATE("Estimate for ",$E$1-1,"")</f>
        <v>Estimate for 2013</v>
      </c>
      <c r="E5" s="229" t="str">
        <f>CONCATENATE("Year for ",$E$1,"")</f>
        <v>Year for 2014</v>
      </c>
    </row>
    <row r="6" spans="2:5">
      <c r="B6" s="178" t="s">
        <v>282</v>
      </c>
      <c r="C6" s="87">
        <v>2624</v>
      </c>
      <c r="D6" s="189">
        <f>C31</f>
        <v>2354</v>
      </c>
      <c r="E6" s="189">
        <f>D31</f>
        <v>1429</v>
      </c>
    </row>
    <row r="7" spans="2:5">
      <c r="B7" s="278" t="s">
        <v>284</v>
      </c>
      <c r="C7" s="108"/>
      <c r="D7" s="108"/>
      <c r="E7" s="108"/>
    </row>
    <row r="8" spans="2:5">
      <c r="B8" s="292"/>
      <c r="C8" s="335"/>
      <c r="D8" s="335"/>
      <c r="E8" s="335"/>
    </row>
    <row r="9" spans="2:5">
      <c r="B9" s="292" t="s">
        <v>181</v>
      </c>
      <c r="C9" s="335">
        <v>10759</v>
      </c>
      <c r="D9" s="335">
        <v>11200</v>
      </c>
      <c r="E9" s="335">
        <v>15000</v>
      </c>
    </row>
    <row r="10" spans="2:5">
      <c r="B10" s="336" t="s">
        <v>1033</v>
      </c>
      <c r="C10" s="131">
        <v>79</v>
      </c>
      <c r="D10" s="131"/>
      <c r="E10" s="131"/>
    </row>
    <row r="11" spans="2:5">
      <c r="B11" s="292"/>
      <c r="C11" s="335"/>
      <c r="D11" s="335"/>
      <c r="E11" s="335"/>
    </row>
    <row r="12" spans="2:5">
      <c r="B12" s="337" t="s">
        <v>171</v>
      </c>
      <c r="C12" s="335"/>
      <c r="D12" s="335"/>
      <c r="E12" s="335"/>
    </row>
    <row r="13" spans="2:5">
      <c r="B13" s="341" t="s">
        <v>260</v>
      </c>
      <c r="C13" s="335"/>
      <c r="D13" s="335"/>
      <c r="E13" s="335"/>
    </row>
    <row r="14" spans="2:5">
      <c r="B14" s="341" t="s">
        <v>653</v>
      </c>
      <c r="C14" s="455" t="str">
        <f>IF(C15*0.1&lt;C13,"Exceed 10% Rule","")</f>
        <v/>
      </c>
      <c r="D14" s="338" t="str">
        <f>IF(D15*0.1&lt;D13,"Exceed 10% Rule","")</f>
        <v/>
      </c>
      <c r="E14" s="338" t="str">
        <f>IF(E15*0.1&lt;E13,"Exceed 10% Rule","")</f>
        <v/>
      </c>
    </row>
    <row r="15" spans="2:5">
      <c r="B15" s="289" t="s">
        <v>172</v>
      </c>
      <c r="C15" s="340">
        <f>SUM(C8:C13)</f>
        <v>10838</v>
      </c>
      <c r="D15" s="340">
        <f>SUM(D8:D13)</f>
        <v>11200</v>
      </c>
      <c r="E15" s="340">
        <f>SUM(E8:E13)</f>
        <v>15000</v>
      </c>
    </row>
    <row r="16" spans="2:5">
      <c r="B16" s="289" t="s">
        <v>173</v>
      </c>
      <c r="C16" s="340">
        <f>C6+C15</f>
        <v>13462</v>
      </c>
      <c r="D16" s="340">
        <f>D6+D15</f>
        <v>13554</v>
      </c>
      <c r="E16" s="340">
        <f>E6+E15</f>
        <v>16429</v>
      </c>
    </row>
    <row r="17" spans="2:5">
      <c r="B17" s="178" t="s">
        <v>174</v>
      </c>
      <c r="C17" s="108"/>
      <c r="D17" s="108"/>
      <c r="E17" s="108"/>
    </row>
    <row r="18" spans="2:5">
      <c r="B18" s="292"/>
      <c r="C18" s="335"/>
      <c r="D18" s="335"/>
      <c r="E18" s="335"/>
    </row>
    <row r="19" spans="2:5">
      <c r="B19" s="292" t="s">
        <v>215</v>
      </c>
      <c r="C19" s="335">
        <v>10433</v>
      </c>
      <c r="D19" s="335">
        <v>11200</v>
      </c>
      <c r="E19" s="335">
        <v>14000</v>
      </c>
    </row>
    <row r="20" spans="2:5">
      <c r="B20" s="292" t="s">
        <v>1011</v>
      </c>
      <c r="C20" s="131">
        <v>414</v>
      </c>
      <c r="D20" s="131">
        <v>500</v>
      </c>
      <c r="E20" s="131">
        <v>500</v>
      </c>
    </row>
    <row r="21" spans="2:5">
      <c r="B21" s="292" t="s">
        <v>1013</v>
      </c>
      <c r="C21" s="335">
        <v>148</v>
      </c>
      <c r="D21" s="335">
        <v>250</v>
      </c>
      <c r="E21" s="335">
        <v>500</v>
      </c>
    </row>
    <row r="22" spans="2:5">
      <c r="B22" s="292" t="s">
        <v>1031</v>
      </c>
      <c r="C22" s="335"/>
      <c r="D22" s="335">
        <v>75</v>
      </c>
      <c r="E22" s="335">
        <v>150</v>
      </c>
    </row>
    <row r="23" spans="2:5">
      <c r="B23" s="292" t="s">
        <v>1015</v>
      </c>
      <c r="C23" s="335">
        <v>38</v>
      </c>
      <c r="D23" s="335">
        <v>100</v>
      </c>
      <c r="E23" s="335">
        <v>1200</v>
      </c>
    </row>
    <row r="24" spans="2:5">
      <c r="B24" s="292" t="s">
        <v>1032</v>
      </c>
      <c r="C24" s="335">
        <v>75</v>
      </c>
      <c r="D24" s="335"/>
      <c r="E24" s="335"/>
    </row>
    <row r="25" spans="2:5">
      <c r="B25" s="292"/>
      <c r="C25" s="335"/>
      <c r="D25" s="335"/>
      <c r="E25" s="335"/>
    </row>
    <row r="26" spans="2:5">
      <c r="B26" s="292"/>
      <c r="C26" s="335"/>
      <c r="D26" s="335"/>
      <c r="E26" s="335"/>
    </row>
    <row r="27" spans="2:5">
      <c r="B27" s="292"/>
      <c r="C27" s="335"/>
      <c r="D27" s="335"/>
      <c r="E27" s="335"/>
    </row>
    <row r="28" spans="2:5">
      <c r="B28" s="191" t="s">
        <v>260</v>
      </c>
      <c r="C28" s="335"/>
      <c r="D28" s="335"/>
      <c r="E28" s="335"/>
    </row>
    <row r="29" spans="2:5">
      <c r="B29" s="191" t="s">
        <v>652</v>
      </c>
      <c r="C29" s="455" t="str">
        <f>IF(C30*0.1&lt;C28,"Exceed 10% Rule","")</f>
        <v/>
      </c>
      <c r="D29" s="338" t="str">
        <f>IF(D30*0.1&lt;D28,"Exceed 10% Rule","")</f>
        <v/>
      </c>
      <c r="E29" s="338" t="str">
        <f>IF(E30*0.1&lt;E28,"Exceed 10% Rule","")</f>
        <v/>
      </c>
    </row>
    <row r="30" spans="2:5">
      <c r="B30" s="289" t="s">
        <v>175</v>
      </c>
      <c r="C30" s="340">
        <f>SUM(C18:C28)</f>
        <v>11108</v>
      </c>
      <c r="D30" s="340">
        <f>SUM(D18:D28)</f>
        <v>12125</v>
      </c>
      <c r="E30" s="340">
        <f>SUM(E18:E28)</f>
        <v>16350</v>
      </c>
    </row>
    <row r="31" spans="2:5">
      <c r="B31" s="178" t="s">
        <v>283</v>
      </c>
      <c r="C31" s="94">
        <f>C16-C30</f>
        <v>2354</v>
      </c>
      <c r="D31" s="94">
        <f>D16-D30</f>
        <v>1429</v>
      </c>
      <c r="E31" s="94">
        <f>E16-E30</f>
        <v>79</v>
      </c>
    </row>
    <row r="32" spans="2:5">
      <c r="B32" s="210" t="str">
        <f>CONCATENATE("",E1-2,"/",E1-1," Budget Authority Amount:")</f>
        <v>2012/2013 Budget Authority Amount:</v>
      </c>
      <c r="C32" s="221">
        <f>inputOth!B66</f>
        <v>13245</v>
      </c>
      <c r="D32" s="221">
        <f>inputPrYr!D32</f>
        <v>13245</v>
      </c>
      <c r="E32" s="462" t="str">
        <f>IF(E31&lt;0,"See Tab E","")</f>
        <v/>
      </c>
    </row>
    <row r="33" spans="2:5">
      <c r="B33" s="210"/>
      <c r="C33" s="295" t="str">
        <f>IF(C30&gt;C32,"See Tab A","")</f>
        <v/>
      </c>
      <c r="D33" s="295" t="str">
        <f>IF(D30&gt;D32,"See Tab C","")</f>
        <v/>
      </c>
      <c r="E33" s="208"/>
    </row>
    <row r="34" spans="2:5">
      <c r="B34" s="210"/>
      <c r="C34" s="295" t="str">
        <f>IF(C31&lt;0,"See Tab B","")</f>
        <v/>
      </c>
      <c r="D34" s="295" t="str">
        <f>IF(D31&lt;0,"See Tab D","")</f>
        <v/>
      </c>
      <c r="E34" s="208"/>
    </row>
    <row r="35" spans="2:5">
      <c r="B35" s="64"/>
      <c r="C35" s="208"/>
      <c r="D35" s="208"/>
      <c r="E35" s="208"/>
    </row>
    <row r="36" spans="2:5">
      <c r="B36" s="64"/>
      <c r="C36" s="208"/>
      <c r="D36" s="208"/>
      <c r="E36" s="208"/>
    </row>
    <row r="37" spans="2:5">
      <c r="B37" s="69" t="s">
        <v>165</v>
      </c>
      <c r="C37" s="717" t="s">
        <v>836</v>
      </c>
      <c r="D37" s="718" t="s">
        <v>837</v>
      </c>
      <c r="E37" s="174" t="s">
        <v>838</v>
      </c>
    </row>
    <row r="38" spans="2:5">
      <c r="B38" s="453" t="str">
        <f>(inputPrYr!B33)</f>
        <v>Capital Improvements</v>
      </c>
      <c r="C38" s="333" t="str">
        <f>CONCATENATE("Actual for ",$E$1-2,"")</f>
        <v>Actual for 2012</v>
      </c>
      <c r="D38" s="415" t="str">
        <f>CONCATENATE("Estimate for ",$E$1-1,"")</f>
        <v>Estimate for 2013</v>
      </c>
      <c r="E38" s="229" t="str">
        <f>CONCATENATE("Year for ",$E$1,"")</f>
        <v>Year for 2014</v>
      </c>
    </row>
    <row r="39" spans="2:5">
      <c r="B39" s="178" t="s">
        <v>282</v>
      </c>
      <c r="C39" s="87">
        <v>18910</v>
      </c>
      <c r="D39" s="189">
        <f>C63</f>
        <v>18963</v>
      </c>
      <c r="E39" s="189">
        <f>D63</f>
        <v>23013</v>
      </c>
    </row>
    <row r="40" spans="2:5">
      <c r="B40" s="178" t="s">
        <v>284</v>
      </c>
      <c r="C40" s="108"/>
      <c r="D40" s="108"/>
      <c r="E40" s="108"/>
    </row>
    <row r="41" spans="2:5">
      <c r="B41" s="292"/>
      <c r="C41" s="335"/>
      <c r="D41" s="335"/>
      <c r="E41" s="335"/>
    </row>
    <row r="42" spans="2:5">
      <c r="B42" s="292" t="s">
        <v>1057</v>
      </c>
      <c r="C42" s="335"/>
      <c r="D42" s="335">
        <v>4000</v>
      </c>
      <c r="E42" s="335">
        <v>5000</v>
      </c>
    </row>
    <row r="43" spans="2:5">
      <c r="B43" s="336"/>
      <c r="C43" s="131"/>
      <c r="D43" s="131"/>
      <c r="E43" s="131"/>
    </row>
    <row r="44" spans="2:5">
      <c r="B44" s="292"/>
      <c r="C44" s="335"/>
      <c r="D44" s="335"/>
      <c r="E44" s="335"/>
    </row>
    <row r="45" spans="2:5">
      <c r="B45" s="337" t="s">
        <v>171</v>
      </c>
      <c r="C45" s="335">
        <v>53</v>
      </c>
      <c r="D45" s="335">
        <v>50</v>
      </c>
      <c r="E45" s="335">
        <v>50</v>
      </c>
    </row>
    <row r="46" spans="2:5">
      <c r="B46" s="341" t="s">
        <v>260</v>
      </c>
      <c r="C46" s="335"/>
      <c r="D46" s="335"/>
      <c r="E46" s="335"/>
    </row>
    <row r="47" spans="2:5">
      <c r="B47" s="341" t="s">
        <v>653</v>
      </c>
      <c r="C47" s="455" t="str">
        <f>IF(C48*0.1&lt;C46,"Exceed 10% Rule","")</f>
        <v/>
      </c>
      <c r="D47" s="338" t="str">
        <f>IF(D48*0.1&lt;D46,"Exceed 10% Rule","")</f>
        <v/>
      </c>
      <c r="E47" s="338" t="str">
        <f>IF(E48*0.1&lt;E46,"Exceed 10% Rule","")</f>
        <v/>
      </c>
    </row>
    <row r="48" spans="2:5">
      <c r="B48" s="289" t="s">
        <v>172</v>
      </c>
      <c r="C48" s="340">
        <f>SUM(C41:C46)</f>
        <v>53</v>
      </c>
      <c r="D48" s="340">
        <f>SUM(D41:D46)</f>
        <v>4050</v>
      </c>
      <c r="E48" s="340">
        <f>SUM(E41:E46)</f>
        <v>5050</v>
      </c>
    </row>
    <row r="49" spans="2:5">
      <c r="B49" s="289" t="s">
        <v>173</v>
      </c>
      <c r="C49" s="340">
        <f>C39+C48</f>
        <v>18963</v>
      </c>
      <c r="D49" s="340">
        <f>D39+D48</f>
        <v>23013</v>
      </c>
      <c r="E49" s="340">
        <f>E39+E48</f>
        <v>28063</v>
      </c>
    </row>
    <row r="50" spans="2:5">
      <c r="B50" s="178" t="s">
        <v>174</v>
      </c>
      <c r="C50" s="108"/>
      <c r="D50" s="108"/>
      <c r="E50" s="108"/>
    </row>
    <row r="51" spans="2:5">
      <c r="B51" s="292"/>
      <c r="C51" s="335"/>
      <c r="D51" s="335"/>
      <c r="E51" s="335"/>
    </row>
    <row r="52" spans="2:5">
      <c r="B52" s="292"/>
      <c r="C52" s="335"/>
      <c r="D52" s="335"/>
      <c r="E52" s="335"/>
    </row>
    <row r="53" spans="2:5">
      <c r="B53" s="292"/>
      <c r="C53" s="335"/>
      <c r="D53" s="335"/>
      <c r="E53" s="335"/>
    </row>
    <row r="54" spans="2:5">
      <c r="B54" s="292"/>
      <c r="C54" s="335"/>
      <c r="D54" s="335"/>
      <c r="E54" s="335"/>
    </row>
    <row r="55" spans="2:5">
      <c r="B55" s="292"/>
      <c r="C55" s="335"/>
      <c r="D55" s="335"/>
      <c r="E55" s="335"/>
    </row>
    <row r="56" spans="2:5">
      <c r="B56" s="292"/>
      <c r="C56" s="335"/>
      <c r="D56" s="335"/>
      <c r="E56" s="335"/>
    </row>
    <row r="57" spans="2:5">
      <c r="B57" s="292"/>
      <c r="C57" s="131"/>
      <c r="D57" s="131"/>
      <c r="E57" s="131"/>
    </row>
    <row r="58" spans="2:5">
      <c r="B58" s="292"/>
      <c r="C58" s="335"/>
      <c r="D58" s="131"/>
      <c r="E58" s="131"/>
    </row>
    <row r="59" spans="2:5">
      <c r="B59" s="292"/>
      <c r="C59" s="335"/>
      <c r="D59" s="131"/>
      <c r="E59" s="131"/>
    </row>
    <row r="60" spans="2:5">
      <c r="B60" s="191" t="s">
        <v>260</v>
      </c>
      <c r="C60" s="335"/>
      <c r="D60" s="131"/>
      <c r="E60" s="131"/>
    </row>
    <row r="61" spans="2:5">
      <c r="B61" s="191" t="s">
        <v>652</v>
      </c>
      <c r="C61" s="455" t="str">
        <f>IF(C62*0.1&lt;C60,"Exceed 10% Rule","")</f>
        <v/>
      </c>
      <c r="D61" s="338" t="str">
        <f>IF(D62*0.1&lt;D60,"Exceed 10% Rule","")</f>
        <v/>
      </c>
      <c r="E61" s="338" t="str">
        <f>IF(E62*0.1&lt;E60,"Exceed 10% Rule","")</f>
        <v/>
      </c>
    </row>
    <row r="62" spans="2:5">
      <c r="B62" s="289" t="s">
        <v>175</v>
      </c>
      <c r="C62" s="340">
        <f>SUM(C51:C60)</f>
        <v>0</v>
      </c>
      <c r="D62" s="340">
        <f>SUM(D51:D60)</f>
        <v>0</v>
      </c>
      <c r="E62" s="340">
        <f>SUM(E51:E60)</f>
        <v>0</v>
      </c>
    </row>
    <row r="63" spans="2:5">
      <c r="B63" s="178" t="s">
        <v>283</v>
      </c>
      <c r="C63" s="94">
        <f>C49-C62</f>
        <v>18963</v>
      </c>
      <c r="D63" s="94">
        <f>D49-D62</f>
        <v>23013</v>
      </c>
      <c r="E63" s="94">
        <f>E49-E62</f>
        <v>28063</v>
      </c>
    </row>
    <row r="64" spans="2:5">
      <c r="B64" s="210" t="str">
        <f>CONCATENATE("",E1-2,"/",E1-1," Budget Authority Amount:")</f>
        <v>2012/2013 Budget Authority Amount:</v>
      </c>
      <c r="C64" s="221">
        <f>inputOth!B67</f>
        <v>0</v>
      </c>
      <c r="D64" s="221">
        <f>inputPrYr!D33</f>
        <v>0</v>
      </c>
      <c r="E64" s="462" t="str">
        <f>IF(E63&lt;0,"See Tab E","")</f>
        <v/>
      </c>
    </row>
    <row r="65" spans="2:5">
      <c r="B65" s="210"/>
      <c r="C65" s="295" t="str">
        <f>IF(C62&gt;C64,"See Tab A","")</f>
        <v/>
      </c>
      <c r="D65" s="295" t="str">
        <f>IF(D62&gt;D64,"See Tab C","")</f>
        <v/>
      </c>
      <c r="E65" s="64"/>
    </row>
    <row r="66" spans="2:5">
      <c r="B66" s="210"/>
      <c r="C66" s="295" t="str">
        <f>IF(C63&lt;0,"See Tab B","")</f>
        <v/>
      </c>
      <c r="D66" s="295" t="str">
        <f>IF(D63&lt;0,"See Tab D","")</f>
        <v/>
      </c>
      <c r="E66" s="64"/>
    </row>
    <row r="67" spans="2:5">
      <c r="B67" s="64"/>
      <c r="C67" s="64"/>
      <c r="D67" s="64"/>
      <c r="E67" s="64"/>
    </row>
    <row r="68" spans="2:5">
      <c r="B68" s="218" t="s">
        <v>178</v>
      </c>
      <c r="C68" s="297">
        <v>12</v>
      </c>
      <c r="D68" s="64"/>
      <c r="E68" s="64"/>
    </row>
  </sheetData>
  <sheetProtection sheet="1"/>
  <phoneticPr fontId="0" type="noConversion"/>
  <conditionalFormatting sqref="C46">
    <cfRule type="cellIs" dxfId="29" priority="3" stopIfTrue="1" operator="greaterThan">
      <formula>$C$48*0.1</formula>
    </cfRule>
  </conditionalFormatting>
  <conditionalFormatting sqref="D46">
    <cfRule type="cellIs" dxfId="28" priority="4" stopIfTrue="1" operator="greaterThan">
      <formula>$D$48*0.1</formula>
    </cfRule>
  </conditionalFormatting>
  <conditionalFormatting sqref="E46">
    <cfRule type="cellIs" dxfId="27" priority="5" stopIfTrue="1" operator="greaterThan">
      <formula>$E$48*0.1</formula>
    </cfRule>
  </conditionalFormatting>
  <conditionalFormatting sqref="C13">
    <cfRule type="cellIs" dxfId="26" priority="6" stopIfTrue="1" operator="greaterThan">
      <formula>$C$15*0.1</formula>
    </cfRule>
  </conditionalFormatting>
  <conditionalFormatting sqref="D13">
    <cfRule type="cellIs" dxfId="25" priority="7" stopIfTrue="1" operator="greaterThan">
      <formula>$D$15*0.1</formula>
    </cfRule>
  </conditionalFormatting>
  <conditionalFormatting sqref="E13">
    <cfRule type="cellIs" dxfId="24" priority="8" stopIfTrue="1" operator="greaterThan">
      <formula>$E$15*0.1</formula>
    </cfRule>
  </conditionalFormatting>
  <conditionalFormatting sqref="C28">
    <cfRule type="cellIs" dxfId="23" priority="9" stopIfTrue="1" operator="greaterThan">
      <formula>$C$30*0.1</formula>
    </cfRule>
  </conditionalFormatting>
  <conditionalFormatting sqref="D28">
    <cfRule type="cellIs" dxfId="22" priority="10" stopIfTrue="1" operator="greaterThan">
      <formula>$D$30*0.1</formula>
    </cfRule>
  </conditionalFormatting>
  <conditionalFormatting sqref="E28">
    <cfRule type="cellIs" dxfId="21" priority="11" stopIfTrue="1" operator="greaterThan">
      <formula>$E$30*0.1</formula>
    </cfRule>
  </conditionalFormatting>
  <conditionalFormatting sqref="C60">
    <cfRule type="cellIs" dxfId="20" priority="12" stopIfTrue="1" operator="greaterThan">
      <formula>$C$62*0.1</formula>
    </cfRule>
  </conditionalFormatting>
  <conditionalFormatting sqref="D60">
    <cfRule type="cellIs" dxfId="19" priority="13" stopIfTrue="1" operator="greaterThan">
      <formula>$D$62*0.1</formula>
    </cfRule>
  </conditionalFormatting>
  <conditionalFormatting sqref="E60">
    <cfRule type="cellIs" dxfId="18" priority="14" stopIfTrue="1" operator="greaterThan">
      <formula>$E$62*0.1</formula>
    </cfRule>
  </conditionalFormatting>
  <conditionalFormatting sqref="C31 E31 E63">
    <cfRule type="cellIs" dxfId="17" priority="15" stopIfTrue="1" operator="lessThan">
      <formula>0</formula>
    </cfRule>
  </conditionalFormatting>
  <conditionalFormatting sqref="D30">
    <cfRule type="cellIs" dxfId="16" priority="16" stopIfTrue="1" operator="greaterThan">
      <formula>$D$32</formula>
    </cfRule>
  </conditionalFormatting>
  <conditionalFormatting sqref="C30">
    <cfRule type="cellIs" dxfId="15" priority="17" stopIfTrue="1" operator="greaterThan">
      <formula>$C$32</formula>
    </cfRule>
  </conditionalFormatting>
  <conditionalFormatting sqref="C63">
    <cfRule type="cellIs" dxfId="14" priority="18" stopIfTrue="1" operator="lessThan">
      <formula>0</formula>
    </cfRule>
  </conditionalFormatting>
  <conditionalFormatting sqref="C62">
    <cfRule type="cellIs" dxfId="13" priority="19" stopIfTrue="1" operator="greaterThan">
      <formula>$C$64</formula>
    </cfRule>
  </conditionalFormatting>
  <conditionalFormatting sqref="D62">
    <cfRule type="cellIs" dxfId="12" priority="20" stopIfTrue="1" operator="greaterThan">
      <formula>$D$64</formula>
    </cfRule>
  </conditionalFormatting>
  <conditionalFormatting sqref="D31">
    <cfRule type="cellIs" dxfId="11" priority="2" stopIfTrue="1" operator="lessThan">
      <formula>0</formula>
    </cfRule>
  </conditionalFormatting>
  <conditionalFormatting sqref="D63">
    <cfRule type="cellIs" dxfId="10" priority="1" stopIfTrue="1" operator="lessThan">
      <formula>0</formula>
    </cfRule>
  </conditionalFormatting>
  <pageMargins left="0.5" right="0.5" top="1" bottom="0.5" header="0.5" footer="0.5"/>
  <pageSetup scale="64" orientation="portrait" blackAndWhite="1"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7"/>
  <sheetViews>
    <sheetView workbookViewId="0">
      <selection activeCell="F3" sqref="F3"/>
    </sheetView>
  </sheetViews>
  <sheetFormatPr defaultRowHeight="15"/>
  <cols>
    <col min="1" max="1" width="2.44140625" style="126" customWidth="1"/>
    <col min="2" max="2" width="31.109375" style="126" customWidth="1"/>
    <col min="3" max="4" width="15.77734375" style="126" customWidth="1"/>
    <col min="5" max="5" width="16.109375" style="126" customWidth="1"/>
    <col min="6" max="16384" width="8.88671875" style="126"/>
  </cols>
  <sheetData>
    <row r="1" spans="2:5" ht="15.75">
      <c r="B1" s="201" t="str">
        <f>(inputPrYr!D2)</f>
        <v>City of Circleville</v>
      </c>
      <c r="C1" s="64"/>
      <c r="D1" s="64"/>
      <c r="E1" s="161">
        <f>inputPrYr!$C$5</f>
        <v>2014</v>
      </c>
    </row>
    <row r="2" spans="2:5" ht="15.75">
      <c r="B2" s="64"/>
      <c r="C2" s="64"/>
      <c r="D2" s="64"/>
      <c r="E2" s="218"/>
    </row>
    <row r="3" spans="2:5" ht="15.75">
      <c r="B3" s="81" t="s">
        <v>224</v>
      </c>
      <c r="C3" s="331"/>
      <c r="D3" s="331"/>
      <c r="E3" s="332"/>
    </row>
    <row r="4" spans="2:5" ht="15.75">
      <c r="B4" s="69" t="s">
        <v>165</v>
      </c>
      <c r="C4" s="717" t="s">
        <v>836</v>
      </c>
      <c r="D4" s="718" t="s">
        <v>837</v>
      </c>
      <c r="E4" s="174" t="s">
        <v>838</v>
      </c>
    </row>
    <row r="5" spans="2:5" ht="15.75">
      <c r="B5" s="454">
        <f>(inputPrYr!B35)</f>
        <v>0</v>
      </c>
      <c r="C5" s="333" t="str">
        <f>CONCATENATE("Actual for ",$E$1-2,"")</f>
        <v>Actual for 2012</v>
      </c>
      <c r="D5" s="415" t="str">
        <f>CONCATENATE("Estimate for ",$E$1-1,"")</f>
        <v>Estimate for 2013</v>
      </c>
      <c r="E5" s="229" t="str">
        <f>CONCATENATE("Year for ",$E$1,"")</f>
        <v>Year for 2014</v>
      </c>
    </row>
    <row r="6" spans="2:5" ht="15.75">
      <c r="B6" s="178" t="s">
        <v>282</v>
      </c>
      <c r="C6" s="87">
        <v>0</v>
      </c>
      <c r="D6" s="189">
        <f>C52</f>
        <v>0</v>
      </c>
      <c r="E6" s="189">
        <f>D52</f>
        <v>0</v>
      </c>
    </row>
    <row r="7" spans="2:5" ht="15.75">
      <c r="B7" s="278" t="s">
        <v>284</v>
      </c>
      <c r="C7" s="108"/>
      <c r="D7" s="108"/>
      <c r="E7" s="108"/>
    </row>
    <row r="8" spans="2:5" ht="15.75">
      <c r="B8" s="292"/>
      <c r="C8" s="335"/>
      <c r="D8" s="335"/>
      <c r="E8" s="335"/>
    </row>
    <row r="9" spans="2:5" ht="15.75">
      <c r="B9" s="292"/>
      <c r="C9" s="335"/>
      <c r="D9" s="335"/>
      <c r="E9" s="335"/>
    </row>
    <row r="10" spans="2:5" ht="15.75">
      <c r="B10" s="292"/>
      <c r="C10" s="335"/>
      <c r="D10" s="335"/>
      <c r="E10" s="335"/>
    </row>
    <row r="11" spans="2:5" ht="15.75">
      <c r="B11" s="292"/>
      <c r="C11" s="335"/>
      <c r="D11" s="335"/>
      <c r="E11" s="335"/>
    </row>
    <row r="12" spans="2:5" ht="15.75">
      <c r="B12" s="292"/>
      <c r="C12" s="335"/>
      <c r="D12" s="335"/>
      <c r="E12" s="335"/>
    </row>
    <row r="13" spans="2:5" ht="15.75">
      <c r="B13" s="292"/>
      <c r="C13" s="335"/>
      <c r="D13" s="335"/>
      <c r="E13" s="335"/>
    </row>
    <row r="14" spans="2:5" ht="15.75">
      <c r="B14" s="336"/>
      <c r="C14" s="131"/>
      <c r="D14" s="131"/>
      <c r="E14" s="131"/>
    </row>
    <row r="15" spans="2:5" ht="15.75">
      <c r="B15" s="292"/>
      <c r="C15" s="335"/>
      <c r="D15" s="335"/>
      <c r="E15" s="335"/>
    </row>
    <row r="16" spans="2:5" ht="15.75">
      <c r="B16" s="292"/>
      <c r="C16" s="335"/>
      <c r="D16" s="335"/>
      <c r="E16" s="335"/>
    </row>
    <row r="17" spans="2:5" ht="15.75">
      <c r="B17" s="292"/>
      <c r="C17" s="335"/>
      <c r="D17" s="335"/>
      <c r="E17" s="335"/>
    </row>
    <row r="18" spans="2:5" ht="15.75">
      <c r="B18" s="337" t="s">
        <v>171</v>
      </c>
      <c r="C18" s="335"/>
      <c r="D18" s="335"/>
      <c r="E18" s="335"/>
    </row>
    <row r="19" spans="2:5" ht="15.75">
      <c r="B19" s="178" t="s">
        <v>260</v>
      </c>
      <c r="C19" s="335"/>
      <c r="D19" s="335"/>
      <c r="E19" s="335"/>
    </row>
    <row r="20" spans="2:5" ht="15.75">
      <c r="B20" s="178" t="s">
        <v>795</v>
      </c>
      <c r="C20" s="455" t="str">
        <f>IF(C21*0.1&lt;C19,"Exceed 10% Rule","")</f>
        <v/>
      </c>
      <c r="D20" s="338" t="str">
        <f>IF(D21*0.1&lt;D19,"Exceed 10% Rule","")</f>
        <v/>
      </c>
      <c r="E20" s="338" t="str">
        <f>IF(E21*0.1&lt;E19,"Exceed 10% Rule","")</f>
        <v/>
      </c>
    </row>
    <row r="21" spans="2:5" ht="15.75">
      <c r="B21" s="289" t="s">
        <v>172</v>
      </c>
      <c r="C21" s="340">
        <f>SUM(C8:C19)</f>
        <v>0</v>
      </c>
      <c r="D21" s="340">
        <f>SUM(D8:D19)</f>
        <v>0</v>
      </c>
      <c r="E21" s="340">
        <f>SUM(E8:E19)</f>
        <v>0</v>
      </c>
    </row>
    <row r="22" spans="2:5" ht="15.75">
      <c r="B22" s="289" t="s">
        <v>173</v>
      </c>
      <c r="C22" s="340">
        <f>C6+C21</f>
        <v>0</v>
      </c>
      <c r="D22" s="340">
        <f>D6+D21</f>
        <v>0</v>
      </c>
      <c r="E22" s="340">
        <f>E6+E21</f>
        <v>0</v>
      </c>
    </row>
    <row r="23" spans="2:5" ht="15.75">
      <c r="B23" s="178" t="s">
        <v>174</v>
      </c>
      <c r="C23" s="108"/>
      <c r="D23" s="108"/>
      <c r="E23" s="108"/>
    </row>
    <row r="24" spans="2:5" ht="15.75">
      <c r="B24" s="292"/>
      <c r="C24" s="335"/>
      <c r="D24" s="335"/>
      <c r="E24" s="335"/>
    </row>
    <row r="25" spans="2:5" ht="15.75">
      <c r="B25" s="292"/>
      <c r="C25" s="335"/>
      <c r="D25" s="335"/>
      <c r="E25" s="335"/>
    </row>
    <row r="26" spans="2:5" ht="15.75">
      <c r="B26" s="292"/>
      <c r="C26" s="131"/>
      <c r="D26" s="131"/>
      <c r="E26" s="131"/>
    </row>
    <row r="27" spans="2:5" ht="15.75">
      <c r="B27" s="292"/>
      <c r="C27" s="131"/>
      <c r="D27" s="131"/>
      <c r="E27" s="131"/>
    </row>
    <row r="28" spans="2:5" ht="15.75">
      <c r="B28" s="292"/>
      <c r="C28" s="131"/>
      <c r="D28" s="131"/>
      <c r="E28" s="131"/>
    </row>
    <row r="29" spans="2:5" ht="15.75">
      <c r="B29" s="292"/>
      <c r="C29" s="131"/>
      <c r="D29" s="131"/>
      <c r="E29" s="131"/>
    </row>
    <row r="30" spans="2:5" ht="15.75">
      <c r="B30" s="292"/>
      <c r="C30" s="131"/>
      <c r="D30" s="131"/>
      <c r="E30" s="131"/>
    </row>
    <row r="31" spans="2:5" ht="15.75">
      <c r="B31" s="292"/>
      <c r="C31" s="131"/>
      <c r="D31" s="131"/>
      <c r="E31" s="131"/>
    </row>
    <row r="32" spans="2:5" ht="15.75">
      <c r="B32" s="292"/>
      <c r="C32" s="131"/>
      <c r="D32" s="131"/>
      <c r="E32" s="131"/>
    </row>
    <row r="33" spans="2:5" ht="15.75">
      <c r="B33" s="292"/>
      <c r="C33" s="131"/>
      <c r="D33" s="131"/>
      <c r="E33" s="131"/>
    </row>
    <row r="34" spans="2:5" ht="15.75">
      <c r="B34" s="292"/>
      <c r="C34" s="131"/>
      <c r="D34" s="131"/>
      <c r="E34" s="131"/>
    </row>
    <row r="35" spans="2:5" ht="15.75">
      <c r="B35" s="292"/>
      <c r="C35" s="131"/>
      <c r="D35" s="131"/>
      <c r="E35" s="131"/>
    </row>
    <row r="36" spans="2:5" ht="15.75">
      <c r="B36" s="292"/>
      <c r="C36" s="131"/>
      <c r="D36" s="131"/>
      <c r="E36" s="131"/>
    </row>
    <row r="37" spans="2:5" ht="15.75">
      <c r="B37" s="292"/>
      <c r="C37" s="335"/>
      <c r="D37" s="335"/>
      <c r="E37" s="335"/>
    </row>
    <row r="38" spans="2:5" ht="15.75">
      <c r="B38" s="292"/>
      <c r="C38" s="335"/>
      <c r="D38" s="335"/>
      <c r="E38" s="335"/>
    </row>
    <row r="39" spans="2:5" ht="15.75">
      <c r="B39" s="292"/>
      <c r="C39" s="335"/>
      <c r="D39" s="335"/>
      <c r="E39" s="335"/>
    </row>
    <row r="40" spans="2:5" ht="15.75">
      <c r="B40" s="292"/>
      <c r="C40" s="335"/>
      <c r="D40" s="335"/>
      <c r="E40" s="335"/>
    </row>
    <row r="41" spans="2:5" ht="15.75">
      <c r="B41" s="292"/>
      <c r="C41" s="335"/>
      <c r="D41" s="335"/>
      <c r="E41" s="335"/>
    </row>
    <row r="42" spans="2:5" ht="15.75">
      <c r="B42" s="292"/>
      <c r="C42" s="335"/>
      <c r="D42" s="335"/>
      <c r="E42" s="335"/>
    </row>
    <row r="43" spans="2:5" ht="15.75">
      <c r="B43" s="292"/>
      <c r="C43" s="335"/>
      <c r="D43" s="335"/>
      <c r="E43" s="335"/>
    </row>
    <row r="44" spans="2:5" ht="15.75">
      <c r="B44" s="292"/>
      <c r="C44" s="335"/>
      <c r="D44" s="335"/>
      <c r="E44" s="335"/>
    </row>
    <row r="45" spans="2:5" ht="15.75">
      <c r="B45" s="292"/>
      <c r="C45" s="335"/>
      <c r="D45" s="335"/>
      <c r="E45" s="335"/>
    </row>
    <row r="46" spans="2:5" ht="15.75">
      <c r="B46" s="292"/>
      <c r="C46" s="335"/>
      <c r="D46" s="335"/>
      <c r="E46" s="335"/>
    </row>
    <row r="47" spans="2:5" ht="15.75">
      <c r="B47" s="292"/>
      <c r="C47" s="335"/>
      <c r="D47" s="335"/>
      <c r="E47" s="335"/>
    </row>
    <row r="48" spans="2:5" ht="15.75">
      <c r="B48" s="292"/>
      <c r="C48" s="335"/>
      <c r="D48" s="335"/>
      <c r="E48" s="335"/>
    </row>
    <row r="49" spans="2:5" ht="15.75">
      <c r="B49" s="191" t="s">
        <v>260</v>
      </c>
      <c r="C49" s="335"/>
      <c r="D49" s="335"/>
      <c r="E49" s="335"/>
    </row>
    <row r="50" spans="2:5" ht="15.75">
      <c r="B50" s="191" t="s">
        <v>794</v>
      </c>
      <c r="C50" s="455" t="str">
        <f>IF(C51*0.1&lt;C49,"Exceed 10% Rule","")</f>
        <v/>
      </c>
      <c r="D50" s="338" t="str">
        <f>IF(D51*0.1&lt;D49,"Exceed 10% Rule","")</f>
        <v/>
      </c>
      <c r="E50" s="338" t="str">
        <f>IF(E51*0.1&lt;E49,"Exceed 10% Rule","")</f>
        <v/>
      </c>
    </row>
    <row r="51" spans="2:5" ht="15.75">
      <c r="B51" s="289" t="s">
        <v>175</v>
      </c>
      <c r="C51" s="340">
        <f>SUM(C24:C49)</f>
        <v>0</v>
      </c>
      <c r="D51" s="340">
        <f>SUM(D24:D49)</f>
        <v>0</v>
      </c>
      <c r="E51" s="340">
        <f>SUM(E24:E49)</f>
        <v>0</v>
      </c>
    </row>
    <row r="52" spans="2:5" ht="15.75">
      <c r="B52" s="178" t="s">
        <v>283</v>
      </c>
      <c r="C52" s="94">
        <f>C22-C51</f>
        <v>0</v>
      </c>
      <c r="D52" s="94">
        <f>D22-D51</f>
        <v>0</v>
      </c>
      <c r="E52" s="94">
        <f>E22-E51</f>
        <v>0</v>
      </c>
    </row>
    <row r="53" spans="2:5" ht="15.75">
      <c r="B53" s="210" t="str">
        <f>CONCATENATE("",E1-2,"/",E1-1," Budget Authority Amount:")</f>
        <v>2012/2013 Budget Authority Amount:</v>
      </c>
      <c r="C53" s="221">
        <f>inputOth!B68</f>
        <v>0</v>
      </c>
      <c r="D53" s="221">
        <f>inputPrYr!D35</f>
        <v>0</v>
      </c>
      <c r="E53" s="462" t="str">
        <f>IF(E52&lt;0,"See Tab E","")</f>
        <v/>
      </c>
    </row>
    <row r="54" spans="2:5" ht="15.75">
      <c r="B54" s="210"/>
      <c r="C54" s="295" t="str">
        <f>IF(C51&gt;C53,"See Tab A","")</f>
        <v/>
      </c>
      <c r="D54" s="295" t="str">
        <f>IF(D51&gt;D53,"See Tab C","")</f>
        <v/>
      </c>
      <c r="E54" s="128"/>
    </row>
    <row r="55" spans="2:5" ht="15.75">
      <c r="B55" s="210"/>
      <c r="C55" s="295" t="str">
        <f>IF(C52&lt;0,"See Tab B","")</f>
        <v/>
      </c>
      <c r="D55" s="295" t="str">
        <f>IF(D52&lt;0,"See Tab D","")</f>
        <v/>
      </c>
      <c r="E55" s="128"/>
    </row>
    <row r="56" spans="2:5">
      <c r="B56" s="128"/>
      <c r="C56" s="128"/>
      <c r="D56" s="128"/>
      <c r="E56" s="128"/>
    </row>
    <row r="57" spans="2:5" ht="15.75">
      <c r="B57" s="218" t="s">
        <v>178</v>
      </c>
      <c r="C57" s="297"/>
      <c r="D57" s="128"/>
      <c r="E57" s="128"/>
    </row>
  </sheetData>
  <sheetProtection sheet="1"/>
  <phoneticPr fontId="10" type="noConversion"/>
  <conditionalFormatting sqref="C19">
    <cfRule type="cellIs" dxfId="9" priority="2" stopIfTrue="1" operator="greaterThan">
      <formula>$C$21*0.1</formula>
    </cfRule>
  </conditionalFormatting>
  <conditionalFormatting sqref="D19">
    <cfRule type="cellIs" dxfId="8" priority="3" stopIfTrue="1" operator="greaterThan">
      <formula>$D$21*0.1</formula>
    </cfRule>
  </conditionalFormatting>
  <conditionalFormatting sqref="E19">
    <cfRule type="cellIs" dxfId="7" priority="4" stopIfTrue="1" operator="greaterThan">
      <formula>$E$21*0.1</formula>
    </cfRule>
  </conditionalFormatting>
  <conditionalFormatting sqref="C49">
    <cfRule type="cellIs" dxfId="6" priority="5" stopIfTrue="1" operator="greaterThan">
      <formula>$C$51*0.1</formula>
    </cfRule>
  </conditionalFormatting>
  <conditionalFormatting sqref="D49">
    <cfRule type="cellIs" dxfId="5" priority="6" stopIfTrue="1" operator="greaterThan">
      <formula>$D$51*0.1</formula>
    </cfRule>
  </conditionalFormatting>
  <conditionalFormatting sqref="E49">
    <cfRule type="cellIs" dxfId="4" priority="7" stopIfTrue="1" operator="greaterThan">
      <formula>$E$51*0.1</formula>
    </cfRule>
  </conditionalFormatting>
  <conditionalFormatting sqref="E52 C52">
    <cfRule type="cellIs" dxfId="3" priority="8" stopIfTrue="1" operator="lessThan">
      <formula>0</formula>
    </cfRule>
  </conditionalFormatting>
  <conditionalFormatting sqref="D51">
    <cfRule type="cellIs" dxfId="2" priority="9" stopIfTrue="1" operator="greaterThan">
      <formula>$D$53</formula>
    </cfRule>
  </conditionalFormatting>
  <conditionalFormatting sqref="C51">
    <cfRule type="cellIs" dxfId="1" priority="10" stopIfTrue="1" operator="greaterThan">
      <formula>$C$53</formula>
    </cfRule>
  </conditionalFormatting>
  <conditionalFormatting sqref="D52">
    <cfRule type="cellIs" dxfId="0" priority="1" stopIfTrue="1" operator="lessThan">
      <formula>0</formula>
    </cfRule>
  </conditionalFormatting>
  <pageMargins left="0.75" right="0.75" top="1" bottom="1" header="0.5" footer="0.5"/>
  <pageSetup scale="73" orientation="portrait" blackAndWhite="1"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RowHeight="15.75"/>
  <cols>
    <col min="1" max="1" width="11.5546875" style="51" customWidth="1"/>
    <col min="2" max="2" width="7.44140625" style="51" customWidth="1"/>
    <col min="3" max="3" width="11.5546875" style="51" customWidth="1"/>
    <col min="4" max="4" width="7.44140625" style="51" customWidth="1"/>
    <col min="5" max="5" width="11.5546875" style="51" customWidth="1"/>
    <col min="6" max="6" width="7.44140625" style="51" customWidth="1"/>
    <col min="7" max="7" width="11.5546875" style="51" customWidth="1"/>
    <col min="8" max="8" width="7.44140625" style="51" customWidth="1"/>
    <col min="9" max="9" width="11.5546875" style="51" customWidth="1"/>
    <col min="10" max="16384" width="8.88671875" style="51"/>
  </cols>
  <sheetData>
    <row r="1" spans="1:11">
      <c r="A1" s="127" t="str">
        <f>inputPrYr!$D$2</f>
        <v>City of Circleville</v>
      </c>
      <c r="B1" s="217"/>
      <c r="C1" s="129"/>
      <c r="D1" s="129"/>
      <c r="E1" s="129"/>
      <c r="F1" s="298" t="s">
        <v>34</v>
      </c>
      <c r="G1" s="129"/>
      <c r="H1" s="129"/>
      <c r="I1" s="129"/>
      <c r="J1" s="129"/>
      <c r="K1" s="129">
        <f>inputPrYr!$C$5</f>
        <v>2014</v>
      </c>
    </row>
    <row r="2" spans="1:11">
      <c r="A2" s="129"/>
      <c r="B2" s="129"/>
      <c r="C2" s="129"/>
      <c r="D2" s="129"/>
      <c r="E2" s="129"/>
      <c r="F2" s="299" t="str">
        <f>CONCATENATE("(Only the actual budget year for ",K1-2," is to be shown)")</f>
        <v>(Only the actual budget year for 2012 is to be shown)</v>
      </c>
      <c r="G2" s="129"/>
      <c r="H2" s="129"/>
      <c r="I2" s="129"/>
      <c r="J2" s="129"/>
      <c r="K2" s="129"/>
    </row>
    <row r="3" spans="1:11">
      <c r="A3" s="129" t="s">
        <v>33</v>
      </c>
      <c r="B3" s="129"/>
      <c r="C3" s="129"/>
      <c r="D3" s="129"/>
      <c r="E3" s="129"/>
      <c r="F3" s="217"/>
      <c r="G3" s="129"/>
      <c r="H3" s="129"/>
      <c r="I3" s="129"/>
      <c r="J3" s="129"/>
      <c r="K3" s="129"/>
    </row>
    <row r="4" spans="1:11">
      <c r="A4" s="129" t="s">
        <v>26</v>
      </c>
      <c r="B4" s="129"/>
      <c r="C4" s="129" t="s">
        <v>27</v>
      </c>
      <c r="D4" s="129"/>
      <c r="E4" s="129" t="s">
        <v>28</v>
      </c>
      <c r="F4" s="217"/>
      <c r="G4" s="129" t="s">
        <v>29</v>
      </c>
      <c r="H4" s="129"/>
      <c r="I4" s="129" t="s">
        <v>30</v>
      </c>
      <c r="J4" s="129"/>
      <c r="K4" s="129"/>
    </row>
    <row r="5" spans="1:11">
      <c r="A5" s="831">
        <f>inputPrYr!B38</f>
        <v>0</v>
      </c>
      <c r="B5" s="832"/>
      <c r="C5" s="831">
        <f>inputPrYr!B39</f>
        <v>0</v>
      </c>
      <c r="D5" s="832"/>
      <c r="E5" s="831">
        <f>inputPrYr!B40</f>
        <v>0</v>
      </c>
      <c r="F5" s="832"/>
      <c r="G5" s="831">
        <f>inputPrYr!B41</f>
        <v>0</v>
      </c>
      <c r="H5" s="832"/>
      <c r="I5" s="831">
        <f>inputPrYr!B42</f>
        <v>0</v>
      </c>
      <c r="J5" s="832"/>
      <c r="K5" s="148"/>
    </row>
    <row r="6" spans="1:11">
      <c r="A6" s="301" t="s">
        <v>31</v>
      </c>
      <c r="B6" s="302"/>
      <c r="C6" s="303" t="s">
        <v>31</v>
      </c>
      <c r="D6" s="304"/>
      <c r="E6" s="303" t="s">
        <v>31</v>
      </c>
      <c r="F6" s="305"/>
      <c r="G6" s="303" t="s">
        <v>31</v>
      </c>
      <c r="H6" s="300"/>
      <c r="I6" s="303" t="s">
        <v>31</v>
      </c>
      <c r="J6" s="129"/>
      <c r="K6" s="306" t="s">
        <v>135</v>
      </c>
    </row>
    <row r="7" spans="1:11">
      <c r="A7" s="307" t="s">
        <v>75</v>
      </c>
      <c r="B7" s="308"/>
      <c r="C7" s="309" t="s">
        <v>75</v>
      </c>
      <c r="D7" s="308"/>
      <c r="E7" s="309" t="s">
        <v>75</v>
      </c>
      <c r="F7" s="308"/>
      <c r="G7" s="309" t="s">
        <v>75</v>
      </c>
      <c r="H7" s="308"/>
      <c r="I7" s="309" t="s">
        <v>75</v>
      </c>
      <c r="J7" s="308"/>
      <c r="K7" s="310">
        <f>SUM(B7+D7+F7+H7+J7)</f>
        <v>0</v>
      </c>
    </row>
    <row r="8" spans="1:11">
      <c r="A8" s="311" t="s">
        <v>284</v>
      </c>
      <c r="B8" s="312"/>
      <c r="C8" s="311" t="s">
        <v>284</v>
      </c>
      <c r="D8" s="313"/>
      <c r="E8" s="311" t="s">
        <v>284</v>
      </c>
      <c r="F8" s="217"/>
      <c r="G8" s="311" t="s">
        <v>284</v>
      </c>
      <c r="H8" s="129"/>
      <c r="I8" s="311" t="s">
        <v>284</v>
      </c>
      <c r="J8" s="129"/>
      <c r="K8" s="217"/>
    </row>
    <row r="9" spans="1:11">
      <c r="A9" s="314"/>
      <c r="B9" s="308"/>
      <c r="C9" s="314"/>
      <c r="D9" s="308"/>
      <c r="E9" s="314"/>
      <c r="F9" s="308"/>
      <c r="G9" s="314"/>
      <c r="H9" s="308"/>
      <c r="I9" s="314"/>
      <c r="J9" s="308"/>
      <c r="K9" s="217"/>
    </row>
    <row r="10" spans="1:11">
      <c r="A10" s="314"/>
      <c r="B10" s="308"/>
      <c r="C10" s="314"/>
      <c r="D10" s="308"/>
      <c r="E10" s="314"/>
      <c r="F10" s="308"/>
      <c r="G10" s="314"/>
      <c r="H10" s="308"/>
      <c r="I10" s="314"/>
      <c r="J10" s="308"/>
      <c r="K10" s="217"/>
    </row>
    <row r="11" spans="1:11">
      <c r="A11" s="314"/>
      <c r="B11" s="308"/>
      <c r="C11" s="315"/>
      <c r="D11" s="316"/>
      <c r="E11" s="315"/>
      <c r="F11" s="308"/>
      <c r="G11" s="315"/>
      <c r="H11" s="308"/>
      <c r="I11" s="317"/>
      <c r="J11" s="308"/>
      <c r="K11" s="217"/>
    </row>
    <row r="12" spans="1:11">
      <c r="A12" s="314"/>
      <c r="B12" s="318"/>
      <c r="C12" s="314"/>
      <c r="D12" s="319"/>
      <c r="E12" s="320"/>
      <c r="F12" s="308"/>
      <c r="G12" s="320"/>
      <c r="H12" s="308"/>
      <c r="I12" s="320"/>
      <c r="J12" s="308"/>
      <c r="K12" s="217"/>
    </row>
    <row r="13" spans="1:11">
      <c r="A13" s="321"/>
      <c r="B13" s="322"/>
      <c r="C13" s="323"/>
      <c r="D13" s="319"/>
      <c r="E13" s="323"/>
      <c r="F13" s="308"/>
      <c r="G13" s="323"/>
      <c r="H13" s="308"/>
      <c r="I13" s="317"/>
      <c r="J13" s="308"/>
      <c r="K13" s="217"/>
    </row>
    <row r="14" spans="1:11">
      <c r="A14" s="314"/>
      <c r="B14" s="308"/>
      <c r="C14" s="320"/>
      <c r="D14" s="319"/>
      <c r="E14" s="320"/>
      <c r="F14" s="308"/>
      <c r="G14" s="320"/>
      <c r="H14" s="308"/>
      <c r="I14" s="320"/>
      <c r="J14" s="308"/>
      <c r="K14" s="217"/>
    </row>
    <row r="15" spans="1:11">
      <c r="A15" s="314"/>
      <c r="B15" s="308"/>
      <c r="C15" s="320"/>
      <c r="D15" s="319"/>
      <c r="E15" s="320"/>
      <c r="F15" s="308"/>
      <c r="G15" s="320"/>
      <c r="H15" s="308"/>
      <c r="I15" s="320"/>
      <c r="J15" s="308"/>
      <c r="K15" s="217"/>
    </row>
    <row r="16" spans="1:11">
      <c r="A16" s="314"/>
      <c r="B16" s="322"/>
      <c r="C16" s="314"/>
      <c r="D16" s="319"/>
      <c r="E16" s="314"/>
      <c r="F16" s="308"/>
      <c r="G16" s="320"/>
      <c r="H16" s="308"/>
      <c r="I16" s="314"/>
      <c r="J16" s="308"/>
      <c r="K16" s="217"/>
    </row>
    <row r="17" spans="1:12">
      <c r="A17" s="311" t="s">
        <v>172</v>
      </c>
      <c r="B17" s="310">
        <f>SUM(B9:B16)</f>
        <v>0</v>
      </c>
      <c r="C17" s="311" t="s">
        <v>172</v>
      </c>
      <c r="D17" s="310">
        <f>SUM(D9:D16)</f>
        <v>0</v>
      </c>
      <c r="E17" s="311" t="s">
        <v>172</v>
      </c>
      <c r="F17" s="324">
        <f>SUM(F9:F16)</f>
        <v>0</v>
      </c>
      <c r="G17" s="311" t="s">
        <v>172</v>
      </c>
      <c r="H17" s="310">
        <f>SUM(H9:H16)</f>
        <v>0</v>
      </c>
      <c r="I17" s="311" t="s">
        <v>172</v>
      </c>
      <c r="J17" s="310">
        <f>SUM(J9:J16)</f>
        <v>0</v>
      </c>
      <c r="K17" s="310">
        <f>SUM(B17+D17+F17+H17+J17)</f>
        <v>0</v>
      </c>
    </row>
    <row r="18" spans="1:12">
      <c r="A18" s="311" t="s">
        <v>173</v>
      </c>
      <c r="B18" s="310">
        <f>SUM(B7+B17)</f>
        <v>0</v>
      </c>
      <c r="C18" s="311" t="s">
        <v>173</v>
      </c>
      <c r="D18" s="310">
        <f>SUM(D7+D17)</f>
        <v>0</v>
      </c>
      <c r="E18" s="311" t="s">
        <v>173</v>
      </c>
      <c r="F18" s="310">
        <f>SUM(F7+F17)</f>
        <v>0</v>
      </c>
      <c r="G18" s="311" t="s">
        <v>173</v>
      </c>
      <c r="H18" s="310">
        <f>SUM(H7+H17)</f>
        <v>0</v>
      </c>
      <c r="I18" s="311" t="s">
        <v>173</v>
      </c>
      <c r="J18" s="310">
        <f>SUM(J7+J17)</f>
        <v>0</v>
      </c>
      <c r="K18" s="310">
        <f>SUM(B18+D18+F18+H18+J18)</f>
        <v>0</v>
      </c>
    </row>
    <row r="19" spans="1:12">
      <c r="A19" s="311" t="s">
        <v>174</v>
      </c>
      <c r="B19" s="312"/>
      <c r="C19" s="311" t="s">
        <v>174</v>
      </c>
      <c r="D19" s="313"/>
      <c r="E19" s="311" t="s">
        <v>174</v>
      </c>
      <c r="F19" s="217"/>
      <c r="G19" s="311" t="s">
        <v>174</v>
      </c>
      <c r="H19" s="129"/>
      <c r="I19" s="311" t="s">
        <v>174</v>
      </c>
      <c r="J19" s="129"/>
      <c r="K19" s="217"/>
    </row>
    <row r="20" spans="1:12">
      <c r="A20" s="314"/>
      <c r="B20" s="308"/>
      <c r="C20" s="320"/>
      <c r="D20" s="308"/>
      <c r="E20" s="320"/>
      <c r="F20" s="308"/>
      <c r="G20" s="320"/>
      <c r="H20" s="308"/>
      <c r="I20" s="320"/>
      <c r="J20" s="308"/>
      <c r="K20" s="217"/>
    </row>
    <row r="21" spans="1:12">
      <c r="A21" s="314"/>
      <c r="B21" s="308"/>
      <c r="C21" s="320"/>
      <c r="D21" s="308"/>
      <c r="E21" s="320"/>
      <c r="F21" s="308"/>
      <c r="G21" s="320"/>
      <c r="H21" s="308"/>
      <c r="I21" s="320"/>
      <c r="J21" s="308"/>
      <c r="K21" s="217"/>
    </row>
    <row r="22" spans="1:12">
      <c r="A22" s="314"/>
      <c r="B22" s="308"/>
      <c r="C22" s="323"/>
      <c r="D22" s="308"/>
      <c r="E22" s="323"/>
      <c r="F22" s="308"/>
      <c r="G22" s="323"/>
      <c r="H22" s="308"/>
      <c r="I22" s="317"/>
      <c r="J22" s="308"/>
      <c r="K22" s="217"/>
    </row>
    <row r="23" spans="1:12">
      <c r="A23" s="314"/>
      <c r="B23" s="308"/>
      <c r="C23" s="320"/>
      <c r="D23" s="308"/>
      <c r="E23" s="320"/>
      <c r="F23" s="308"/>
      <c r="G23" s="320"/>
      <c r="H23" s="308"/>
      <c r="I23" s="320"/>
      <c r="J23" s="308"/>
      <c r="K23" s="217"/>
    </row>
    <row r="24" spans="1:12">
      <c r="A24" s="314"/>
      <c r="B24" s="308"/>
      <c r="C24" s="323"/>
      <c r="D24" s="308"/>
      <c r="E24" s="323"/>
      <c r="F24" s="308"/>
      <c r="G24" s="323"/>
      <c r="H24" s="308"/>
      <c r="I24" s="317"/>
      <c r="J24" s="308"/>
      <c r="K24" s="217"/>
    </row>
    <row r="25" spans="1:12">
      <c r="A25" s="314"/>
      <c r="B25" s="308"/>
      <c r="C25" s="320"/>
      <c r="D25" s="308"/>
      <c r="E25" s="320"/>
      <c r="F25" s="308"/>
      <c r="G25" s="320"/>
      <c r="H25" s="308"/>
      <c r="I25" s="320"/>
      <c r="J25" s="308"/>
      <c r="K25" s="217"/>
    </row>
    <row r="26" spans="1:12">
      <c r="A26" s="314"/>
      <c r="B26" s="308"/>
      <c r="C26" s="320"/>
      <c r="D26" s="308"/>
      <c r="E26" s="320"/>
      <c r="F26" s="308"/>
      <c r="G26" s="320"/>
      <c r="H26" s="308"/>
      <c r="I26" s="320"/>
      <c r="J26" s="308"/>
      <c r="K26" s="217"/>
    </row>
    <row r="27" spans="1:12">
      <c r="A27" s="314"/>
      <c r="B27" s="308"/>
      <c r="C27" s="314"/>
      <c r="D27" s="308"/>
      <c r="E27" s="314"/>
      <c r="F27" s="308"/>
      <c r="G27" s="320"/>
      <c r="H27" s="308"/>
      <c r="I27" s="320"/>
      <c r="J27" s="308"/>
      <c r="K27" s="217"/>
    </row>
    <row r="28" spans="1:12">
      <c r="A28" s="311" t="s">
        <v>175</v>
      </c>
      <c r="B28" s="310">
        <f>SUM(B20:B27)</f>
        <v>0</v>
      </c>
      <c r="C28" s="311" t="s">
        <v>175</v>
      </c>
      <c r="D28" s="310">
        <f>SUM(D20:D27)</f>
        <v>0</v>
      </c>
      <c r="E28" s="311" t="s">
        <v>175</v>
      </c>
      <c r="F28" s="324">
        <f>SUM(F20:F27)</f>
        <v>0</v>
      </c>
      <c r="G28" s="311" t="s">
        <v>175</v>
      </c>
      <c r="H28" s="324">
        <f>SUM(H20:H27)</f>
        <v>0</v>
      </c>
      <c r="I28" s="311" t="s">
        <v>175</v>
      </c>
      <c r="J28" s="310">
        <f>SUM(J20:J27)</f>
        <v>0</v>
      </c>
      <c r="K28" s="310">
        <f>SUM(B28+D28+F28+H28+J28)</f>
        <v>0</v>
      </c>
    </row>
    <row r="29" spans="1:12">
      <c r="A29" s="311" t="s">
        <v>32</v>
      </c>
      <c r="B29" s="310">
        <f>SUM(B18-B28)</f>
        <v>0</v>
      </c>
      <c r="C29" s="311" t="s">
        <v>32</v>
      </c>
      <c r="D29" s="310">
        <f>SUM(D18-D28)</f>
        <v>0</v>
      </c>
      <c r="E29" s="311" t="s">
        <v>32</v>
      </c>
      <c r="F29" s="310">
        <f>SUM(F18-F28)</f>
        <v>0</v>
      </c>
      <c r="G29" s="311" t="s">
        <v>32</v>
      </c>
      <c r="H29" s="310">
        <f>SUM(H18-H28)</f>
        <v>0</v>
      </c>
      <c r="I29" s="311" t="s">
        <v>32</v>
      </c>
      <c r="J29" s="310">
        <f>SUM(J18-J28)</f>
        <v>0</v>
      </c>
      <c r="K29" s="325">
        <f>SUM(B29+D29+F29+H29+J29)</f>
        <v>0</v>
      </c>
      <c r="L29" s="51" t="s">
        <v>37</v>
      </c>
    </row>
    <row r="30" spans="1:12">
      <c r="A30" s="311"/>
      <c r="B30" s="326" t="str">
        <f>IF(B29&lt;0,"See Tab B","")</f>
        <v/>
      </c>
      <c r="C30" s="311"/>
      <c r="D30" s="326" t="str">
        <f>IF(D29&lt;0,"See Tab B","")</f>
        <v/>
      </c>
      <c r="E30" s="311"/>
      <c r="F30" s="326" t="str">
        <f>IF(F29&lt;0,"See Tab B","")</f>
        <v/>
      </c>
      <c r="G30" s="129"/>
      <c r="H30" s="326" t="str">
        <f>IF(H29&lt;0,"See Tab B","")</f>
        <v/>
      </c>
      <c r="I30" s="129"/>
      <c r="J30" s="326" t="str">
        <f>IF(J29&lt;0,"See Tab B","")</f>
        <v/>
      </c>
      <c r="K30" s="325">
        <f>SUM(K7+K17-K28)</f>
        <v>0</v>
      </c>
      <c r="L30" s="51" t="s">
        <v>37</v>
      </c>
    </row>
    <row r="31" spans="1:12">
      <c r="A31" s="129"/>
      <c r="B31" s="327"/>
      <c r="C31" s="129"/>
      <c r="D31" s="217"/>
      <c r="E31" s="129"/>
      <c r="F31" s="129"/>
      <c r="G31" s="61" t="s">
        <v>38</v>
      </c>
      <c r="H31" s="61"/>
      <c r="I31" s="61"/>
      <c r="J31" s="61"/>
      <c r="K31" s="129"/>
    </row>
    <row r="32" spans="1:12">
      <c r="A32" s="129"/>
      <c r="B32" s="327"/>
      <c r="C32" s="129"/>
      <c r="D32" s="129"/>
      <c r="E32" s="129"/>
      <c r="F32" s="129"/>
      <c r="G32" s="129"/>
      <c r="H32" s="129"/>
      <c r="I32" s="129"/>
      <c r="J32" s="129"/>
      <c r="K32" s="129"/>
    </row>
    <row r="33" spans="1:11">
      <c r="A33" s="129"/>
      <c r="B33" s="327"/>
      <c r="C33" s="129"/>
      <c r="D33" s="129"/>
      <c r="E33" s="328" t="s">
        <v>178</v>
      </c>
      <c r="F33" s="297"/>
      <c r="G33" s="129"/>
      <c r="H33" s="129"/>
      <c r="I33" s="129"/>
      <c r="J33" s="129"/>
      <c r="K33" s="129"/>
    </row>
    <row r="34" spans="1:11">
      <c r="B34" s="329"/>
    </row>
    <row r="35" spans="1:11">
      <c r="B35" s="329"/>
    </row>
    <row r="36" spans="1:11">
      <c r="B36" s="329"/>
    </row>
    <row r="37" spans="1:11">
      <c r="B37" s="329"/>
    </row>
    <row r="38" spans="1:11">
      <c r="B38" s="329"/>
    </row>
    <row r="39" spans="1:11">
      <c r="B39" s="329"/>
    </row>
    <row r="40" spans="1:11">
      <c r="B40" s="329"/>
    </row>
    <row r="41" spans="1:11">
      <c r="B41" s="329"/>
    </row>
  </sheetData>
  <sheetProtection sheet="1"/>
  <mergeCells count="5">
    <mergeCell ref="I5:J5"/>
    <mergeCell ref="A5:B5"/>
    <mergeCell ref="C5:D5"/>
    <mergeCell ref="E5:F5"/>
    <mergeCell ref="G5:H5"/>
  </mergeCells>
  <phoneticPr fontId="10" type="noConversion"/>
  <pageMargins left="0.75" right="0.75" top="1" bottom="1" header="0.5" footer="0.5"/>
  <pageSetup scale="88" orientation="landscape"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workbookViewId="0"/>
  </sheetViews>
  <sheetFormatPr defaultRowHeight="15"/>
  <cols>
    <col min="1" max="1" width="70.5546875" style="126" customWidth="1"/>
    <col min="2" max="16384" width="8.88671875" style="126"/>
  </cols>
  <sheetData>
    <row r="1" spans="1:1" ht="18.75">
      <c r="A1" s="355" t="s">
        <v>352</v>
      </c>
    </row>
    <row r="2" spans="1:1" ht="15.75">
      <c r="A2" s="1"/>
    </row>
    <row r="3" spans="1:1" ht="57" customHeight="1">
      <c r="A3" s="356" t="s">
        <v>353</v>
      </c>
    </row>
    <row r="4" spans="1:1" ht="15.75">
      <c r="A4" s="354"/>
    </row>
    <row r="5" spans="1:1" ht="15.75">
      <c r="A5" s="1"/>
    </row>
    <row r="6" spans="1:1" ht="44.25" customHeight="1">
      <c r="A6" s="356" t="s">
        <v>354</v>
      </c>
    </row>
    <row r="7" spans="1:1" ht="15.75">
      <c r="A7" s="1"/>
    </row>
    <row r="8" spans="1:1" ht="15.75">
      <c r="A8" s="354"/>
    </row>
    <row r="9" spans="1:1" ht="46.5" customHeight="1">
      <c r="A9" s="356" t="s">
        <v>355</v>
      </c>
    </row>
    <row r="10" spans="1:1" ht="15.75">
      <c r="A10" s="1"/>
    </row>
    <row r="11" spans="1:1" ht="15.75">
      <c r="A11" s="354"/>
    </row>
    <row r="12" spans="1:1" ht="60" customHeight="1">
      <c r="A12" s="356" t="s">
        <v>356</v>
      </c>
    </row>
    <row r="13" spans="1:1" ht="15.75">
      <c r="A13" s="1"/>
    </row>
    <row r="14" spans="1:1" ht="15.75">
      <c r="A14" s="1"/>
    </row>
    <row r="15" spans="1:1" ht="61.5" customHeight="1">
      <c r="A15" s="356" t="s">
        <v>357</v>
      </c>
    </row>
    <row r="16" spans="1:1" ht="15.75">
      <c r="A16" s="1"/>
    </row>
    <row r="17" spans="1:1" ht="15.75">
      <c r="A17" s="1"/>
    </row>
    <row r="18" spans="1:1" ht="59.25" customHeight="1">
      <c r="A18" s="356" t="s">
        <v>358</v>
      </c>
    </row>
    <row r="19" spans="1:1" ht="15.75">
      <c r="A19" s="1"/>
    </row>
    <row r="20" spans="1:1" ht="15.75">
      <c r="A20" s="1"/>
    </row>
    <row r="21" spans="1:1" ht="61.5" customHeight="1">
      <c r="A21" s="356" t="s">
        <v>359</v>
      </c>
    </row>
    <row r="22" spans="1:1" ht="15.75">
      <c r="A22" s="354"/>
    </row>
    <row r="23" spans="1:1" ht="15.75">
      <c r="A23" s="354"/>
    </row>
    <row r="24" spans="1:1" ht="63" customHeight="1">
      <c r="A24" s="356" t="s">
        <v>360</v>
      </c>
    </row>
    <row r="25" spans="1:1" ht="15.75">
      <c r="A25" s="1"/>
    </row>
    <row r="26" spans="1:1" ht="15.75">
      <c r="A26" s="1"/>
    </row>
    <row r="27" spans="1:1" ht="52.5" customHeight="1">
      <c r="A27" s="502" t="s">
        <v>673</v>
      </c>
    </row>
    <row r="28" spans="1:1" ht="15.75">
      <c r="A28" s="1"/>
    </row>
    <row r="29" spans="1:1" ht="15.75">
      <c r="A29" s="1"/>
    </row>
    <row r="30" spans="1:1" ht="44.25" customHeight="1">
      <c r="A30" s="356" t="s">
        <v>361</v>
      </c>
    </row>
    <row r="31" spans="1:1" ht="15.75">
      <c r="A31" s="1"/>
    </row>
    <row r="32" spans="1:1" ht="15.75">
      <c r="A32" s="1"/>
    </row>
    <row r="33" spans="1:1" ht="42.75" customHeight="1">
      <c r="A33" s="356" t="s">
        <v>362</v>
      </c>
    </row>
    <row r="34" spans="1:1" ht="15.75">
      <c r="A34" s="354"/>
    </row>
    <row r="35" spans="1:1" ht="15.75">
      <c r="A35" s="354"/>
    </row>
    <row r="36" spans="1:1" ht="38.25" customHeight="1">
      <c r="A36" s="356" t="s">
        <v>363</v>
      </c>
    </row>
    <row r="37" spans="1:1" ht="15.75">
      <c r="A37" s="354"/>
    </row>
    <row r="38" spans="1:1" ht="15.75">
      <c r="A38" s="1"/>
    </row>
    <row r="39" spans="1:1" ht="75.75" customHeight="1">
      <c r="A39" s="356" t="s">
        <v>364</v>
      </c>
    </row>
    <row r="40" spans="1:1" ht="15.75">
      <c r="A40" s="1"/>
    </row>
    <row r="41" spans="1:1" ht="15.75">
      <c r="A41" s="1"/>
    </row>
    <row r="42" spans="1:1" ht="57.75" customHeight="1">
      <c r="A42" s="356" t="s">
        <v>365</v>
      </c>
    </row>
    <row r="43" spans="1:1" ht="15.75">
      <c r="A43" s="354"/>
    </row>
    <row r="44" spans="1:1" ht="15.75">
      <c r="A44" s="1"/>
    </row>
    <row r="45" spans="1:1" ht="57.75" customHeight="1">
      <c r="A45" s="356" t="s">
        <v>366</v>
      </c>
    </row>
    <row r="46" spans="1:1" ht="15.75">
      <c r="A46" s="1"/>
    </row>
    <row r="47" spans="1:1" ht="15.75">
      <c r="A47" s="1"/>
    </row>
    <row r="48" spans="1:1" ht="41.25" customHeight="1">
      <c r="A48" s="356" t="s">
        <v>367</v>
      </c>
    </row>
    <row r="49" spans="1:1" ht="15.75">
      <c r="A49" s="1"/>
    </row>
    <row r="50" spans="1:1" ht="15.75">
      <c r="A50" s="1"/>
    </row>
    <row r="51" spans="1:1" ht="75" customHeight="1">
      <c r="A51" s="356" t="s">
        <v>368</v>
      </c>
    </row>
    <row r="52" spans="1:1" ht="15.75">
      <c r="A52" s="354"/>
    </row>
    <row r="53" spans="1:1" ht="15.75">
      <c r="A53" s="354"/>
    </row>
    <row r="54" spans="1:1" ht="57.75" customHeight="1">
      <c r="A54" s="356" t="s">
        <v>369</v>
      </c>
    </row>
    <row r="55" spans="1:1" ht="15.75">
      <c r="A55" s="1"/>
    </row>
    <row r="56" spans="1:1" ht="15.75">
      <c r="A56" s="1"/>
    </row>
    <row r="57" spans="1:1" ht="44.25" customHeight="1">
      <c r="A57" s="356" t="s">
        <v>370</v>
      </c>
    </row>
    <row r="58" spans="1:1" ht="15.75">
      <c r="A58" s="1"/>
    </row>
    <row r="59" spans="1:1" ht="15.75">
      <c r="A59" s="1"/>
    </row>
    <row r="60" spans="1:1" ht="60" customHeight="1">
      <c r="A60" s="356" t="s">
        <v>371</v>
      </c>
    </row>
    <row r="61" spans="1:1" ht="15.75">
      <c r="A61" s="354"/>
    </row>
    <row r="62" spans="1:1" ht="15.75">
      <c r="A62" s="354"/>
    </row>
    <row r="63" spans="1:1" ht="57.75" customHeight="1">
      <c r="A63" s="356" t="s">
        <v>372</v>
      </c>
    </row>
    <row r="64" spans="1:1" ht="15.75">
      <c r="A64" s="1"/>
    </row>
    <row r="65" spans="1:1" ht="15.75">
      <c r="A65" s="1"/>
    </row>
    <row r="66" spans="1:1" ht="60" customHeight="1">
      <c r="A66" s="356" t="s">
        <v>373</v>
      </c>
    </row>
  </sheetData>
  <sheetProtection sheet="1"/>
  <pageMargins left="0.7" right="0.7" top="0.75" bottom="0.75" header="0.3" footer="0.3"/>
  <pageSetup orientation="portrait" r:id="rId1"/>
  <headerFooter>
    <oddFooter>&amp;Lrevised 10/2/09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9"/>
  <sheetViews>
    <sheetView zoomScale="60" zoomScaleNormal="60" workbookViewId="0">
      <selection activeCell="AB22" sqref="AB22"/>
    </sheetView>
  </sheetViews>
  <sheetFormatPr defaultRowHeight="15.7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c r="A1" s="7"/>
      <c r="B1" s="7"/>
      <c r="C1" s="7"/>
      <c r="D1" s="7"/>
      <c r="E1" s="7"/>
      <c r="F1" s="7"/>
      <c r="G1" s="7"/>
      <c r="H1" s="25">
        <f>inputPrYr!$C$5</f>
        <v>2014</v>
      </c>
    </row>
    <row r="2" spans="1:8">
      <c r="A2" s="843" t="s">
        <v>221</v>
      </c>
      <c r="B2" s="843"/>
      <c r="C2" s="843"/>
      <c r="D2" s="843"/>
      <c r="E2" s="843"/>
      <c r="F2" s="843"/>
      <c r="G2" s="843"/>
      <c r="H2" s="843"/>
    </row>
    <row r="3" spans="1:8">
      <c r="A3" s="7"/>
      <c r="B3" s="7"/>
      <c r="C3" s="7"/>
      <c r="D3" s="7"/>
      <c r="E3" s="7"/>
      <c r="F3" s="7"/>
      <c r="G3" s="7"/>
      <c r="H3" s="7"/>
    </row>
    <row r="4" spans="1:8">
      <c r="A4" s="842" t="s">
        <v>182</v>
      </c>
      <c r="B4" s="842"/>
      <c r="C4" s="842"/>
      <c r="D4" s="842"/>
      <c r="E4" s="842"/>
      <c r="F4" s="842"/>
      <c r="G4" s="842"/>
      <c r="H4" s="842"/>
    </row>
    <row r="5" spans="1:8">
      <c r="A5" s="844" t="str">
        <f>inputPrYr!D2</f>
        <v>City of Circleville</v>
      </c>
      <c r="B5" s="844"/>
      <c r="C5" s="844"/>
      <c r="D5" s="844"/>
      <c r="E5" s="844"/>
      <c r="F5" s="844"/>
      <c r="G5" s="844"/>
      <c r="H5" s="844"/>
    </row>
    <row r="6" spans="1:8">
      <c r="A6" s="845" t="str">
        <f>CONCATENATE("will meet on ",inputBudSum!B7," at ",inputBudSum!B9," at ",inputBudSum!B11," for the purpose of hearing and")</f>
        <v>will meet on August 22, 2013 at 7 pm at City Hall  for the purpose of hearing and</v>
      </c>
      <c r="B6" s="845"/>
      <c r="C6" s="845"/>
      <c r="D6" s="845"/>
      <c r="E6" s="845"/>
      <c r="F6" s="845"/>
      <c r="G6" s="845"/>
      <c r="H6" s="845"/>
    </row>
    <row r="7" spans="1:8">
      <c r="A7" s="842" t="s">
        <v>630</v>
      </c>
      <c r="B7" s="842"/>
      <c r="C7" s="842"/>
      <c r="D7" s="842"/>
      <c r="E7" s="842"/>
      <c r="F7" s="842"/>
      <c r="G7" s="842"/>
      <c r="H7" s="842"/>
    </row>
    <row r="8" spans="1:8">
      <c r="A8" s="842" t="str">
        <f>CONCATENATE("Detailed budget information is available at ",inputBudSum!B14," and will be available at this hearing.")</f>
        <v>Detailed budget information is available at City Hall and will be available at this hearing.</v>
      </c>
      <c r="B8" s="842"/>
      <c r="C8" s="842"/>
      <c r="D8" s="842"/>
      <c r="E8" s="842"/>
      <c r="F8" s="842"/>
      <c r="G8" s="842"/>
      <c r="H8" s="842"/>
    </row>
    <row r="9" spans="1:8">
      <c r="A9" s="17" t="s">
        <v>222</v>
      </c>
      <c r="B9" s="10"/>
      <c r="C9" s="10"/>
      <c r="D9" s="10"/>
      <c r="E9" s="10"/>
      <c r="F9" s="10"/>
      <c r="G9" s="10"/>
      <c r="H9" s="10"/>
    </row>
    <row r="10" spans="1:8">
      <c r="A10" s="18" t="str">
        <f>CONCATENATE("Proposed Budget ",H1," Expenditures and Amount of ",D13," Ad Valorem Tax establish the maximum limits of the ",H1," budget.")</f>
        <v>Proposed Budget 2014 Expenditures and Amount of Current Year Estimate for 2013 Ad Valorem Tax establish the maximum limits of the 2014 budget.</v>
      </c>
      <c r="B10" s="19"/>
      <c r="C10" s="19"/>
      <c r="D10" s="19"/>
      <c r="E10" s="19"/>
      <c r="F10" s="19"/>
      <c r="G10" s="19"/>
      <c r="H10" s="19"/>
    </row>
    <row r="11" spans="1:8">
      <c r="A11" s="9" t="s">
        <v>291</v>
      </c>
      <c r="B11" s="10"/>
      <c r="C11" s="10"/>
      <c r="D11" s="10"/>
      <c r="E11" s="10"/>
      <c r="F11" s="10"/>
      <c r="G11" s="10"/>
      <c r="H11" s="10"/>
    </row>
    <row r="12" spans="1:8">
      <c r="A12" s="7"/>
      <c r="B12" s="20"/>
      <c r="C12" s="20"/>
      <c r="D12" s="20"/>
      <c r="E12" s="20"/>
      <c r="F12" s="20"/>
      <c r="G12" s="20"/>
      <c r="H12" s="20"/>
    </row>
    <row r="13" spans="1:8">
      <c r="A13" s="7"/>
      <c r="B13" s="719" t="str">
        <f>CONCATENATE("Prior Year Actual for ",H1-2,"")</f>
        <v>Prior Year Actual for 2012</v>
      </c>
      <c r="C13" s="171"/>
      <c r="D13" s="719" t="str">
        <f>CONCATENATE("Current Year Estimate for ",H1-1,"")</f>
        <v>Current Year Estimate for 2013</v>
      </c>
      <c r="E13" s="171"/>
      <c r="F13" s="720" t="str">
        <f>CONCATENATE("Proposed Budget for ",H1,"")</f>
        <v>Proposed Budget for 2014</v>
      </c>
      <c r="G13" s="721"/>
      <c r="H13" s="171"/>
    </row>
    <row r="14" spans="1:8" ht="22.5" customHeight="1">
      <c r="A14" s="7"/>
      <c r="B14" s="11"/>
      <c r="C14" s="11" t="s">
        <v>179</v>
      </c>
      <c r="D14" s="11"/>
      <c r="E14" s="11" t="s">
        <v>179</v>
      </c>
      <c r="F14" s="11" t="s">
        <v>51</v>
      </c>
      <c r="G14" s="27" t="str">
        <f>CONCATENATE("Amount of ",H1-1,"")</f>
        <v>Amount of 2013</v>
      </c>
      <c r="H14" s="11" t="s">
        <v>7</v>
      </c>
    </row>
    <row r="15" spans="1:8" ht="17.25" customHeight="1">
      <c r="A15" s="21" t="s">
        <v>183</v>
      </c>
      <c r="B15" s="12" t="s">
        <v>147</v>
      </c>
      <c r="C15" s="12" t="s">
        <v>184</v>
      </c>
      <c r="D15" s="12" t="s">
        <v>5</v>
      </c>
      <c r="E15" s="12" t="s">
        <v>184</v>
      </c>
      <c r="F15" s="12" t="s">
        <v>660</v>
      </c>
      <c r="G15" s="16" t="s">
        <v>166</v>
      </c>
      <c r="H15" s="12" t="s">
        <v>184</v>
      </c>
    </row>
    <row r="16" spans="1:8">
      <c r="A16" s="85" t="s">
        <v>131</v>
      </c>
      <c r="B16" s="221">
        <f>IF((general!$C$61)&lt;&gt;0,general!$C$61,"  ")</f>
        <v>29709.7</v>
      </c>
      <c r="C16" s="722">
        <f>IF(inputPrYr!D47&gt;0,inputPrYr!D47,"  ")</f>
        <v>13.967000000000001</v>
      </c>
      <c r="D16" s="221">
        <f>IF((general!$D$61)&lt;&gt;0,general!$D$61,"  ")</f>
        <v>44800</v>
      </c>
      <c r="E16" s="722">
        <f>IF(inputOth!D21&gt;0,inputOth!D21,"  ")</f>
        <v>13.746</v>
      </c>
      <c r="F16" s="221">
        <f>IF((general!$E$61)&lt;&gt;0,general!$E$61,"  ")</f>
        <v>53075</v>
      </c>
      <c r="G16" s="221">
        <f>IF((general!$E$68)&lt;&gt;0,(general!$E$68),"  ")</f>
        <v>7232.0199999999895</v>
      </c>
      <c r="H16" s="722">
        <f>IF((general!E68&gt;0),ROUND(G16/$F$35*1000,3),"  ")</f>
        <v>13.044</v>
      </c>
    </row>
    <row r="17" spans="1:13">
      <c r="A17" s="85" t="s">
        <v>108</v>
      </c>
      <c r="B17" s="221">
        <f>IF(('DebtSvs-Library'!$C$33)&lt;&gt;0,('DebtSvs-Library'!$C$33),"  ")</f>
        <v>6458</v>
      </c>
      <c r="C17" s="722" t="str">
        <f>IF(inputPrYr!D48&gt;0,inputPrYr!D48,"  ")</f>
        <v xml:space="preserve">  </v>
      </c>
      <c r="D17" s="221">
        <f>IF(('DebtSvs-Library'!$D$33)&lt;&gt;0,('DebtSvs-Library'!$D$33),"  ")</f>
        <v>6235</v>
      </c>
      <c r="E17" s="722" t="str">
        <f>IF(inputOth!D22&gt;0,inputOth!D22,"  ")</f>
        <v xml:space="preserve">  </v>
      </c>
      <c r="F17" s="221">
        <f>IF(('DebtSvs-Library'!$E$33)&lt;&gt;0,('DebtSvs-Library'!$E$33),"  ")</f>
        <v>6005</v>
      </c>
      <c r="G17" s="221" t="str">
        <f>IF(('DebtSvs-Library'!$E$40)&lt;&gt;0,('DebtSvs-Library'!$E$40),"  ")</f>
        <v xml:space="preserve">  </v>
      </c>
      <c r="H17" s="722" t="str">
        <f>IF(('DebtSvs-Library'!E40&gt;0),ROUND(G17/$F$35*1000,3),"  ")</f>
        <v xml:space="preserve">  </v>
      </c>
    </row>
    <row r="18" spans="1:13">
      <c r="A18" s="108" t="str">
        <f>IF((inputPrYr!$B19&gt;"  "),(inputPrYr!$B19),"  ")</f>
        <v>Library</v>
      </c>
      <c r="B18" s="221" t="str">
        <f>IF(('DebtSvs-Library'!$C$73)&lt;&gt;0,('DebtSvs-Library'!$C$73),"  ")</f>
        <v xml:space="preserve">  </v>
      </c>
      <c r="C18" s="722" t="str">
        <f>IF(inputPrYr!D49&gt;0,inputPrYr!D49,"  ")</f>
        <v xml:space="preserve">  </v>
      </c>
      <c r="D18" s="221" t="str">
        <f>IF(('DebtSvs-Library'!$D$73)&lt;&gt;0,('DebtSvs-Library'!$D$73),"  ")</f>
        <v xml:space="preserve">  </v>
      </c>
      <c r="E18" s="722" t="str">
        <f>IF(inputOth!D23&gt;0,inputOth!D23,"  ")</f>
        <v xml:space="preserve">  </v>
      </c>
      <c r="F18" s="221" t="str">
        <f>IF(('DebtSvs-Library'!$E$73)&lt;&gt;0,('DebtSvs-Library'!$E$73),"  ")</f>
        <v xml:space="preserve">  </v>
      </c>
      <c r="G18" s="221" t="str">
        <f>IF(('DebtSvs-Library'!$E$80)&lt;&gt;0,('DebtSvs-Library'!$E$80),"  ")</f>
        <v xml:space="preserve">  </v>
      </c>
      <c r="H18" s="722" t="str">
        <f>IF(('DebtSvs-Library'!E80&gt;0),ROUND(G18/$F$35*1000,3),"")</f>
        <v/>
      </c>
    </row>
    <row r="19" spans="1:13">
      <c r="A19" s="108" t="str">
        <f>IF((inputPrYr!$B21&gt;"  "),(inputPrYr!$B21),"  ")</f>
        <v xml:space="preserve">  </v>
      </c>
      <c r="B19" s="221" t="str">
        <f>IF(('levy page9'!$C$33)&lt;&gt;0,('levy page9'!$C$33),"  ")</f>
        <v xml:space="preserve">  </v>
      </c>
      <c r="C19" s="722" t="str">
        <f>IF(inputPrYr!D50&gt;0,inputPrYr!D50,"  ")</f>
        <v xml:space="preserve">  </v>
      </c>
      <c r="D19" s="221" t="str">
        <f>IF(('levy page9'!$D$33)&lt;&gt;0,('levy page9'!$D$33),"  ")</f>
        <v xml:space="preserve">  </v>
      </c>
      <c r="E19" s="722" t="str">
        <f>IF(inputOth!D24&gt;0,inputOth!D24,"  ")</f>
        <v xml:space="preserve">  </v>
      </c>
      <c r="F19" s="221" t="str">
        <f>IF(('levy page9'!$E$33)&lt;&gt;0,('levy page9'!$E$33),"  ")</f>
        <v xml:space="preserve">  </v>
      </c>
      <c r="G19" s="221" t="str">
        <f>IF(('levy page9'!$E$40)&lt;&gt;0,('levy page9'!$E$40),"  ")</f>
        <v xml:space="preserve">  </v>
      </c>
      <c r="H19" s="722" t="str">
        <f>IF('levy page9'!E40&gt;0,ROUND(G19/$F$35*1000,3),"  ")</f>
        <v xml:space="preserve">  </v>
      </c>
    </row>
    <row r="20" spans="1:13">
      <c r="A20" s="108" t="str">
        <f>IF((inputPrYr!$B22&gt;"  "),(inputPrYr!$B22),"  ")</f>
        <v>Water Bond and Interest</v>
      </c>
      <c r="B20" s="221">
        <f>IF(('levy page9'!$C$73)&lt;&gt;0,('levy page9'!$C$73),"  ")</f>
        <v>13611</v>
      </c>
      <c r="C20" s="722" t="str">
        <f>IF(inputPrYr!D51&gt;0,inputPrYr!D51,"  ")</f>
        <v xml:space="preserve">  </v>
      </c>
      <c r="D20" s="221">
        <f>IF(('levy page9'!$D$73)&lt;&gt;0,('levy page9'!$D$73),"  ")</f>
        <v>13611</v>
      </c>
      <c r="E20" s="722" t="str">
        <f>IF(inputOth!D25&gt;0,inputOth!D25,"  ")</f>
        <v xml:space="preserve">  </v>
      </c>
      <c r="F20" s="221">
        <f>IF(('levy page9'!$E$73)&lt;&gt;0,('levy page9'!$E$73),"  ")</f>
        <v>13612</v>
      </c>
      <c r="G20" s="221" t="str">
        <f>IF(('levy page9'!$E$80)&lt;&gt;0,('levy page9'!$E$80),"  ")</f>
        <v xml:space="preserve">  </v>
      </c>
      <c r="H20" s="722" t="str">
        <f>IF('levy page9'!E80&gt;0,ROUND(G20/$F$35*1000,3),"  ")</f>
        <v xml:space="preserve">  </v>
      </c>
      <c r="J20" s="833" t="str">
        <f>CONCATENATE("Estimated Value Of One Mill For ",H1,"")</f>
        <v>Estimated Value Of One Mill For 2014</v>
      </c>
      <c r="K20" s="836"/>
      <c r="L20" s="836"/>
      <c r="M20" s="837"/>
    </row>
    <row r="21" spans="1:13">
      <c r="A21" s="108" t="str">
        <f>IF((inputPrYr!$B23&gt;"  "),(inputPrYr!$B23),"  ")</f>
        <v xml:space="preserve">  </v>
      </c>
      <c r="B21" s="221" t="str">
        <f>IF(('levy page10'!$C$33)&lt;&gt;0,('levy page10'!$C$33),"  ")</f>
        <v xml:space="preserve">  </v>
      </c>
      <c r="C21" s="722" t="str">
        <f>IF(inputPrYr!D52&gt;0,inputPrYr!D52,"  ")</f>
        <v xml:space="preserve">  </v>
      </c>
      <c r="D21" s="221" t="str">
        <f>IF(('levy page10'!$D$33)&lt;&gt;0,('levy page10'!$D$33),"  ")</f>
        <v xml:space="preserve">  </v>
      </c>
      <c r="E21" s="722" t="str">
        <f>IF(inputOth!D26&gt;0,inputOth!D26,"  ")</f>
        <v xml:space="preserve">  </v>
      </c>
      <c r="F21" s="221" t="str">
        <f>IF(('levy page10'!$E$33)&lt;&gt;0,('levy page10'!$E$33),"  ")</f>
        <v xml:space="preserve">  </v>
      </c>
      <c r="G21" s="221" t="str">
        <f>IF(('levy page10'!$E$40)&lt;&gt;0,('levy page10'!$E$40),"  ")</f>
        <v xml:space="preserve">  </v>
      </c>
      <c r="H21" s="722" t="str">
        <f>IF('levy page10'!E40&gt;0,ROUND(G21/$F$35*1000,3),"  ")</f>
        <v xml:space="preserve">  </v>
      </c>
      <c r="J21" s="505"/>
      <c r="K21" s="506"/>
      <c r="L21" s="506"/>
      <c r="M21" s="507"/>
    </row>
    <row r="22" spans="1:13">
      <c r="A22" s="108" t="str">
        <f>IF((inputPrYr!$B24&gt;"  "),(inputPrYr!$B24),"  ")</f>
        <v xml:space="preserve">  </v>
      </c>
      <c r="B22" s="221" t="str">
        <f>IF(('levy page10'!$C$73)&lt;&gt;0,('levy page10'!$C$73),"  ")</f>
        <v xml:space="preserve">  </v>
      </c>
      <c r="C22" s="722" t="str">
        <f>IF(inputPrYr!D53&gt;0,inputPrYr!D53,"  ")</f>
        <v xml:space="preserve">  </v>
      </c>
      <c r="D22" s="221" t="str">
        <f>IF(('levy page10'!$D$73)&lt;&gt;0,('levy page10'!$D$73),"  ")</f>
        <v xml:space="preserve">  </v>
      </c>
      <c r="E22" s="722" t="str">
        <f>IF(inputOth!D27&gt;0,inputOth!D27,"  ")</f>
        <v xml:space="preserve">  </v>
      </c>
      <c r="F22" s="221" t="str">
        <f>IF(('levy page10'!$E$73)&lt;&gt;0,('levy page10'!$E$73),"  ")</f>
        <v xml:space="preserve">  </v>
      </c>
      <c r="G22" s="221" t="str">
        <f>IF(('levy page10'!$E$80)&lt;&gt;0,('levy page10'!$E$80),"  ")</f>
        <v xml:space="preserve">  </v>
      </c>
      <c r="H22" s="722" t="str">
        <f>IF('levy page10'!E80&gt;0,ROUND(G22/$F$35*1000,3),"  ")</f>
        <v xml:space="preserve">  </v>
      </c>
      <c r="J22" s="508" t="s">
        <v>672</v>
      </c>
      <c r="K22" s="509"/>
      <c r="L22" s="509"/>
      <c r="M22" s="510">
        <f>ROUND(F35/1000,0)</f>
        <v>554</v>
      </c>
    </row>
    <row r="23" spans="1:13">
      <c r="A23" s="108" t="str">
        <f>IF((inputPrYr!$B28&gt;"  "),(inputPrYr!$B28),"  ")</f>
        <v>Special Highway</v>
      </c>
      <c r="B23" s="221">
        <f>IF((SpecHwy!$C$24)&lt;&gt;0,(SpecHwy!$C$24),"  ")</f>
        <v>3070</v>
      </c>
      <c r="C23" s="187"/>
      <c r="D23" s="221">
        <f>IF((SpecHwy!$D$24)&lt;&gt;0,(SpecHwy!$D$24),"  ")</f>
        <v>6289</v>
      </c>
      <c r="E23" s="187"/>
      <c r="F23" s="221">
        <f>IF((SpecHwy!$E$24)&lt;&gt;0,(SpecHwy!$E$24),"  ")</f>
        <v>7400</v>
      </c>
      <c r="G23" s="187"/>
      <c r="H23" s="187"/>
    </row>
    <row r="24" spans="1:13">
      <c r="A24" s="108" t="str">
        <f>IF((inputPrYr!$B29&gt;"  "),(inputPrYr!$B29),"  ")</f>
        <v>Water</v>
      </c>
      <c r="B24" s="221">
        <f>IF((SpecHwy!$C$60)&lt;&gt;0,(SpecHwy!$C$60),"  ")</f>
        <v>41611.5</v>
      </c>
      <c r="C24" s="187"/>
      <c r="D24" s="221">
        <f>IF((SpecHwy!$D$60)&lt;&gt;0,(SpecHwy!$D$60),"  ")</f>
        <v>52155</v>
      </c>
      <c r="E24" s="187"/>
      <c r="F24" s="221">
        <f>IF((SpecHwy!$E$60)&lt;&gt;0,(SpecHwy!$E$60),"  ")</f>
        <v>60930</v>
      </c>
      <c r="G24" s="187"/>
      <c r="H24" s="187"/>
      <c r="J24" s="833" t="str">
        <f>CONCATENATE("Want The Mill Rate The Same As For ",H1-1,"?")</f>
        <v>Want The Mill Rate The Same As For 2013?</v>
      </c>
      <c r="K24" s="838"/>
      <c r="L24" s="838"/>
      <c r="M24" s="839"/>
    </row>
    <row r="25" spans="1:13">
      <c r="A25" s="108" t="str">
        <f>IF((inputPrYr!$B30&gt;"  "),(inputPrYr!$B30),"  ")</f>
        <v>Sewer</v>
      </c>
      <c r="B25" s="221">
        <f>IF(('no levy page12'!$C$30) &lt;&gt;0,('no levy page12'!$C$30),"")</f>
        <v>18779</v>
      </c>
      <c r="C25" s="187"/>
      <c r="D25" s="221">
        <f>IF(('no levy page12'!$D$30) &lt;&gt;0,('no levy page12'!$D$30),"")</f>
        <v>20870</v>
      </c>
      <c r="E25" s="187"/>
      <c r="F25" s="221">
        <f>IF(('no levy page12'!$E$30) &lt;&gt;0,('no levy page12'!$E$30),"")</f>
        <v>21870</v>
      </c>
      <c r="G25" s="187"/>
      <c r="H25" s="187"/>
      <c r="J25" s="512"/>
      <c r="K25" s="506"/>
      <c r="L25" s="506"/>
      <c r="M25" s="513"/>
    </row>
    <row r="26" spans="1:13">
      <c r="A26" s="108" t="str">
        <f>IF((inputPrYr!$B31&gt;"  "),(inputPrYr!$B31),"  ")</f>
        <v>Park</v>
      </c>
      <c r="B26" s="221">
        <f>IF(('no levy page12'!$C$62) &lt;&gt;0,('no levy page12'!$C$62),"")</f>
        <v>15175</v>
      </c>
      <c r="C26" s="187"/>
      <c r="D26" s="221">
        <f>IF(('no levy page12'!$D$62) &lt;&gt;0,('no levy page12'!$D$62),"")</f>
        <v>12700</v>
      </c>
      <c r="E26" s="187"/>
      <c r="F26" s="221">
        <f>IF(('no levy page12'!$E$62) &lt;&gt;0,('no levy page12'!$E$62),"")</f>
        <v>3700</v>
      </c>
      <c r="G26" s="187"/>
      <c r="H26" s="187"/>
      <c r="J26" s="512" t="str">
        <f>CONCATENATE("",H1-1," Mill Rate Was:")</f>
        <v>2013 Mill Rate Was:</v>
      </c>
      <c r="K26" s="506"/>
      <c r="L26" s="506"/>
      <c r="M26" s="514">
        <f>E31</f>
        <v>13.746</v>
      </c>
    </row>
    <row r="27" spans="1:13">
      <c r="A27" s="108" t="str">
        <f>IF((inputPrYr!$B32&gt;"  "),(inputPrYr!$B32),"  ")</f>
        <v>Solid Waste</v>
      </c>
      <c r="B27" s="221">
        <f>IF(('no levy page13'!$C$30) &lt;&gt;0,('no levy page13'!$C$30),"")</f>
        <v>11108</v>
      </c>
      <c r="C27" s="187"/>
      <c r="D27" s="221">
        <f>IF(('no levy page13'!$D$30) &lt;&gt;0,('no levy page13'!$D$30),"")</f>
        <v>12125</v>
      </c>
      <c r="E27" s="187"/>
      <c r="F27" s="221">
        <f>IF(('no levy page13'!$E$30) &lt;&gt;0,('no levy page13'!$E$30),"")</f>
        <v>16350</v>
      </c>
      <c r="G27" s="187"/>
      <c r="H27" s="187"/>
      <c r="J27" s="515" t="str">
        <f>CONCATENATE("",H1," Tax Levy Fund Expenditures Must Be ")</f>
        <v xml:space="preserve">2014 Tax Levy Fund Expenditures Must Be </v>
      </c>
      <c r="K27" s="516"/>
      <c r="L27" s="516"/>
      <c r="M27" s="513"/>
    </row>
    <row r="28" spans="1:13">
      <c r="A28" s="108" t="str">
        <f>IF((inputPrYr!$B33&gt;"  "),(inputPrYr!$B33),"  ")</f>
        <v>Capital Improvements</v>
      </c>
      <c r="B28" s="221" t="str">
        <f>IF(('no levy page13'!$C$62) &lt;&gt;0,('no levy page13'!$C$62),"")</f>
        <v/>
      </c>
      <c r="C28" s="187"/>
      <c r="D28" s="221" t="str">
        <f>IF(('no levy page13'!$D$62) &lt;&gt;0,('no levy page13'!$D$62),"")</f>
        <v/>
      </c>
      <c r="E28" s="187"/>
      <c r="F28" s="221" t="str">
        <f>IF(('no levy page13'!$E$62) &lt;&gt;0,('no levy page13'!$E$62),"")</f>
        <v/>
      </c>
      <c r="G28" s="187"/>
      <c r="H28" s="187"/>
      <c r="J28" s="515" t="str">
        <f>IF(M35&lt;0,"Increased By:","")</f>
        <v>Increased By:</v>
      </c>
      <c r="K28" s="516"/>
      <c r="L28" s="516"/>
      <c r="M28" s="621">
        <f>IF(M35&lt;0,M35*-1,0)</f>
        <v>388.98000000001048</v>
      </c>
    </row>
    <row r="29" spans="1:13">
      <c r="A29" s="108" t="str">
        <f>IF((inputPrYr!$B35&gt;"  "),(inputPrYr!$B35),"  ")</f>
        <v xml:space="preserve">  </v>
      </c>
      <c r="B29" s="221" t="str">
        <f>IF((Sinnolevy14!$C$51) &lt;&gt;0,(Sinnolevy14!$C$51),"")</f>
        <v/>
      </c>
      <c r="C29" s="187"/>
      <c r="D29" s="221" t="str">
        <f>IF((Sinnolevy14!$D$51) &lt;&gt;0,(Sinnolevy14!$D$51),"")</f>
        <v/>
      </c>
      <c r="E29" s="187"/>
      <c r="F29" s="221" t="str">
        <f>IF((Sinnolevy14!$E$51) &lt;&gt;0,(Sinnolevy14!$E$51),"")</f>
        <v/>
      </c>
      <c r="G29" s="187"/>
      <c r="H29" s="187"/>
      <c r="J29" s="517" t="str">
        <f>IF(M35&gt;0,"Reduced By:","")</f>
        <v/>
      </c>
      <c r="K29" s="518"/>
      <c r="L29" s="518"/>
      <c r="M29" s="622">
        <f>IF(M35&gt;0,M35*-1,0)</f>
        <v>0</v>
      </c>
    </row>
    <row r="30" spans="1:13">
      <c r="A30" s="108" t="str">
        <f>IF((inputPrYr!$B38&gt;"  "),(nonbud!$A3),"  ")</f>
        <v xml:space="preserve">  </v>
      </c>
      <c r="B30" s="723" t="str">
        <f>IF((nonbud!$K$28)&lt;&gt;0,(nonbud!$K$28),"  ")</f>
        <v xml:space="preserve">  </v>
      </c>
      <c r="C30" s="219"/>
      <c r="D30" s="723"/>
      <c r="E30" s="219"/>
      <c r="F30" s="723"/>
      <c r="G30" s="219"/>
      <c r="H30" s="219"/>
      <c r="J30" s="519"/>
      <c r="K30" s="519"/>
      <c r="L30" s="519"/>
      <c r="M30" s="519"/>
    </row>
    <row r="31" spans="1:13">
      <c r="A31" s="5" t="s">
        <v>758</v>
      </c>
      <c r="B31" s="724">
        <f>SUM(B16:B30)</f>
        <v>139522.20000000001</v>
      </c>
      <c r="C31" s="725">
        <f>SUM(C16:C22)</f>
        <v>13.967000000000001</v>
      </c>
      <c r="D31" s="724">
        <f>SUM(D16:D30)</f>
        <v>168785</v>
      </c>
      <c r="E31" s="725">
        <f>SUM(E16:E22)</f>
        <v>13.746</v>
      </c>
      <c r="F31" s="724">
        <f>SUM(F16:F30)</f>
        <v>182942</v>
      </c>
      <c r="G31" s="724">
        <f>SUM(G16:G22)</f>
        <v>7232.0199999999895</v>
      </c>
      <c r="H31" s="725">
        <f>SUM(H16:H30)</f>
        <v>13.044</v>
      </c>
      <c r="J31" s="833" t="str">
        <f>CONCATENATE("Impact On Keeping The Same Mill Rate As For ",H1-1,"")</f>
        <v>Impact On Keeping The Same Mill Rate As For 2013</v>
      </c>
      <c r="K31" s="836"/>
      <c r="L31" s="836"/>
      <c r="M31" s="837"/>
    </row>
    <row r="32" spans="1:13">
      <c r="A32" s="8" t="s">
        <v>185</v>
      </c>
      <c r="B32" s="726">
        <f>Transfers!$C$15</f>
        <v>26400</v>
      </c>
      <c r="C32" s="727"/>
      <c r="D32" s="726">
        <f>Transfers!$D$15</f>
        <v>26400</v>
      </c>
      <c r="E32" s="728"/>
      <c r="F32" s="726">
        <f>Transfers!$E$15</f>
        <v>26400</v>
      </c>
      <c r="G32" s="645"/>
      <c r="H32" s="729"/>
      <c r="I32" s="464"/>
      <c r="J32" s="512"/>
      <c r="K32" s="506"/>
      <c r="L32" s="506"/>
      <c r="M32" s="513"/>
    </row>
    <row r="33" spans="1:13" ht="16.5" thickBot="1">
      <c r="A33" s="49" t="s">
        <v>186</v>
      </c>
      <c r="B33" s="730">
        <f>B31-B32</f>
        <v>113122.20000000001</v>
      </c>
      <c r="C33" s="64"/>
      <c r="D33" s="730">
        <f>D31-D32</f>
        <v>142385</v>
      </c>
      <c r="E33" s="64"/>
      <c r="F33" s="730">
        <f>F31-F32</f>
        <v>156542</v>
      </c>
      <c r="G33" s="64"/>
      <c r="H33" s="64"/>
      <c r="J33" s="512" t="str">
        <f>CONCATENATE("",H1," Ad Valorem Tax Revenue:")</f>
        <v>2014 Ad Valorem Tax Revenue:</v>
      </c>
      <c r="K33" s="506"/>
      <c r="L33" s="506"/>
      <c r="M33" s="507">
        <f>G31</f>
        <v>7232.0199999999895</v>
      </c>
    </row>
    <row r="34" spans="1:13" ht="16.5" thickTop="1">
      <c r="A34" s="8" t="s">
        <v>187</v>
      </c>
      <c r="B34" s="726">
        <f>inputPrYr!E56</f>
        <v>7572</v>
      </c>
      <c r="C34" s="731"/>
      <c r="D34" s="726">
        <f>inputPrYr!E25</f>
        <v>7596</v>
      </c>
      <c r="E34" s="732"/>
      <c r="F34" s="733" t="s">
        <v>153</v>
      </c>
      <c r="G34" s="734"/>
      <c r="H34" s="734"/>
      <c r="J34" s="512" t="str">
        <f>CONCATENATE("",H1-1," Ad Valorem Tax Revenue:")</f>
        <v>2013 Ad Valorem Tax Revenue:</v>
      </c>
      <c r="K34" s="506"/>
      <c r="L34" s="506"/>
      <c r="M34" s="520">
        <f>ROUND(F35*M26/1000,0)</f>
        <v>7621</v>
      </c>
    </row>
    <row r="35" spans="1:13">
      <c r="A35" s="8" t="s">
        <v>188</v>
      </c>
      <c r="B35" s="221">
        <f>inputPrYr!E57</f>
        <v>542150</v>
      </c>
      <c r="C35" s="243"/>
      <c r="D35" s="221">
        <f>inputOth!E30</f>
        <v>552605</v>
      </c>
      <c r="E35" s="220"/>
      <c r="F35" s="221">
        <f>inputOth!E7</f>
        <v>554438</v>
      </c>
      <c r="G35" s="734"/>
      <c r="H35" s="734"/>
      <c r="J35" s="517" t="s">
        <v>674</v>
      </c>
      <c r="K35" s="518"/>
      <c r="L35" s="518"/>
      <c r="M35" s="510">
        <f>M33-M34</f>
        <v>-388.98000000001048</v>
      </c>
    </row>
    <row r="36" spans="1:13">
      <c r="A36" s="588"/>
      <c r="B36" s="645"/>
      <c r="C36" s="644"/>
      <c r="D36" s="645"/>
      <c r="E36" s="644"/>
      <c r="F36" s="342"/>
      <c r="G36" s="644"/>
      <c r="H36" s="735"/>
      <c r="I36" s="503"/>
      <c r="J36" s="511"/>
      <c r="K36" s="511"/>
      <c r="L36" s="511"/>
      <c r="M36" s="519"/>
    </row>
    <row r="37" spans="1:13">
      <c r="A37" s="8" t="s">
        <v>189</v>
      </c>
      <c r="B37" s="645"/>
      <c r="C37" s="644"/>
      <c r="D37" s="645"/>
      <c r="E37" s="644"/>
      <c r="F37" s="645"/>
      <c r="G37" s="734"/>
      <c r="H37" s="734"/>
      <c r="J37" s="833" t="s">
        <v>734</v>
      </c>
      <c r="K37" s="834"/>
      <c r="L37" s="834"/>
      <c r="M37" s="835"/>
    </row>
    <row r="38" spans="1:13">
      <c r="A38" s="8" t="s">
        <v>190</v>
      </c>
      <c r="B38" s="736">
        <f>$H$1-3</f>
        <v>2011</v>
      </c>
      <c r="C38" s="64"/>
      <c r="D38" s="736">
        <f>$H$1-2</f>
        <v>2012</v>
      </c>
      <c r="E38" s="64"/>
      <c r="F38" s="736">
        <f>$H$1-1</f>
        <v>2013</v>
      </c>
      <c r="G38" s="64"/>
      <c r="H38" s="64"/>
      <c r="J38" s="512"/>
      <c r="K38" s="506"/>
      <c r="L38" s="506"/>
      <c r="M38" s="513"/>
    </row>
    <row r="39" spans="1:13">
      <c r="A39" s="8" t="s">
        <v>191</v>
      </c>
      <c r="B39" s="221">
        <f>inputPrYr!D60</f>
        <v>285090</v>
      </c>
      <c r="C39" s="64"/>
      <c r="D39" s="221">
        <f>inputPrYr!E60</f>
        <v>279983</v>
      </c>
      <c r="E39" s="64"/>
      <c r="F39" s="221">
        <f>debt!G15</f>
        <v>272308</v>
      </c>
      <c r="G39" s="64"/>
      <c r="H39" s="64"/>
      <c r="J39" s="512" t="str">
        <f>CONCATENATE("Current ",H1," Estimated Mill Rate:")</f>
        <v>Current 2014 Estimated Mill Rate:</v>
      </c>
      <c r="K39" s="506"/>
      <c r="L39" s="506"/>
      <c r="M39" s="514">
        <f>H31</f>
        <v>13.044</v>
      </c>
    </row>
    <row r="40" spans="1:13">
      <c r="A40" s="8" t="s">
        <v>192</v>
      </c>
      <c r="B40" s="221">
        <f>inputPrYr!D61</f>
        <v>0</v>
      </c>
      <c r="C40" s="64"/>
      <c r="D40" s="221">
        <f>inputPrYr!E61</f>
        <v>0</v>
      </c>
      <c r="E40" s="64"/>
      <c r="F40" s="221">
        <f>debt!G22</f>
        <v>0</v>
      </c>
      <c r="G40" s="64"/>
      <c r="H40" s="64"/>
      <c r="J40" s="512" t="str">
        <f>CONCATENATE("Desired ",H1," Mill Rate:")</f>
        <v>Desired 2014 Mill Rate:</v>
      </c>
      <c r="K40" s="506"/>
      <c r="L40" s="506"/>
      <c r="M40" s="504">
        <v>0</v>
      </c>
    </row>
    <row r="41" spans="1:13">
      <c r="A41" s="24" t="s">
        <v>211</v>
      </c>
      <c r="B41" s="221">
        <f>inputPrYr!D62</f>
        <v>0</v>
      </c>
      <c r="C41" s="64"/>
      <c r="D41" s="221">
        <f>inputPrYr!E62</f>
        <v>0</v>
      </c>
      <c r="E41" s="64"/>
      <c r="F41" s="737">
        <f>debt!G30</f>
        <v>0</v>
      </c>
      <c r="G41" s="64"/>
      <c r="H41" s="64"/>
      <c r="J41" s="512" t="str">
        <f>CONCATENATE("",H1," Ad Valorem Tax:")</f>
        <v>2014 Ad Valorem Tax:</v>
      </c>
      <c r="K41" s="506"/>
      <c r="L41" s="506"/>
      <c r="M41" s="520">
        <f>ROUND(F35*M40/1000,0)</f>
        <v>0</v>
      </c>
    </row>
    <row r="42" spans="1:13">
      <c r="A42" s="8" t="s">
        <v>292</v>
      </c>
      <c r="B42" s="221">
        <f>inputPrYr!D63</f>
        <v>0</v>
      </c>
      <c r="C42" s="64"/>
      <c r="D42" s="221">
        <f>inputPrYr!E63</f>
        <v>0</v>
      </c>
      <c r="E42" s="64"/>
      <c r="F42" s="221">
        <f>lpform!G20</f>
        <v>0</v>
      </c>
      <c r="G42" s="64"/>
      <c r="H42" s="64"/>
      <c r="J42" s="517" t="str">
        <f>CONCATENATE("",H1," Tax Levy Fund Exp. Changed By:")</f>
        <v>2014 Tax Levy Fund Exp. Changed By:</v>
      </c>
      <c r="K42" s="518"/>
      <c r="L42" s="518"/>
      <c r="M42" s="510">
        <f>IF(M40=0,0,(M41-G31))</f>
        <v>0</v>
      </c>
    </row>
    <row r="43" spans="1:13" ht="16.5" thickBot="1">
      <c r="A43" s="8" t="s">
        <v>193</v>
      </c>
      <c r="B43" s="730">
        <f>SUM(B39:B42)</f>
        <v>285090</v>
      </c>
      <c r="C43" s="64"/>
      <c r="D43" s="730">
        <f>SUM(D39:D42)</f>
        <v>279983</v>
      </c>
      <c r="E43" s="64"/>
      <c r="F43" s="730">
        <f>SUM(F39:F42)</f>
        <v>272308</v>
      </c>
      <c r="G43" s="64"/>
      <c r="H43" s="64"/>
    </row>
    <row r="44" spans="1:13" ht="16.5" thickTop="1">
      <c r="A44" s="8" t="s">
        <v>194</v>
      </c>
      <c r="B44" s="7"/>
      <c r="C44" s="7"/>
      <c r="D44" s="7"/>
      <c r="E44" s="7"/>
      <c r="F44" s="7"/>
      <c r="G44" s="7"/>
      <c r="H44" s="7"/>
    </row>
    <row r="45" spans="1:13">
      <c r="A45" s="7"/>
      <c r="B45" s="7"/>
      <c r="C45" s="7"/>
      <c r="D45" s="7"/>
      <c r="E45" s="7"/>
      <c r="F45" s="7"/>
      <c r="G45" s="7"/>
      <c r="H45" s="7"/>
    </row>
    <row r="46" spans="1:13">
      <c r="A46" s="7"/>
      <c r="B46" s="7"/>
      <c r="C46" s="7"/>
      <c r="D46" s="7"/>
      <c r="E46" s="7"/>
      <c r="F46" s="7"/>
      <c r="G46" s="7"/>
      <c r="H46" s="7"/>
    </row>
    <row r="47" spans="1:13">
      <c r="A47" s="840" t="str">
        <f>inputBudSum!B3</f>
        <v>Dawn Duryea</v>
      </c>
      <c r="B47" s="841"/>
      <c r="C47" s="491"/>
      <c r="D47" s="7"/>
      <c r="E47" s="7"/>
      <c r="F47" s="7"/>
      <c r="G47" s="7"/>
      <c r="H47" s="7"/>
    </row>
    <row r="48" spans="1:13">
      <c r="A48" s="69" t="str">
        <f>CONCATENATE("City Official Title: ",inputBudSum!B5,"")</f>
        <v>City Official Title: City Clerk</v>
      </c>
      <c r="B48" s="490"/>
      <c r="C48" s="489"/>
      <c r="D48" s="7"/>
      <c r="E48" s="7"/>
      <c r="F48" s="7"/>
      <c r="G48" s="7"/>
      <c r="H48" s="7"/>
    </row>
    <row r="49" spans="1:13">
      <c r="A49" s="14"/>
      <c r="B49" s="35"/>
      <c r="C49" s="36"/>
      <c r="D49" s="7"/>
      <c r="E49" s="7"/>
      <c r="F49" s="7"/>
      <c r="G49" s="7"/>
      <c r="H49" s="7"/>
    </row>
    <row r="50" spans="1:13">
      <c r="A50" s="7"/>
      <c r="B50" s="7"/>
      <c r="C50" s="7"/>
      <c r="D50" s="7"/>
      <c r="E50" s="7"/>
      <c r="F50" s="7"/>
      <c r="G50" s="7"/>
      <c r="H50" s="7"/>
    </row>
    <row r="51" spans="1:13">
      <c r="A51" s="7"/>
      <c r="B51" s="7"/>
      <c r="C51" s="210" t="s">
        <v>195</v>
      </c>
      <c r="D51" s="297">
        <v>13</v>
      </c>
      <c r="E51" s="7"/>
      <c r="F51" s="7"/>
      <c r="G51" s="7"/>
      <c r="H51" s="7"/>
    </row>
    <row r="52" spans="1:13">
      <c r="A52" s="1"/>
      <c r="B52" s="1"/>
      <c r="C52" s="1"/>
      <c r="D52" s="1"/>
      <c r="E52" s="1"/>
      <c r="F52" s="1"/>
      <c r="G52" s="1"/>
      <c r="H52" s="1"/>
    </row>
    <row r="53" spans="1:13">
      <c r="I53" s="1"/>
      <c r="J53" s="1"/>
      <c r="K53" s="1"/>
      <c r="L53" s="1"/>
      <c r="M53" s="1"/>
    </row>
    <row r="57" spans="1:13">
      <c r="K57" s="702"/>
    </row>
    <row r="92" spans="1:9">
      <c r="A92" s="1"/>
      <c r="B92" s="1"/>
      <c r="C92" s="1"/>
      <c r="D92" s="1"/>
      <c r="E92" s="1"/>
      <c r="F92" s="1"/>
      <c r="G92" s="1"/>
      <c r="H92" s="1"/>
    </row>
    <row r="93" spans="1:9">
      <c r="I93" s="1"/>
    </row>
    <row r="103" spans="1:8">
      <c r="A103" s="1"/>
      <c r="B103" s="1"/>
      <c r="C103" s="1"/>
      <c r="D103" s="1"/>
      <c r="E103" s="1"/>
      <c r="F103" s="1"/>
      <c r="G103" s="1"/>
      <c r="H103" s="1"/>
    </row>
    <row r="125" spans="1:15">
      <c r="A125" s="1"/>
      <c r="B125" s="1"/>
      <c r="C125" s="1"/>
      <c r="D125" s="1"/>
      <c r="E125" s="1"/>
      <c r="F125" s="1"/>
      <c r="G125" s="1"/>
      <c r="H125" s="1"/>
      <c r="I125" s="1"/>
      <c r="J125" s="1"/>
      <c r="K125" s="1"/>
      <c r="L125" s="1"/>
      <c r="M125" s="1"/>
      <c r="N125" s="1"/>
      <c r="O125" s="1"/>
    </row>
    <row r="169" spans="1:17">
      <c r="A169" s="1"/>
      <c r="B169" s="1"/>
      <c r="C169" s="1"/>
      <c r="D169" s="1"/>
      <c r="E169" s="1"/>
      <c r="F169" s="1"/>
      <c r="G169" s="1"/>
      <c r="H169" s="1"/>
      <c r="I169" s="1"/>
      <c r="J169" s="1"/>
      <c r="K169" s="1"/>
      <c r="L169" s="1"/>
      <c r="M169" s="1"/>
      <c r="N169" s="1"/>
      <c r="O169" s="1"/>
      <c r="P169" s="1"/>
      <c r="Q169" s="1"/>
    </row>
  </sheetData>
  <sheetProtection sheet="1"/>
  <mergeCells count="11">
    <mergeCell ref="A7:H7"/>
    <mergeCell ref="A8:H8"/>
    <mergeCell ref="A2:H2"/>
    <mergeCell ref="A4:H4"/>
    <mergeCell ref="A5:H5"/>
    <mergeCell ref="A6:H6"/>
    <mergeCell ref="J37:M37"/>
    <mergeCell ref="J20:M20"/>
    <mergeCell ref="J31:M31"/>
    <mergeCell ref="J24:M24"/>
    <mergeCell ref="A47:B47"/>
  </mergeCells>
  <phoneticPr fontId="0" type="noConversion"/>
  <pageMargins left="0.5" right="0.5" top="1" bottom="0.5" header="0.5" footer="0.5"/>
  <pageSetup scale="71" orientation="portrait" blackAndWhite="1" r:id="rId1"/>
  <headerFooter alignWithMargins="0">
    <oddHeader xml:space="preserve">&amp;RState of Kansas
City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topLeftCell="A12" workbookViewId="0">
      <selection activeCell="F24" sqref="F24"/>
    </sheetView>
  </sheetViews>
  <sheetFormatPr defaultRowHeight="15"/>
  <cols>
    <col min="1" max="1" width="12.6640625" customWidth="1"/>
    <col min="2" max="2" width="18.109375" customWidth="1"/>
    <col min="3" max="5" width="11.77734375" customWidth="1"/>
  </cols>
  <sheetData>
    <row r="1" spans="1:6" ht="15.75">
      <c r="A1" s="42" t="str">
        <f>inputPrYr!D2</f>
        <v>City of Circleville</v>
      </c>
      <c r="B1" s="4"/>
      <c r="C1" s="4"/>
      <c r="D1" s="4"/>
      <c r="E1" s="4"/>
      <c r="F1" s="4">
        <f>inputPrYr!C5</f>
        <v>2014</v>
      </c>
    </row>
    <row r="2" spans="1:6" ht="15.75">
      <c r="A2" s="42"/>
      <c r="B2" s="4"/>
      <c r="C2" s="4"/>
      <c r="D2" s="4"/>
      <c r="E2" s="4"/>
      <c r="F2" s="4"/>
    </row>
    <row r="3" spans="1:6" ht="15.75">
      <c r="A3" s="4"/>
      <c r="B3" s="4"/>
      <c r="C3" s="4"/>
      <c r="D3" s="4"/>
      <c r="E3" s="4"/>
      <c r="F3" s="4"/>
    </row>
    <row r="4" spans="1:6" ht="15.75">
      <c r="A4" s="7"/>
      <c r="B4" s="846" t="str">
        <f>CONCATENATE("",F1," Neighborhood Revitalization Rebate")</f>
        <v>2014 Neighborhood Revitalization Rebate</v>
      </c>
      <c r="C4" s="847"/>
      <c r="D4" s="847"/>
      <c r="E4" s="848"/>
      <c r="F4" s="4"/>
    </row>
    <row r="5" spans="1:6" ht="15.75">
      <c r="A5" s="7"/>
      <c r="B5" s="7"/>
      <c r="C5" s="7"/>
      <c r="D5" s="7"/>
      <c r="E5" s="7"/>
      <c r="F5" s="4"/>
    </row>
    <row r="6" spans="1:6" ht="51.75" customHeight="1">
      <c r="A6" s="7"/>
      <c r="B6" s="400" t="str">
        <f>CONCATENATE("Budgeted Funds                      for ",F1,"")</f>
        <v>Budgeted Funds                      for 2014</v>
      </c>
      <c r="C6" s="400" t="str">
        <f>CONCATENATE("",F1-1," Ad Valorem before Rebate**")</f>
        <v>2013 Ad Valorem before Rebate**</v>
      </c>
      <c r="D6" s="401" t="str">
        <f>CONCATENATE("",F1-1," Mil Rate before Rebate")</f>
        <v>2013 Mil Rate before Rebate</v>
      </c>
      <c r="E6" s="402" t="str">
        <f>CONCATENATE("Estimate ",F1," NR Rebate")</f>
        <v>Estimate 2014 NR Rebate</v>
      </c>
      <c r="F6" s="4"/>
    </row>
    <row r="7" spans="1:6" ht="15.75">
      <c r="A7" s="7"/>
      <c r="B7" s="5" t="s">
        <v>131</v>
      </c>
      <c r="C7" s="48"/>
      <c r="D7" s="39" t="str">
        <f t="shared" ref="D7:D12" si="0">IF(C7&gt;0,C7/$D$19,"")</f>
        <v/>
      </c>
      <c r="E7" s="28" t="str">
        <f t="shared" ref="E7:E12" si="1">IF(C7&gt;0,ROUND(D7*$D$23,0),"")</f>
        <v/>
      </c>
      <c r="F7" s="4"/>
    </row>
    <row r="8" spans="1:6" ht="15.75">
      <c r="A8" s="7"/>
      <c r="B8" s="5" t="str">
        <f>inputPrYr!B18</f>
        <v>Debt Service</v>
      </c>
      <c r="C8" s="48"/>
      <c r="D8" s="39" t="str">
        <f t="shared" si="0"/>
        <v/>
      </c>
      <c r="E8" s="28" t="str">
        <f t="shared" si="1"/>
        <v/>
      </c>
      <c r="F8" s="4"/>
    </row>
    <row r="9" spans="1:6" ht="15.75">
      <c r="A9" s="7"/>
      <c r="B9" s="6" t="str">
        <f>IF((inputPrYr!$B19&gt;"  "),(inputPrYr!$B19),"  ")</f>
        <v>Library</v>
      </c>
      <c r="C9" s="48"/>
      <c r="D9" s="39" t="str">
        <f t="shared" si="0"/>
        <v/>
      </c>
      <c r="E9" s="28" t="str">
        <f t="shared" si="1"/>
        <v/>
      </c>
      <c r="F9" s="4"/>
    </row>
    <row r="10" spans="1:6" ht="15.75">
      <c r="A10" s="7"/>
      <c r="B10" s="6" t="str">
        <f>IF((inputPrYr!$B21&gt;"  "),(inputPrYr!$B21),"  ")</f>
        <v xml:space="preserve">  </v>
      </c>
      <c r="C10" s="48"/>
      <c r="D10" s="39" t="str">
        <f t="shared" si="0"/>
        <v/>
      </c>
      <c r="E10" s="28" t="str">
        <f t="shared" si="1"/>
        <v/>
      </c>
      <c r="F10" s="4"/>
    </row>
    <row r="11" spans="1:6" ht="15.75">
      <c r="A11" s="7"/>
      <c r="B11" s="6" t="str">
        <f>IF((inputPrYr!$B22&gt;"  "),(inputPrYr!$B22),"  ")</f>
        <v>Water Bond and Interest</v>
      </c>
      <c r="C11" s="48"/>
      <c r="D11" s="39" t="str">
        <f t="shared" si="0"/>
        <v/>
      </c>
      <c r="E11" s="28" t="str">
        <f t="shared" si="1"/>
        <v/>
      </c>
      <c r="F11" s="4"/>
    </row>
    <row r="12" spans="1:6" ht="15.75">
      <c r="A12" s="7"/>
      <c r="B12" s="6" t="str">
        <f>IF((inputPrYr!$B23&gt;"  "),(inputPrYr!$B23),"  ")</f>
        <v xml:space="preserve">  </v>
      </c>
      <c r="C12" s="48"/>
      <c r="D12" s="39" t="str">
        <f t="shared" si="0"/>
        <v/>
      </c>
      <c r="E12" s="28" t="str">
        <f t="shared" si="1"/>
        <v/>
      </c>
      <c r="F12" s="4"/>
    </row>
    <row r="13" spans="1:6" ht="15.75">
      <c r="A13" s="7"/>
      <c r="B13" s="6" t="str">
        <f>IF((inputPrYr!$B24&gt;"  "),(inputPrYr!$B24),"  ")</f>
        <v xml:space="preserve">  </v>
      </c>
      <c r="C13" s="416"/>
      <c r="D13" s="39" t="str">
        <f>IF(C13&gt;0,C13/$D$19,"")</f>
        <v/>
      </c>
      <c r="E13" s="28" t="str">
        <f>IF(C13&gt;0,ROUND(D13*$D$23,0),"")</f>
        <v/>
      </c>
      <c r="F13" s="4"/>
    </row>
    <row r="14" spans="1:6" ht="16.5" thickBot="1">
      <c r="A14" s="7"/>
      <c r="B14" s="13" t="s">
        <v>159</v>
      </c>
      <c r="C14" s="29">
        <f>SUM(C7:C13)</f>
        <v>0</v>
      </c>
      <c r="D14" s="40">
        <f>SUM(D7:D13)</f>
        <v>0</v>
      </c>
      <c r="E14" s="29">
        <f>SUM(E7:E13)</f>
        <v>0</v>
      </c>
      <c r="F14" s="4"/>
    </row>
    <row r="15" spans="1:6" ht="16.5" thickTop="1">
      <c r="A15" s="7"/>
      <c r="B15" s="7"/>
      <c r="C15" s="7"/>
      <c r="D15" s="7"/>
      <c r="E15" s="7"/>
      <c r="F15" s="4"/>
    </row>
    <row r="16" spans="1:6" ht="15.75">
      <c r="A16" s="7"/>
      <c r="B16" s="7"/>
      <c r="C16" s="7"/>
      <c r="D16" s="7"/>
      <c r="E16" s="7"/>
      <c r="F16" s="4"/>
    </row>
    <row r="17" spans="1:6" ht="15.75">
      <c r="A17" s="851" t="str">
        <f>CONCATENATE("",F1-1," July 1 Valuation:")</f>
        <v>2013 July 1 Valuation:</v>
      </c>
      <c r="B17" s="850"/>
      <c r="C17" s="851"/>
      <c r="D17" s="37">
        <f>inputOth!E7</f>
        <v>554438</v>
      </c>
      <c r="E17" s="7"/>
      <c r="F17" s="4"/>
    </row>
    <row r="18" spans="1:6" ht="15.75">
      <c r="A18" s="7"/>
      <c r="B18" s="7"/>
      <c r="C18" s="7"/>
      <c r="D18" s="7"/>
      <c r="E18" s="7"/>
      <c r="F18" s="4"/>
    </row>
    <row r="19" spans="1:6" ht="15.75">
      <c r="A19" s="7"/>
      <c r="B19" s="851" t="s">
        <v>348</v>
      </c>
      <c r="C19" s="851"/>
      <c r="D19" s="43">
        <f>IF(D17&gt;0,(D17*0.001),"")</f>
        <v>554.43799999999999</v>
      </c>
      <c r="E19" s="7"/>
      <c r="F19" s="4"/>
    </row>
    <row r="20" spans="1:6" ht="15.75">
      <c r="A20" s="7"/>
      <c r="B20" s="15"/>
      <c r="C20" s="15"/>
      <c r="D20" s="44"/>
      <c r="E20" s="7"/>
      <c r="F20" s="4"/>
    </row>
    <row r="21" spans="1:6" ht="15.75">
      <c r="A21" s="849" t="s">
        <v>349</v>
      </c>
      <c r="B21" s="848"/>
      <c r="C21" s="848"/>
      <c r="D21" s="45">
        <f>inputOth!E17</f>
        <v>909</v>
      </c>
      <c r="E21" s="26"/>
      <c r="F21" s="26"/>
    </row>
    <row r="22" spans="1:6">
      <c r="A22" s="26"/>
      <c r="B22" s="26"/>
      <c r="C22" s="26"/>
      <c r="D22" s="46"/>
      <c r="E22" s="26"/>
      <c r="F22" s="26"/>
    </row>
    <row r="23" spans="1:6" ht="15.75">
      <c r="A23" s="26"/>
      <c r="B23" s="849" t="s">
        <v>350</v>
      </c>
      <c r="C23" s="850"/>
      <c r="D23" s="47">
        <f>IF(D21&gt;0,(D21*0.001),"")</f>
        <v>0.90900000000000003</v>
      </c>
      <c r="E23" s="26"/>
      <c r="F23" s="26"/>
    </row>
    <row r="24" spans="1:6">
      <c r="A24" s="26"/>
      <c r="B24" s="26"/>
      <c r="C24" s="26"/>
      <c r="D24" s="26"/>
      <c r="E24" s="26"/>
      <c r="F24" s="26"/>
    </row>
    <row r="25" spans="1:6">
      <c r="A25" s="26"/>
      <c r="B25" s="26"/>
      <c r="C25" s="26"/>
      <c r="D25" s="26"/>
      <c r="E25" s="26"/>
      <c r="F25" s="26"/>
    </row>
    <row r="26" spans="1:6" ht="15.75">
      <c r="A26" s="399" t="str">
        <f>CONCATENATE("**This information comes from the ",F1," Budget Summary page.  See instructions tab #13 for completing")</f>
        <v>**This information comes from the 2014 Budget Summary page.  See instructions tab #13 for completing</v>
      </c>
      <c r="B26" s="26"/>
      <c r="C26" s="26"/>
      <c r="D26" s="26"/>
      <c r="E26" s="26"/>
      <c r="F26" s="26"/>
    </row>
    <row r="27" spans="1:6" ht="15.75">
      <c r="A27" s="399" t="s">
        <v>632</v>
      </c>
      <c r="B27" s="26"/>
      <c r="C27" s="26"/>
      <c r="D27" s="26"/>
      <c r="E27" s="26"/>
      <c r="F27" s="26"/>
    </row>
    <row r="28" spans="1:6" ht="15.75">
      <c r="A28" s="399"/>
      <c r="B28" s="26"/>
      <c r="C28" s="26"/>
      <c r="D28" s="26"/>
      <c r="E28" s="26"/>
      <c r="F28" s="26"/>
    </row>
    <row r="29" spans="1:6" ht="15.75">
      <c r="A29" s="399"/>
      <c r="B29" s="26"/>
      <c r="C29" s="26"/>
      <c r="D29" s="26"/>
      <c r="E29" s="26"/>
      <c r="F29" s="26"/>
    </row>
    <row r="30" spans="1:6">
      <c r="A30" s="26"/>
      <c r="B30" s="26"/>
      <c r="C30" s="26"/>
      <c r="D30" s="26"/>
      <c r="E30" s="26"/>
      <c r="F30" s="46"/>
    </row>
    <row r="31" spans="1:6">
      <c r="A31" s="26"/>
      <c r="B31" s="26"/>
      <c r="C31" s="26"/>
      <c r="D31" s="26"/>
      <c r="E31" s="26"/>
      <c r="F31" s="26"/>
    </row>
    <row r="32" spans="1:6" ht="15.75">
      <c r="A32" s="26"/>
      <c r="B32" s="38" t="s">
        <v>178</v>
      </c>
      <c r="C32" s="3"/>
      <c r="D32" s="26"/>
      <c r="E32" s="26"/>
      <c r="F32" s="26"/>
    </row>
  </sheetData>
  <sheetProtection sheet="1"/>
  <mergeCells count="5">
    <mergeCell ref="B4:E4"/>
    <mergeCell ref="B23:C23"/>
    <mergeCell ref="A17:C17"/>
    <mergeCell ref="B19:C19"/>
    <mergeCell ref="A21:C21"/>
  </mergeCells>
  <phoneticPr fontId="10" type="noConversion"/>
  <pageMargins left="0.5" right="0.5" top="0.5" bottom="0.5" header="0" footer="0.5"/>
  <pageSetup scale="95"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A15" sqref="A15:G17"/>
    </sheetView>
  </sheetViews>
  <sheetFormatPr defaultRowHeight="15"/>
  <sheetData>
    <row r="1" spans="1:14" ht="16.5" customHeight="1">
      <c r="A1" s="853" t="s">
        <v>297</v>
      </c>
      <c r="B1" s="853"/>
      <c r="C1" s="853"/>
      <c r="D1" s="853"/>
      <c r="E1" s="853"/>
      <c r="F1" s="853"/>
      <c r="G1" s="853"/>
    </row>
    <row r="2" spans="1:14" ht="16.5" customHeight="1">
      <c r="A2" s="853"/>
      <c r="B2" s="853"/>
      <c r="C2" s="853"/>
      <c r="D2" s="853"/>
      <c r="E2" s="853"/>
      <c r="F2" s="853"/>
      <c r="G2" s="853"/>
    </row>
    <row r="3" spans="1:14" ht="16.5" customHeight="1">
      <c r="A3" s="854"/>
      <c r="B3" s="854"/>
      <c r="C3" s="854"/>
      <c r="D3" s="854"/>
      <c r="E3" s="854"/>
      <c r="F3" s="854"/>
      <c r="G3" s="854"/>
    </row>
    <row r="4" spans="1:14" ht="16.5" customHeight="1">
      <c r="A4" s="852" t="str">
        <f>CONCATENATE("AN ORDINANCE ATTESTING TO AN INCREASE IN TAX REVENUES FOR BUDGET YEAR ",(inputPrYr!$C$5)," FOR THE ",(inputPrYr!$D$2))</f>
        <v>AN ORDINANCE ATTESTING TO AN INCREASE IN TAX REVENUES FOR BUDGET YEAR 2014 FOR THE City of Circleville</v>
      </c>
      <c r="B4" s="852"/>
      <c r="C4" s="852"/>
      <c r="D4" s="852"/>
      <c r="E4" s="852"/>
      <c r="F4" s="852"/>
      <c r="G4" s="852"/>
    </row>
    <row r="5" spans="1:14" ht="16.5" customHeight="1">
      <c r="A5" s="852"/>
      <c r="B5" s="852"/>
      <c r="C5" s="852"/>
      <c r="D5" s="852"/>
      <c r="E5" s="852"/>
      <c r="F5" s="852"/>
      <c r="G5" s="852"/>
    </row>
    <row r="6" spans="1:14" ht="16.5" customHeight="1">
      <c r="A6" s="853"/>
      <c r="B6" s="853"/>
      <c r="C6" s="853"/>
      <c r="D6" s="853"/>
      <c r="E6" s="853"/>
      <c r="F6" s="853"/>
      <c r="G6" s="853"/>
    </row>
    <row r="7" spans="1:14" ht="16.5" customHeight="1">
      <c r="A7" s="852" t="str">
        <f>CONCATENATE("WHEREAS, the  ",(inputPrYr!$D$2)," must continue to provide services to protect the health, safety, and welfare of the citizens of this community; and")</f>
        <v>WHEREAS, the  City of Circleville must continue to provide services to protect the health, safety, and welfare of the citizens of this community; and</v>
      </c>
      <c r="B7" s="852"/>
      <c r="C7" s="852"/>
      <c r="D7" s="852"/>
      <c r="E7" s="852"/>
      <c r="F7" s="852"/>
      <c r="G7" s="852"/>
      <c r="H7" s="22"/>
      <c r="I7" s="22"/>
      <c r="J7" s="22"/>
      <c r="K7" s="22"/>
      <c r="L7" s="22"/>
      <c r="M7" s="22"/>
      <c r="N7" s="22"/>
    </row>
    <row r="8" spans="1:14" ht="16.5" customHeight="1">
      <c r="A8" s="852"/>
      <c r="B8" s="852"/>
      <c r="C8" s="852"/>
      <c r="D8" s="852"/>
      <c r="E8" s="852"/>
      <c r="F8" s="852"/>
      <c r="G8" s="852"/>
      <c r="H8" s="22"/>
      <c r="I8" s="22"/>
      <c r="J8" s="22"/>
      <c r="K8" s="22"/>
      <c r="L8" s="22"/>
      <c r="M8" s="22"/>
      <c r="N8" s="22"/>
    </row>
    <row r="9" spans="1:14" ht="16.5" customHeight="1">
      <c r="A9" s="31"/>
      <c r="B9" s="31"/>
      <c r="C9" s="31"/>
      <c r="D9" s="31"/>
      <c r="E9" s="31"/>
      <c r="F9" s="31"/>
      <c r="G9" s="31"/>
    </row>
    <row r="10" spans="1:14" ht="16.5" customHeight="1">
      <c r="A10" s="852" t="s">
        <v>298</v>
      </c>
      <c r="B10" s="852"/>
      <c r="C10" s="852"/>
      <c r="D10" s="852"/>
      <c r="E10" s="852"/>
      <c r="F10" s="852"/>
      <c r="G10" s="852"/>
    </row>
    <row r="11" spans="1:14" ht="16.5" customHeight="1">
      <c r="A11" s="852"/>
      <c r="B11" s="852"/>
      <c r="C11" s="852"/>
      <c r="D11" s="852"/>
      <c r="E11" s="852"/>
      <c r="F11" s="852"/>
      <c r="G11" s="852"/>
    </row>
    <row r="12" spans="1:14" ht="16.5" customHeight="1">
      <c r="A12" s="31"/>
      <c r="B12" s="31"/>
      <c r="C12" s="31"/>
      <c r="D12" s="31"/>
      <c r="E12" s="31"/>
      <c r="F12" s="31"/>
      <c r="G12" s="31"/>
    </row>
    <row r="13" spans="1:14" ht="16.5" customHeight="1">
      <c r="A13" s="852" t="str">
        <f>CONCATENATE("NOW THEREFORE, be it ordained by the Governing Body of the ",(inputPrYr!$D$2),":")</f>
        <v>NOW THEREFORE, be it ordained by the Governing Body of the City of Circleville:</v>
      </c>
      <c r="B13" s="852"/>
      <c r="C13" s="852"/>
      <c r="D13" s="852"/>
      <c r="E13" s="852"/>
      <c r="F13" s="852"/>
      <c r="G13" s="852"/>
      <c r="H13" s="22"/>
      <c r="I13" s="22"/>
      <c r="J13" s="22"/>
      <c r="K13" s="22"/>
      <c r="L13" s="22"/>
      <c r="M13" s="22"/>
      <c r="N13" s="22"/>
    </row>
    <row r="14" spans="1:14" ht="16.5" customHeight="1">
      <c r="A14" s="852"/>
      <c r="B14" s="852"/>
      <c r="C14" s="852"/>
      <c r="D14" s="852"/>
      <c r="E14" s="852"/>
      <c r="F14" s="852"/>
      <c r="G14" s="852"/>
      <c r="H14" s="22"/>
      <c r="I14" s="22"/>
      <c r="J14" s="22"/>
      <c r="K14" s="22"/>
      <c r="L14" s="22"/>
      <c r="M14" s="22"/>
      <c r="N14" s="22"/>
    </row>
    <row r="15" spans="1:14" ht="16.5" customHeight="1">
      <c r="A15" s="852"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Circleville  has scheduled a public hearing and has prepared the proposed budget necessary to fund city services from January 1, 2014 until December 31, 2014.</v>
      </c>
      <c r="B15" s="852"/>
      <c r="C15" s="852"/>
      <c r="D15" s="852"/>
      <c r="E15" s="852"/>
      <c r="F15" s="852"/>
      <c r="G15" s="852"/>
      <c r="H15" s="22"/>
      <c r="I15" s="22"/>
      <c r="J15" s="22"/>
      <c r="K15" s="22"/>
      <c r="L15" s="22"/>
      <c r="M15" s="22"/>
      <c r="N15" s="22"/>
    </row>
    <row r="16" spans="1:14" ht="16.5" customHeight="1">
      <c r="A16" s="852"/>
      <c r="B16" s="852"/>
      <c r="C16" s="852"/>
      <c r="D16" s="852"/>
      <c r="E16" s="852"/>
      <c r="F16" s="852"/>
      <c r="G16" s="852"/>
      <c r="H16" s="22"/>
      <c r="I16" s="22"/>
      <c r="J16" s="22"/>
      <c r="K16" s="22"/>
      <c r="L16" s="22"/>
      <c r="M16" s="22"/>
      <c r="N16" s="22"/>
    </row>
    <row r="17" spans="1:14" ht="16.5" customHeight="1">
      <c r="A17" s="852"/>
      <c r="B17" s="852"/>
      <c r="C17" s="852"/>
      <c r="D17" s="852"/>
      <c r="E17" s="852"/>
      <c r="F17" s="852"/>
      <c r="G17" s="852"/>
      <c r="H17" s="23"/>
      <c r="I17" s="23"/>
      <c r="J17" s="23"/>
      <c r="K17" s="23"/>
      <c r="L17" s="23"/>
      <c r="M17" s="23"/>
      <c r="N17" s="23"/>
    </row>
    <row r="18" spans="1:14" ht="16.5" customHeight="1">
      <c r="A18" s="32"/>
      <c r="B18" s="32"/>
      <c r="C18" s="32"/>
      <c r="D18" s="32"/>
      <c r="E18" s="32"/>
      <c r="F18" s="32"/>
      <c r="G18" s="32"/>
    </row>
    <row r="19" spans="1:14" ht="16.5" customHeight="1">
      <c r="A19" s="33" t="s">
        <v>118</v>
      </c>
      <c r="B19" s="33"/>
      <c r="C19" s="33"/>
      <c r="D19" s="33"/>
      <c r="E19" s="33"/>
      <c r="F19" s="33"/>
      <c r="G19" s="33"/>
    </row>
    <row r="20" spans="1:14" ht="16.5" customHeight="1">
      <c r="A20" s="33" t="s">
        <v>119</v>
      </c>
      <c r="B20" s="33"/>
      <c r="C20" s="33"/>
      <c r="D20" s="33"/>
      <c r="E20" s="33"/>
      <c r="F20" s="33"/>
      <c r="G20" s="33"/>
    </row>
    <row r="21" spans="1:14" ht="16.5" customHeight="1">
      <c r="A21" s="30" t="str">
        <f>CONCATENATE("necessary to budget property tax revenues in an amount exceeding the levy in the ",inputPrYr!$C$5-1,"")</f>
        <v>necessary to budget property tax revenues in an amount exceeding the levy in the 2013</v>
      </c>
      <c r="B21" s="30"/>
      <c r="C21" s="30"/>
      <c r="D21" s="30"/>
      <c r="E21" s="30"/>
      <c r="F21" s="30"/>
      <c r="G21" s="30"/>
    </row>
    <row r="22" spans="1:14" ht="16.5" customHeight="1">
      <c r="A22" s="30" t="s">
        <v>120</v>
      </c>
      <c r="B22" s="30"/>
      <c r="C22" s="30"/>
      <c r="D22" s="30"/>
      <c r="E22" s="30"/>
      <c r="F22" s="30"/>
      <c r="G22" s="30"/>
    </row>
    <row r="23" spans="1:14" ht="16.5" customHeight="1">
      <c r="A23" s="32"/>
      <c r="B23" s="32"/>
      <c r="C23" s="32"/>
      <c r="D23" s="32"/>
      <c r="E23" s="32"/>
      <c r="F23" s="32"/>
      <c r="G23" s="32"/>
    </row>
    <row r="24" spans="1:14" ht="16.5" customHeight="1">
      <c r="A24" s="852" t="s">
        <v>299</v>
      </c>
      <c r="B24" s="852"/>
      <c r="C24" s="852"/>
      <c r="D24" s="852"/>
      <c r="E24" s="852"/>
      <c r="F24" s="852"/>
      <c r="G24" s="852"/>
    </row>
    <row r="25" spans="1:14" ht="16.5" customHeight="1">
      <c r="A25" s="852"/>
      <c r="B25" s="852"/>
      <c r="C25" s="852"/>
      <c r="D25" s="852"/>
      <c r="E25" s="852"/>
      <c r="F25" s="852"/>
      <c r="G25" s="852"/>
    </row>
    <row r="26" spans="1:14" ht="16.5" customHeight="1">
      <c r="A26" s="32"/>
      <c r="B26" s="32"/>
      <c r="C26" s="32"/>
      <c r="D26" s="32"/>
      <c r="E26" s="32"/>
      <c r="F26" s="32"/>
      <c r="G26" s="32"/>
    </row>
    <row r="27" spans="1:14" ht="16.5" customHeight="1">
      <c r="A27" s="852" t="str">
        <f>CONCATENATE("Passed and approved by the Governing Body on this ______ day of __________, ",(inputPrYr!$C$5-1),".")</f>
        <v>Passed and approved by the Governing Body on this ______ day of __________, 2013.</v>
      </c>
      <c r="B27" s="852"/>
      <c r="C27" s="852"/>
      <c r="D27" s="852"/>
      <c r="E27" s="852"/>
      <c r="F27" s="852"/>
      <c r="G27" s="852"/>
    </row>
    <row r="28" spans="1:14" ht="16.5" customHeight="1">
      <c r="A28" s="852"/>
      <c r="B28" s="852"/>
      <c r="C28" s="852"/>
      <c r="D28" s="852"/>
      <c r="E28" s="852"/>
      <c r="F28" s="852"/>
      <c r="G28" s="852"/>
    </row>
    <row r="29" spans="1:14" ht="16.5" customHeight="1">
      <c r="A29" s="34"/>
      <c r="B29" s="1"/>
      <c r="C29" s="1"/>
      <c r="D29" s="1"/>
      <c r="E29" s="1"/>
      <c r="F29" s="1"/>
      <c r="G29" s="1"/>
    </row>
    <row r="30" spans="1:14" ht="16.5" customHeight="1">
      <c r="A30" s="855" t="s">
        <v>300</v>
      </c>
      <c r="B30" s="855"/>
      <c r="C30" s="855"/>
      <c r="D30" s="855"/>
      <c r="E30" s="855"/>
      <c r="F30" s="855"/>
      <c r="G30" s="855"/>
    </row>
    <row r="31" spans="1:14" ht="16.5" customHeight="1">
      <c r="A31" s="855" t="s">
        <v>301</v>
      </c>
      <c r="B31" s="855"/>
      <c r="C31" s="855"/>
      <c r="D31" s="855"/>
      <c r="E31" s="855"/>
      <c r="F31" s="855"/>
      <c r="G31" s="855"/>
    </row>
    <row r="32" spans="1:14" ht="16.5" customHeight="1">
      <c r="A32" s="34" t="s">
        <v>302</v>
      </c>
      <c r="B32" s="1"/>
      <c r="C32" s="1"/>
      <c r="D32" s="1"/>
      <c r="E32" s="1"/>
      <c r="F32" s="1"/>
      <c r="G32" s="1"/>
    </row>
    <row r="33" spans="1:7" ht="16.5" customHeight="1">
      <c r="A33" s="1"/>
      <c r="B33" s="34" t="s">
        <v>303</v>
      </c>
      <c r="C33" s="1"/>
      <c r="D33" s="1"/>
      <c r="E33" s="1"/>
      <c r="F33" s="1"/>
      <c r="G33" s="1"/>
    </row>
    <row r="34" spans="1:7" ht="16.5" customHeight="1">
      <c r="A34" s="34"/>
      <c r="B34" s="1"/>
      <c r="C34" s="1"/>
      <c r="D34" s="1"/>
      <c r="E34" s="1"/>
      <c r="F34" s="1"/>
      <c r="G34" s="1"/>
    </row>
    <row r="35" spans="1:7" ht="16.5" customHeight="1">
      <c r="A35" s="34"/>
      <c r="B35" s="1"/>
      <c r="C35" s="1"/>
      <c r="D35" s="1"/>
      <c r="E35" s="1"/>
      <c r="F35" s="1"/>
      <c r="G35" s="1"/>
    </row>
    <row r="36" spans="1:7" ht="16.5" customHeight="1">
      <c r="A36" s="34" t="s">
        <v>304</v>
      </c>
      <c r="B36" s="1"/>
      <c r="C36" s="1"/>
      <c r="D36" s="1"/>
      <c r="E36" s="1"/>
      <c r="F36" s="1"/>
      <c r="G36" s="1"/>
    </row>
    <row r="37" spans="1:7" ht="16.5" customHeight="1">
      <c r="A37" s="34"/>
      <c r="B37" s="1"/>
      <c r="C37" s="1"/>
      <c r="D37" s="1"/>
      <c r="E37" s="1"/>
      <c r="F37" s="1"/>
      <c r="G37" s="1"/>
    </row>
    <row r="38" spans="1:7" ht="16.5" customHeight="1">
      <c r="A38" s="34"/>
      <c r="B38" s="1"/>
      <c r="C38" s="1"/>
      <c r="D38" s="1"/>
      <c r="E38" s="1"/>
      <c r="F38" s="1"/>
      <c r="G38" s="1"/>
    </row>
    <row r="39" spans="1:7" ht="16.5" customHeight="1">
      <c r="A39" s="34"/>
      <c r="B39" s="1"/>
      <c r="C39" s="1"/>
      <c r="D39" s="1"/>
      <c r="E39" s="1"/>
      <c r="F39" s="1"/>
      <c r="G39" s="1"/>
    </row>
    <row r="40" spans="1:7" ht="16.5" customHeight="1">
      <c r="A40" s="34" t="s">
        <v>305</v>
      </c>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sheetProtection sheet="1" objects="1" scenarios="1"/>
  <mergeCells count="13">
    <mergeCell ref="A13:G14"/>
    <mergeCell ref="A15:G17"/>
    <mergeCell ref="A24:G25"/>
    <mergeCell ref="A30:G30"/>
    <mergeCell ref="A31:G31"/>
    <mergeCell ref="A27:G28"/>
    <mergeCell ref="A10:G11"/>
    <mergeCell ref="A6:G6"/>
    <mergeCell ref="A1:G1"/>
    <mergeCell ref="A2:G2"/>
    <mergeCell ref="A3:G3"/>
    <mergeCell ref="A7:G8"/>
    <mergeCell ref="A4:G5"/>
  </mergeCells>
  <phoneticPr fontId="10" type="noConversion"/>
  <pageMargins left="1" right="1" top="1" bottom="1" header="0.5" footer="0.5"/>
  <pageSetup orientation="portrait" r:id="rId1"/>
  <headerFooter alignWithMargins="0">
    <oddFooter>&amp;Lrevised 8/6/07</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topLeftCell="A69" workbookViewId="0">
      <selection activeCell="A87" sqref="A87"/>
    </sheetView>
  </sheetViews>
  <sheetFormatPr defaultRowHeight="15"/>
  <cols>
    <col min="1" max="1" width="71.33203125" customWidth="1"/>
  </cols>
  <sheetData>
    <row r="3" spans="1:12">
      <c r="A3" s="385" t="s">
        <v>466</v>
      </c>
      <c r="B3" s="385"/>
      <c r="C3" s="385"/>
      <c r="D3" s="385"/>
      <c r="E3" s="385"/>
      <c r="F3" s="385"/>
      <c r="G3" s="385"/>
      <c r="H3" s="385"/>
      <c r="I3" s="385"/>
      <c r="J3" s="385"/>
      <c r="K3" s="385"/>
      <c r="L3" s="385"/>
    </row>
    <row r="5" spans="1:12">
      <c r="A5" s="384" t="s">
        <v>467</v>
      </c>
    </row>
    <row r="6" spans="1:12">
      <c r="A6" s="384" t="str">
        <f>CONCATENATE(inputPrYr!C5-2," 'total expenditures' exceed your ",inputPrYr!C5-2," 'budget authority.'")</f>
        <v>2012 'total expenditures' exceed your 2012 'budget authority.'</v>
      </c>
    </row>
    <row r="7" spans="1:12">
      <c r="A7" s="384"/>
    </row>
    <row r="8" spans="1:12">
      <c r="A8" s="384" t="s">
        <v>468</v>
      </c>
    </row>
    <row r="9" spans="1:12">
      <c r="A9" s="384" t="s">
        <v>469</v>
      </c>
    </row>
    <row r="10" spans="1:12">
      <c r="A10" s="384" t="s">
        <v>470</v>
      </c>
    </row>
    <row r="11" spans="1:12">
      <c r="A11" s="384"/>
    </row>
    <row r="12" spans="1:12">
      <c r="A12" s="384"/>
    </row>
    <row r="13" spans="1:12">
      <c r="A13" s="383" t="s">
        <v>471</v>
      </c>
    </row>
    <row r="15" spans="1:12">
      <c r="A15" s="384" t="s">
        <v>472</v>
      </c>
    </row>
    <row r="16" spans="1:12">
      <c r="A16" s="384" t="str">
        <f>CONCATENATE("(i.e. an audit has not been completed, or the ",inputPrYr!C5," adopted")</f>
        <v>(i.e. an audit has not been completed, or the 2014 adopted</v>
      </c>
    </row>
    <row r="17" spans="1:1">
      <c r="A17" s="384" t="s">
        <v>473</v>
      </c>
    </row>
    <row r="18" spans="1:1">
      <c r="A18" s="384" t="s">
        <v>474</v>
      </c>
    </row>
    <row r="19" spans="1:1">
      <c r="A19" s="384" t="s">
        <v>475</v>
      </c>
    </row>
    <row r="21" spans="1:1">
      <c r="A21" s="383" t="s">
        <v>476</v>
      </c>
    </row>
    <row r="22" spans="1:1">
      <c r="A22" s="383"/>
    </row>
    <row r="23" spans="1:1">
      <c r="A23" s="384" t="s">
        <v>477</v>
      </c>
    </row>
    <row r="24" spans="1:1">
      <c r="A24" s="384" t="s">
        <v>478</v>
      </c>
    </row>
    <row r="25" spans="1:1">
      <c r="A25" s="384" t="str">
        <f>CONCATENATE("particular fund.  If your ",inputPrYr!C5-2," budget was amended, did you")</f>
        <v>particular fund.  If your 2012 budget was amended, did you</v>
      </c>
    </row>
    <row r="26" spans="1:1">
      <c r="A26" s="384" t="s">
        <v>479</v>
      </c>
    </row>
    <row r="27" spans="1:1">
      <c r="A27" s="384"/>
    </row>
    <row r="28" spans="1:1">
      <c r="A28" s="384" t="str">
        <f>CONCATENATE("Next, look to see if any of your ",inputPrYr!C5-2," expenditures can be")</f>
        <v>Next, look to see if any of your 2012 expenditures can be</v>
      </c>
    </row>
    <row r="29" spans="1:1">
      <c r="A29" s="384" t="s">
        <v>480</v>
      </c>
    </row>
    <row r="30" spans="1:1">
      <c r="A30" s="384" t="s">
        <v>481</v>
      </c>
    </row>
    <row r="31" spans="1:1">
      <c r="A31" s="384" t="s">
        <v>482</v>
      </c>
    </row>
    <row r="32" spans="1:1">
      <c r="A32" s="384"/>
    </row>
    <row r="33" spans="1:1">
      <c r="A33" s="384" t="str">
        <f>CONCATENATE("Additionally, do your ",inputPrYr!C5-2," receipts contain a reimbursement")</f>
        <v>Additionally, do your 2012 receipts contain a reimbursement</v>
      </c>
    </row>
    <row r="34" spans="1:1">
      <c r="A34" s="384" t="s">
        <v>483</v>
      </c>
    </row>
    <row r="35" spans="1:1">
      <c r="A35" s="384" t="s">
        <v>484</v>
      </c>
    </row>
    <row r="36" spans="1:1">
      <c r="A36" s="384"/>
    </row>
    <row r="37" spans="1:1">
      <c r="A37" s="384" t="s">
        <v>485</v>
      </c>
    </row>
    <row r="38" spans="1:1">
      <c r="A38" s="384" t="s">
        <v>486</v>
      </c>
    </row>
    <row r="39" spans="1:1">
      <c r="A39" s="384" t="s">
        <v>487</v>
      </c>
    </row>
    <row r="40" spans="1:1">
      <c r="A40" s="384" t="s">
        <v>488</v>
      </c>
    </row>
    <row r="41" spans="1:1">
      <c r="A41" s="384" t="s">
        <v>489</v>
      </c>
    </row>
    <row r="42" spans="1:1">
      <c r="A42" s="384" t="s">
        <v>490</v>
      </c>
    </row>
    <row r="43" spans="1:1">
      <c r="A43" s="384" t="s">
        <v>491</v>
      </c>
    </row>
    <row r="44" spans="1:1">
      <c r="A44" s="384" t="s">
        <v>492</v>
      </c>
    </row>
    <row r="45" spans="1:1">
      <c r="A45" s="384"/>
    </row>
    <row r="46" spans="1:1">
      <c r="A46" s="384" t="s">
        <v>493</v>
      </c>
    </row>
    <row r="47" spans="1:1">
      <c r="A47" s="384" t="s">
        <v>494</v>
      </c>
    </row>
    <row r="48" spans="1:1">
      <c r="A48" s="384" t="s">
        <v>495</v>
      </c>
    </row>
    <row r="49" spans="1:1">
      <c r="A49" s="384"/>
    </row>
    <row r="50" spans="1:1">
      <c r="A50" s="384" t="s">
        <v>496</v>
      </c>
    </row>
    <row r="51" spans="1:1">
      <c r="A51" s="384" t="s">
        <v>497</v>
      </c>
    </row>
    <row r="52" spans="1:1">
      <c r="A52" s="384" t="s">
        <v>498</v>
      </c>
    </row>
    <row r="53" spans="1:1">
      <c r="A53" s="384"/>
    </row>
    <row r="54" spans="1:1">
      <c r="A54" s="383" t="s">
        <v>499</v>
      </c>
    </row>
    <row r="55" spans="1:1">
      <c r="A55" s="384"/>
    </row>
    <row r="56" spans="1:1">
      <c r="A56" s="384" t="s">
        <v>500</v>
      </c>
    </row>
    <row r="57" spans="1:1">
      <c r="A57" s="384" t="s">
        <v>501</v>
      </c>
    </row>
    <row r="58" spans="1:1">
      <c r="A58" s="384" t="s">
        <v>502</v>
      </c>
    </row>
    <row r="59" spans="1:1">
      <c r="A59" s="384" t="s">
        <v>503</v>
      </c>
    </row>
    <row r="60" spans="1:1">
      <c r="A60" s="384" t="s">
        <v>504</v>
      </c>
    </row>
    <row r="61" spans="1:1">
      <c r="A61" s="384" t="s">
        <v>505</v>
      </c>
    </row>
    <row r="62" spans="1:1">
      <c r="A62" s="384" t="s">
        <v>506</v>
      </c>
    </row>
    <row r="63" spans="1:1">
      <c r="A63" s="384" t="s">
        <v>507</v>
      </c>
    </row>
    <row r="64" spans="1:1">
      <c r="A64" s="384" t="s">
        <v>508</v>
      </c>
    </row>
    <row r="65" spans="1:1">
      <c r="A65" s="384" t="s">
        <v>509</v>
      </c>
    </row>
    <row r="66" spans="1:1">
      <c r="A66" s="384" t="s">
        <v>510</v>
      </c>
    </row>
    <row r="67" spans="1:1">
      <c r="A67" s="384" t="s">
        <v>511</v>
      </c>
    </row>
    <row r="68" spans="1:1">
      <c r="A68" s="384" t="s">
        <v>512</v>
      </c>
    </row>
    <row r="69" spans="1:1">
      <c r="A69" s="384"/>
    </row>
    <row r="70" spans="1:1">
      <c r="A70" s="384" t="s">
        <v>513</v>
      </c>
    </row>
    <row r="71" spans="1:1">
      <c r="A71" s="384" t="s">
        <v>514</v>
      </c>
    </row>
    <row r="72" spans="1:1">
      <c r="A72" s="384" t="s">
        <v>515</v>
      </c>
    </row>
    <row r="73" spans="1:1">
      <c r="A73" s="384"/>
    </row>
    <row r="74" spans="1:1">
      <c r="A74" s="383" t="str">
        <f>CONCATENATE("What if the ",inputPrYr!C5-2," financial records have been closed?")</f>
        <v>What if the 2012 financial records have been closed?</v>
      </c>
    </row>
    <row r="76" spans="1:1">
      <c r="A76" s="384" t="s">
        <v>516</v>
      </c>
    </row>
    <row r="77" spans="1:1">
      <c r="A77" s="384" t="str">
        <f>CONCATENATE("(i.e. an audit for ",inputPrYr!C5-2," has been completed, or the ",inputPrYr!C5)</f>
        <v>(i.e. an audit for 2012 has been completed, or the 2014</v>
      </c>
    </row>
    <row r="78" spans="1:1">
      <c r="A78" s="384" t="s">
        <v>517</v>
      </c>
    </row>
    <row r="79" spans="1:1">
      <c r="A79" s="384" t="s">
        <v>518</v>
      </c>
    </row>
    <row r="80" spans="1:1">
      <c r="A80" s="384"/>
    </row>
    <row r="81" spans="1:1">
      <c r="A81" s="384" t="s">
        <v>519</v>
      </c>
    </row>
    <row r="82" spans="1:1">
      <c r="A82" s="384" t="s">
        <v>520</v>
      </c>
    </row>
    <row r="83" spans="1:1">
      <c r="A83" s="384" t="s">
        <v>521</v>
      </c>
    </row>
    <row r="84" spans="1:1">
      <c r="A84" s="384"/>
    </row>
    <row r="85" spans="1:1">
      <c r="A85" s="384" t="s">
        <v>465</v>
      </c>
    </row>
  </sheetData>
  <sheetProtection sheet="1"/>
  <pageMargins left="0.7" right="0.7" top="0.75" bottom="0.75" header="0.3" footer="0.3"/>
  <pageSetup orientation="portrait" r:id="rId1"/>
  <headerFooter>
    <oddFooter>&amp;Lrevised 10/02/09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4" sqref="A34"/>
    </sheetView>
  </sheetViews>
  <sheetFormatPr defaultRowHeight="15"/>
  <cols>
    <col min="1" max="1" width="71.33203125" customWidth="1"/>
  </cols>
  <sheetData>
    <row r="3" spans="1:10">
      <c r="A3" s="385" t="s">
        <v>410</v>
      </c>
      <c r="B3" s="385"/>
      <c r="C3" s="385"/>
      <c r="D3" s="385"/>
      <c r="E3" s="385"/>
      <c r="F3" s="385"/>
      <c r="G3" s="385"/>
      <c r="H3" s="386"/>
      <c r="I3" s="386"/>
      <c r="J3" s="386"/>
    </row>
    <row r="5" spans="1:10">
      <c r="A5" s="384" t="s">
        <v>411</v>
      </c>
    </row>
    <row r="6" spans="1:10">
      <c r="A6" t="str">
        <f>CONCATENATE(inputPrYr!C5-2," expenditures show that you finished the year with a ")</f>
        <v xml:space="preserve">2012 expenditures show that you finished the year with a </v>
      </c>
    </row>
    <row r="7" spans="1:10">
      <c r="A7" t="s">
        <v>412</v>
      </c>
    </row>
    <row r="9" spans="1:10">
      <c r="A9" t="s">
        <v>413</v>
      </c>
    </row>
    <row r="10" spans="1:10">
      <c r="A10" t="s">
        <v>414</v>
      </c>
    </row>
    <row r="11" spans="1:10">
      <c r="A11" t="s">
        <v>415</v>
      </c>
    </row>
    <row r="13" spans="1:10">
      <c r="A13" s="383" t="s">
        <v>416</v>
      </c>
    </row>
    <row r="14" spans="1:10">
      <c r="A14" s="383"/>
    </row>
    <row r="15" spans="1:10">
      <c r="A15" s="384" t="s">
        <v>417</v>
      </c>
    </row>
    <row r="16" spans="1:10">
      <c r="A16" s="384" t="s">
        <v>418</v>
      </c>
    </row>
    <row r="17" spans="1:1">
      <c r="A17" s="384" t="s">
        <v>419</v>
      </c>
    </row>
    <row r="18" spans="1:1">
      <c r="A18" s="384"/>
    </row>
    <row r="19" spans="1:1">
      <c r="A19" s="383" t="s">
        <v>420</v>
      </c>
    </row>
    <row r="20" spans="1:1">
      <c r="A20" s="383"/>
    </row>
    <row r="21" spans="1:1">
      <c r="A21" s="384" t="s">
        <v>421</v>
      </c>
    </row>
    <row r="22" spans="1:1">
      <c r="A22" s="384" t="s">
        <v>422</v>
      </c>
    </row>
    <row r="23" spans="1:1">
      <c r="A23" s="384" t="s">
        <v>423</v>
      </c>
    </row>
    <row r="24" spans="1:1">
      <c r="A24" s="384"/>
    </row>
    <row r="25" spans="1:1">
      <c r="A25" s="383" t="s">
        <v>424</v>
      </c>
    </row>
    <row r="26" spans="1:1">
      <c r="A26" s="383"/>
    </row>
    <row r="27" spans="1:1">
      <c r="A27" s="384" t="s">
        <v>425</v>
      </c>
    </row>
    <row r="28" spans="1:1">
      <c r="A28" s="384" t="s">
        <v>426</v>
      </c>
    </row>
    <row r="29" spans="1:1">
      <c r="A29" s="384" t="s">
        <v>427</v>
      </c>
    </row>
    <row r="30" spans="1:1">
      <c r="A30" s="384"/>
    </row>
    <row r="31" spans="1:1">
      <c r="A31" s="383" t="s">
        <v>428</v>
      </c>
    </row>
    <row r="32" spans="1:1">
      <c r="A32" s="383"/>
    </row>
    <row r="33" spans="1:8">
      <c r="A33" s="384" t="str">
        <f>CONCATENATE("If your financial records for ",inputPrYr!C5-2," are not closed")</f>
        <v>If your financial records for 2012 are not closed</v>
      </c>
      <c r="B33" s="384"/>
      <c r="C33" s="384"/>
      <c r="D33" s="384"/>
      <c r="E33" s="384"/>
      <c r="F33" s="384"/>
      <c r="G33" s="384"/>
      <c r="H33" s="384"/>
    </row>
    <row r="34" spans="1:8">
      <c r="A34" s="384" t="str">
        <f>CONCATENATE("(i.e. an audit has not been completed, or the ",inputPrYr!C5," adopted ")</f>
        <v xml:space="preserve">(i.e. an audit has not been completed, or the 2014 adopted </v>
      </c>
      <c r="B34" s="384"/>
      <c r="C34" s="384"/>
      <c r="D34" s="384"/>
      <c r="E34" s="384"/>
      <c r="F34" s="384"/>
      <c r="G34" s="384"/>
      <c r="H34" s="384"/>
    </row>
    <row r="35" spans="1:8">
      <c r="A35" s="384" t="s">
        <v>429</v>
      </c>
      <c r="B35" s="384"/>
      <c r="C35" s="384"/>
      <c r="D35" s="384"/>
      <c r="E35" s="384"/>
      <c r="F35" s="384"/>
      <c r="G35" s="384"/>
      <c r="H35" s="384"/>
    </row>
    <row r="36" spans="1:8">
      <c r="A36" s="384" t="s">
        <v>430</v>
      </c>
      <c r="B36" s="384"/>
      <c r="C36" s="384"/>
      <c r="D36" s="384"/>
      <c r="E36" s="384"/>
      <c r="F36" s="384"/>
      <c r="G36" s="384"/>
      <c r="H36" s="384"/>
    </row>
    <row r="37" spans="1:8">
      <c r="A37" s="384" t="s">
        <v>431</v>
      </c>
      <c r="B37" s="384"/>
      <c r="C37" s="384"/>
      <c r="D37" s="384"/>
      <c r="E37" s="384"/>
      <c r="F37" s="384"/>
      <c r="G37" s="384"/>
      <c r="H37" s="384"/>
    </row>
    <row r="38" spans="1:8">
      <c r="A38" s="384" t="s">
        <v>432</v>
      </c>
      <c r="B38" s="384"/>
      <c r="C38" s="384"/>
      <c r="D38" s="384"/>
      <c r="E38" s="384"/>
      <c r="F38" s="384"/>
      <c r="G38" s="384"/>
      <c r="H38" s="384"/>
    </row>
    <row r="39" spans="1:8">
      <c r="A39" s="384" t="s">
        <v>433</v>
      </c>
      <c r="B39" s="384"/>
      <c r="C39" s="384"/>
      <c r="D39" s="384"/>
      <c r="E39" s="384"/>
      <c r="F39" s="384"/>
      <c r="G39" s="384"/>
      <c r="H39" s="384"/>
    </row>
    <row r="40" spans="1:8">
      <c r="A40" s="384"/>
      <c r="B40" s="384"/>
      <c r="C40" s="384"/>
      <c r="D40" s="384"/>
      <c r="E40" s="384"/>
      <c r="F40" s="384"/>
      <c r="G40" s="384"/>
      <c r="H40" s="384"/>
    </row>
    <row r="41" spans="1:8">
      <c r="A41" s="384" t="s">
        <v>434</v>
      </c>
      <c r="B41" s="384"/>
      <c r="C41" s="384"/>
      <c r="D41" s="384"/>
      <c r="E41" s="384"/>
      <c r="F41" s="384"/>
      <c r="G41" s="384"/>
      <c r="H41" s="384"/>
    </row>
    <row r="42" spans="1:8">
      <c r="A42" s="384" t="s">
        <v>435</v>
      </c>
      <c r="B42" s="384"/>
      <c r="C42" s="384"/>
      <c r="D42" s="384"/>
      <c r="E42" s="384"/>
      <c r="F42" s="384"/>
      <c r="G42" s="384"/>
      <c r="H42" s="384"/>
    </row>
    <row r="43" spans="1:8">
      <c r="A43" s="384" t="s">
        <v>436</v>
      </c>
      <c r="B43" s="384"/>
      <c r="C43" s="384"/>
      <c r="D43" s="384"/>
      <c r="E43" s="384"/>
      <c r="F43" s="384"/>
      <c r="G43" s="384"/>
      <c r="H43" s="384"/>
    </row>
    <row r="44" spans="1:8">
      <c r="A44" s="384" t="s">
        <v>437</v>
      </c>
      <c r="B44" s="384"/>
      <c r="C44" s="384"/>
      <c r="D44" s="384"/>
      <c r="E44" s="384"/>
      <c r="F44" s="384"/>
      <c r="G44" s="384"/>
      <c r="H44" s="384"/>
    </row>
    <row r="45" spans="1:8">
      <c r="A45" s="384"/>
      <c r="B45" s="384"/>
      <c r="C45" s="384"/>
      <c r="D45" s="384"/>
      <c r="E45" s="384"/>
      <c r="F45" s="384"/>
      <c r="G45" s="384"/>
      <c r="H45" s="384"/>
    </row>
    <row r="46" spans="1:8">
      <c r="A46" s="384" t="s">
        <v>438</v>
      </c>
      <c r="B46" s="384"/>
      <c r="C46" s="384"/>
      <c r="D46" s="384"/>
      <c r="E46" s="384"/>
      <c r="F46" s="384"/>
      <c r="G46" s="384"/>
      <c r="H46" s="384"/>
    </row>
    <row r="47" spans="1:8">
      <c r="A47" s="384" t="s">
        <v>439</v>
      </c>
      <c r="B47" s="384"/>
      <c r="C47" s="384"/>
      <c r="D47" s="384"/>
      <c r="E47" s="384"/>
      <c r="F47" s="384"/>
      <c r="G47" s="384"/>
      <c r="H47" s="384"/>
    </row>
    <row r="48" spans="1:8">
      <c r="A48" s="384" t="s">
        <v>440</v>
      </c>
      <c r="B48" s="384"/>
      <c r="C48" s="384"/>
      <c r="D48" s="384"/>
      <c r="E48" s="384"/>
      <c r="F48" s="384"/>
      <c r="G48" s="384"/>
      <c r="H48" s="384"/>
    </row>
    <row r="49" spans="1:8">
      <c r="A49" s="384" t="s">
        <v>441</v>
      </c>
      <c r="B49" s="384"/>
      <c r="C49" s="384"/>
      <c r="D49" s="384"/>
      <c r="E49" s="384"/>
      <c r="F49" s="384"/>
      <c r="G49" s="384"/>
      <c r="H49" s="384"/>
    </row>
    <row r="50" spans="1:8">
      <c r="A50" s="384" t="s">
        <v>442</v>
      </c>
      <c r="B50" s="384"/>
      <c r="C50" s="384"/>
      <c r="D50" s="384"/>
      <c r="E50" s="384"/>
      <c r="F50" s="384"/>
      <c r="G50" s="384"/>
      <c r="H50" s="384"/>
    </row>
    <row r="51" spans="1:8">
      <c r="A51" s="384"/>
      <c r="B51" s="384"/>
      <c r="C51" s="384"/>
      <c r="D51" s="384"/>
      <c r="E51" s="384"/>
      <c r="F51" s="384"/>
      <c r="G51" s="384"/>
      <c r="H51" s="384"/>
    </row>
    <row r="52" spans="1:8">
      <c r="A52" s="383" t="s">
        <v>443</v>
      </c>
      <c r="B52" s="383"/>
      <c r="C52" s="383"/>
      <c r="D52" s="383"/>
      <c r="E52" s="383"/>
      <c r="F52" s="383"/>
      <c r="G52" s="383"/>
      <c r="H52" s="384"/>
    </row>
    <row r="53" spans="1:8">
      <c r="A53" s="383" t="s">
        <v>444</v>
      </c>
      <c r="B53" s="383"/>
      <c r="C53" s="383"/>
      <c r="D53" s="383"/>
      <c r="E53" s="383"/>
      <c r="F53" s="383"/>
      <c r="G53" s="383"/>
      <c r="H53" s="384"/>
    </row>
    <row r="54" spans="1:8">
      <c r="A54" s="384"/>
      <c r="B54" s="384"/>
      <c r="C54" s="384"/>
      <c r="D54" s="384"/>
      <c r="E54" s="384"/>
      <c r="F54" s="384"/>
      <c r="G54" s="384"/>
      <c r="H54" s="384"/>
    </row>
    <row r="55" spans="1:8">
      <c r="A55" s="384" t="s">
        <v>445</v>
      </c>
      <c r="B55" s="384"/>
      <c r="C55" s="384"/>
      <c r="D55" s="384"/>
      <c r="E55" s="384"/>
      <c r="F55" s="384"/>
      <c r="G55" s="384"/>
      <c r="H55" s="384"/>
    </row>
    <row r="56" spans="1:8">
      <c r="A56" s="384" t="s">
        <v>446</v>
      </c>
      <c r="B56" s="384"/>
      <c r="C56" s="384"/>
      <c r="D56" s="384"/>
      <c r="E56" s="384"/>
      <c r="F56" s="384"/>
      <c r="G56" s="384"/>
      <c r="H56" s="384"/>
    </row>
    <row r="57" spans="1:8">
      <c r="A57" s="384" t="s">
        <v>447</v>
      </c>
      <c r="B57" s="384"/>
      <c r="C57" s="384"/>
      <c r="D57" s="384"/>
      <c r="E57" s="384"/>
      <c r="F57" s="384"/>
      <c r="G57" s="384"/>
      <c r="H57" s="384"/>
    </row>
    <row r="58" spans="1:8">
      <c r="A58" s="384" t="s">
        <v>448</v>
      </c>
      <c r="B58" s="384"/>
      <c r="C58" s="384"/>
      <c r="D58" s="384"/>
      <c r="E58" s="384"/>
      <c r="F58" s="384"/>
      <c r="G58" s="384"/>
      <c r="H58" s="384"/>
    </row>
    <row r="59" spans="1:8">
      <c r="A59" s="384"/>
      <c r="B59" s="384"/>
      <c r="C59" s="384"/>
      <c r="D59" s="384"/>
      <c r="E59" s="384"/>
      <c r="F59" s="384"/>
      <c r="G59" s="384"/>
      <c r="H59" s="384"/>
    </row>
    <row r="60" spans="1:8">
      <c r="A60" s="384" t="s">
        <v>449</v>
      </c>
      <c r="B60" s="384"/>
      <c r="C60" s="384"/>
      <c r="D60" s="384"/>
      <c r="E60" s="384"/>
      <c r="F60" s="384"/>
      <c r="G60" s="384"/>
      <c r="H60" s="384"/>
    </row>
    <row r="61" spans="1:8">
      <c r="A61" s="384" t="s">
        <v>450</v>
      </c>
      <c r="B61" s="384"/>
      <c r="C61" s="384"/>
      <c r="D61" s="384"/>
      <c r="E61" s="384"/>
      <c r="F61" s="384"/>
      <c r="G61" s="384"/>
      <c r="H61" s="384"/>
    </row>
    <row r="62" spans="1:8">
      <c r="A62" s="384" t="s">
        <v>451</v>
      </c>
      <c r="B62" s="384"/>
      <c r="C62" s="384"/>
      <c r="D62" s="384"/>
      <c r="E62" s="384"/>
      <c r="F62" s="384"/>
      <c r="G62" s="384"/>
      <c r="H62" s="384"/>
    </row>
    <row r="63" spans="1:8">
      <c r="A63" s="384" t="s">
        <v>452</v>
      </c>
      <c r="B63" s="384"/>
      <c r="C63" s="384"/>
      <c r="D63" s="384"/>
      <c r="E63" s="384"/>
      <c r="F63" s="384"/>
      <c r="G63" s="384"/>
      <c r="H63" s="384"/>
    </row>
    <row r="64" spans="1:8">
      <c r="A64" s="384" t="s">
        <v>453</v>
      </c>
      <c r="B64" s="384"/>
      <c r="C64" s="384"/>
      <c r="D64" s="384"/>
      <c r="E64" s="384"/>
      <c r="F64" s="384"/>
      <c r="G64" s="384"/>
      <c r="H64" s="384"/>
    </row>
    <row r="65" spans="1:8">
      <c r="A65" s="384" t="s">
        <v>454</v>
      </c>
      <c r="B65" s="384"/>
      <c r="C65" s="384"/>
      <c r="D65" s="384"/>
      <c r="E65" s="384"/>
      <c r="F65" s="384"/>
      <c r="G65" s="384"/>
      <c r="H65" s="384"/>
    </row>
    <row r="66" spans="1:8">
      <c r="A66" s="384"/>
      <c r="B66" s="384"/>
      <c r="C66" s="384"/>
      <c r="D66" s="384"/>
      <c r="E66" s="384"/>
      <c r="F66" s="384"/>
      <c r="G66" s="384"/>
      <c r="H66" s="384"/>
    </row>
    <row r="67" spans="1:8">
      <c r="A67" s="384" t="s">
        <v>455</v>
      </c>
      <c r="B67" s="384"/>
      <c r="C67" s="384"/>
      <c r="D67" s="384"/>
      <c r="E67" s="384"/>
      <c r="F67" s="384"/>
      <c r="G67" s="384"/>
      <c r="H67" s="384"/>
    </row>
    <row r="68" spans="1:8">
      <c r="A68" s="384" t="s">
        <v>456</v>
      </c>
      <c r="B68" s="384"/>
      <c r="C68" s="384"/>
      <c r="D68" s="384"/>
      <c r="E68" s="384"/>
      <c r="F68" s="384"/>
      <c r="G68" s="384"/>
      <c r="H68" s="384"/>
    </row>
    <row r="69" spans="1:8">
      <c r="A69" s="384" t="s">
        <v>457</v>
      </c>
      <c r="B69" s="384"/>
      <c r="C69" s="384"/>
      <c r="D69" s="384"/>
      <c r="E69" s="384"/>
      <c r="F69" s="384"/>
      <c r="G69" s="384"/>
      <c r="H69" s="384"/>
    </row>
    <row r="70" spans="1:8">
      <c r="A70" s="384" t="s">
        <v>458</v>
      </c>
      <c r="B70" s="384"/>
      <c r="C70" s="384"/>
      <c r="D70" s="384"/>
      <c r="E70" s="384"/>
      <c r="F70" s="384"/>
      <c r="G70" s="384"/>
      <c r="H70" s="384"/>
    </row>
    <row r="71" spans="1:8">
      <c r="A71" s="384" t="s">
        <v>459</v>
      </c>
      <c r="B71" s="384"/>
      <c r="C71" s="384"/>
      <c r="D71" s="384"/>
      <c r="E71" s="384"/>
      <c r="F71" s="384"/>
      <c r="G71" s="384"/>
      <c r="H71" s="384"/>
    </row>
    <row r="72" spans="1:8">
      <c r="A72" s="384" t="s">
        <v>460</v>
      </c>
      <c r="B72" s="384"/>
      <c r="C72" s="384"/>
      <c r="D72" s="384"/>
      <c r="E72" s="384"/>
      <c r="F72" s="384"/>
      <c r="G72" s="384"/>
      <c r="H72" s="384"/>
    </row>
    <row r="73" spans="1:8">
      <c r="A73" s="384" t="s">
        <v>461</v>
      </c>
      <c r="B73" s="384"/>
      <c r="C73" s="384"/>
      <c r="D73" s="384"/>
      <c r="E73" s="384"/>
      <c r="F73" s="384"/>
      <c r="G73" s="384"/>
      <c r="H73" s="384"/>
    </row>
    <row r="74" spans="1:8">
      <c r="A74" s="384"/>
      <c r="B74" s="384"/>
      <c r="C74" s="384"/>
      <c r="D74" s="384"/>
      <c r="E74" s="384"/>
      <c r="F74" s="384"/>
      <c r="G74" s="384"/>
      <c r="H74" s="384"/>
    </row>
    <row r="75" spans="1:8">
      <c r="A75" s="384" t="s">
        <v>462</v>
      </c>
      <c r="B75" s="384"/>
      <c r="C75" s="384"/>
      <c r="D75" s="384"/>
      <c r="E75" s="384"/>
      <c r="F75" s="384"/>
      <c r="G75" s="384"/>
      <c r="H75" s="384"/>
    </row>
    <row r="76" spans="1:8">
      <c r="A76" s="384" t="s">
        <v>463</v>
      </c>
      <c r="B76" s="384"/>
      <c r="C76" s="384"/>
      <c r="D76" s="384"/>
      <c r="E76" s="384"/>
      <c r="F76" s="384"/>
      <c r="G76" s="384"/>
      <c r="H76" s="384"/>
    </row>
    <row r="77" spans="1:8">
      <c r="A77" s="384" t="s">
        <v>464</v>
      </c>
      <c r="B77" s="384"/>
      <c r="C77" s="384"/>
      <c r="D77" s="384"/>
      <c r="E77" s="384"/>
      <c r="F77" s="384"/>
      <c r="G77" s="384"/>
      <c r="H77" s="384"/>
    </row>
    <row r="78" spans="1:8">
      <c r="A78" s="384"/>
      <c r="B78" s="384"/>
      <c r="C78" s="384"/>
      <c r="D78" s="384"/>
      <c r="E78" s="384"/>
      <c r="F78" s="384"/>
      <c r="G78" s="384"/>
      <c r="H78" s="384"/>
    </row>
    <row r="79" spans="1:8">
      <c r="A79" s="384" t="s">
        <v>465</v>
      </c>
    </row>
    <row r="80" spans="1:8">
      <c r="A80" s="383"/>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1" spans="1:1">
      <c r="A91"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3" spans="1:1">
      <c r="A103" s="384"/>
    </row>
    <row r="104" spans="1:1">
      <c r="A104" s="384"/>
    </row>
    <row r="105" spans="1:1">
      <c r="A105" s="384"/>
    </row>
    <row r="107" spans="1:1">
      <c r="A107" s="383"/>
    </row>
    <row r="108" spans="1:1">
      <c r="A108" s="383"/>
    </row>
    <row r="109" spans="1:1">
      <c r="A109" s="383"/>
    </row>
  </sheetData>
  <sheetProtection sheet="1"/>
  <pageMargins left="0.7" right="0.7" top="0.75" bottom="0.75" header="0.3" footer="0.3"/>
  <pageSetup orientation="portrait" r:id="rId1"/>
  <headerFooter>
    <oddFooter>&amp;Lrevised 10/02/09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6" sqref="A6"/>
    </sheetView>
  </sheetViews>
  <sheetFormatPr defaultRowHeight="15"/>
  <cols>
    <col min="1" max="1" width="71.33203125" customWidth="1"/>
  </cols>
  <sheetData>
    <row r="3" spans="1:12">
      <c r="A3" s="385" t="s">
        <v>522</v>
      </c>
      <c r="B3" s="385"/>
      <c r="C3" s="385"/>
      <c r="D3" s="385"/>
      <c r="E3" s="385"/>
      <c r="F3" s="385"/>
      <c r="G3" s="385"/>
      <c r="H3" s="385"/>
      <c r="I3" s="385"/>
      <c r="J3" s="385"/>
      <c r="K3" s="385"/>
      <c r="L3" s="385"/>
    </row>
    <row r="4" spans="1:12">
      <c r="A4" s="385"/>
      <c r="B4" s="385"/>
      <c r="C4" s="385"/>
      <c r="D4" s="385"/>
      <c r="E4" s="385"/>
      <c r="F4" s="385"/>
      <c r="G4" s="385"/>
      <c r="H4" s="385"/>
      <c r="I4" s="385"/>
      <c r="J4" s="385"/>
      <c r="K4" s="385"/>
      <c r="L4" s="385"/>
    </row>
    <row r="5" spans="1:12">
      <c r="A5" s="384" t="s">
        <v>467</v>
      </c>
      <c r="I5" s="385"/>
      <c r="J5" s="385"/>
      <c r="K5" s="385"/>
      <c r="L5" s="385"/>
    </row>
    <row r="6" spans="1:12">
      <c r="A6" s="384" t="str">
        <f>CONCATENATE("estimated ",inputPrYr!C5-1," 'total expenditures' exceed your ",inputPrYr!C5-1,"")</f>
        <v>estimated 2013 'total expenditures' exceed your 2013</v>
      </c>
      <c r="I6" s="385"/>
      <c r="J6" s="385"/>
      <c r="K6" s="385"/>
      <c r="L6" s="385"/>
    </row>
    <row r="7" spans="1:12">
      <c r="A7" s="387" t="s">
        <v>523</v>
      </c>
      <c r="I7" s="385"/>
      <c r="J7" s="385"/>
      <c r="K7" s="385"/>
      <c r="L7" s="385"/>
    </row>
    <row r="8" spans="1:12">
      <c r="A8" s="384"/>
      <c r="I8" s="385"/>
      <c r="J8" s="385"/>
      <c r="K8" s="385"/>
      <c r="L8" s="385"/>
    </row>
    <row r="9" spans="1:12">
      <c r="A9" s="384" t="s">
        <v>524</v>
      </c>
      <c r="I9" s="385"/>
      <c r="J9" s="385"/>
      <c r="K9" s="385"/>
      <c r="L9" s="385"/>
    </row>
    <row r="10" spans="1:12">
      <c r="A10" s="384" t="s">
        <v>525</v>
      </c>
      <c r="I10" s="385"/>
      <c r="J10" s="385"/>
      <c r="K10" s="385"/>
      <c r="L10" s="385"/>
    </row>
    <row r="11" spans="1:12">
      <c r="A11" s="384" t="s">
        <v>526</v>
      </c>
      <c r="I11" s="385"/>
      <c r="J11" s="385"/>
      <c r="K11" s="385"/>
      <c r="L11" s="385"/>
    </row>
    <row r="12" spans="1:12">
      <c r="A12" s="384" t="s">
        <v>527</v>
      </c>
      <c r="I12" s="385"/>
      <c r="J12" s="385"/>
      <c r="K12" s="385"/>
      <c r="L12" s="385"/>
    </row>
    <row r="13" spans="1:12">
      <c r="A13" s="384" t="s">
        <v>528</v>
      </c>
      <c r="I13" s="385"/>
      <c r="J13" s="385"/>
      <c r="K13" s="385"/>
      <c r="L13" s="385"/>
    </row>
    <row r="14" spans="1:12">
      <c r="A14" s="385"/>
      <c r="B14" s="385"/>
      <c r="C14" s="385"/>
      <c r="D14" s="385"/>
      <c r="E14" s="385"/>
      <c r="F14" s="385"/>
      <c r="G14" s="385"/>
      <c r="H14" s="385"/>
      <c r="I14" s="385"/>
      <c r="J14" s="385"/>
      <c r="K14" s="385"/>
      <c r="L14" s="385"/>
    </row>
    <row r="15" spans="1:12">
      <c r="A15" s="383" t="s">
        <v>529</v>
      </c>
    </row>
    <row r="16" spans="1:12">
      <c r="A16" s="383" t="s">
        <v>530</v>
      </c>
    </row>
    <row r="17" spans="1:7">
      <c r="A17" s="383"/>
    </row>
    <row r="18" spans="1:7">
      <c r="A18" s="384" t="s">
        <v>531</v>
      </c>
      <c r="B18" s="384"/>
      <c r="C18" s="384"/>
      <c r="D18" s="384"/>
      <c r="E18" s="384"/>
      <c r="F18" s="384"/>
      <c r="G18" s="384"/>
    </row>
    <row r="19" spans="1:7">
      <c r="A19" s="384" t="str">
        <f>CONCATENATE("your ",inputPrYr!C5-1," numbers to see what steps might be necessary to")</f>
        <v>your 2013 numbers to see what steps might be necessary to</v>
      </c>
      <c r="B19" s="384"/>
      <c r="C19" s="384"/>
      <c r="D19" s="384"/>
      <c r="E19" s="384"/>
      <c r="F19" s="384"/>
      <c r="G19" s="384"/>
    </row>
    <row r="20" spans="1:7">
      <c r="A20" s="384" t="s">
        <v>532</v>
      </c>
      <c r="B20" s="384"/>
      <c r="C20" s="384"/>
      <c r="D20" s="384"/>
      <c r="E20" s="384"/>
      <c r="F20" s="384"/>
      <c r="G20" s="384"/>
    </row>
    <row r="21" spans="1:7">
      <c r="A21" s="384" t="s">
        <v>533</v>
      </c>
      <c r="B21" s="384"/>
      <c r="C21" s="384"/>
      <c r="D21" s="384"/>
      <c r="E21" s="384"/>
      <c r="F21" s="384"/>
      <c r="G21" s="384"/>
    </row>
    <row r="22" spans="1:7">
      <c r="A22" s="384"/>
    </row>
    <row r="23" spans="1:7">
      <c r="A23" s="383" t="s">
        <v>534</v>
      </c>
    </row>
    <row r="24" spans="1:7">
      <c r="A24" s="383"/>
    </row>
    <row r="25" spans="1:7">
      <c r="A25" s="384" t="s">
        <v>535</v>
      </c>
    </row>
    <row r="26" spans="1:7">
      <c r="A26" s="384" t="s">
        <v>536</v>
      </c>
      <c r="B26" s="384"/>
      <c r="C26" s="384"/>
      <c r="D26" s="384"/>
      <c r="E26" s="384"/>
      <c r="F26" s="384"/>
    </row>
    <row r="27" spans="1:7">
      <c r="A27" s="384" t="s">
        <v>537</v>
      </c>
      <c r="B27" s="384"/>
      <c r="C27" s="384"/>
      <c r="D27" s="384"/>
      <c r="E27" s="384"/>
      <c r="F27" s="384"/>
    </row>
    <row r="28" spans="1:7">
      <c r="A28" s="384" t="s">
        <v>538</v>
      </c>
      <c r="B28" s="384"/>
      <c r="C28" s="384"/>
      <c r="D28" s="384"/>
      <c r="E28" s="384"/>
      <c r="F28" s="384"/>
    </row>
    <row r="29" spans="1:7">
      <c r="A29" s="384"/>
      <c r="B29" s="384"/>
      <c r="C29" s="384"/>
      <c r="D29" s="384"/>
      <c r="E29" s="384"/>
      <c r="F29" s="384"/>
    </row>
    <row r="30" spans="1:7">
      <c r="A30" s="383" t="s">
        <v>539</v>
      </c>
      <c r="B30" s="383"/>
      <c r="C30" s="383"/>
      <c r="D30" s="383"/>
      <c r="E30" s="383"/>
      <c r="F30" s="383"/>
      <c r="G30" s="383"/>
    </row>
    <row r="31" spans="1:7">
      <c r="A31" s="383" t="s">
        <v>540</v>
      </c>
      <c r="B31" s="383"/>
      <c r="C31" s="383"/>
      <c r="D31" s="383"/>
      <c r="E31" s="383"/>
      <c r="F31" s="383"/>
      <c r="G31" s="383"/>
    </row>
    <row r="32" spans="1:7">
      <c r="A32" s="384"/>
      <c r="B32" s="384"/>
      <c r="C32" s="384"/>
      <c r="D32" s="384"/>
      <c r="E32" s="384"/>
      <c r="F32" s="384"/>
    </row>
    <row r="33" spans="1:6">
      <c r="A33" s="388" t="str">
        <f>CONCATENATE("Well, let's look to see if any of your ",inputPrYr!C5-1," expenditures can")</f>
        <v>Well, let's look to see if any of your 2013 expenditures can</v>
      </c>
      <c r="B33" s="384"/>
      <c r="C33" s="384"/>
      <c r="D33" s="384"/>
      <c r="E33" s="384"/>
      <c r="F33" s="384"/>
    </row>
    <row r="34" spans="1:6">
      <c r="A34" s="388" t="s">
        <v>541</v>
      </c>
      <c r="B34" s="384"/>
      <c r="C34" s="384"/>
      <c r="D34" s="384"/>
      <c r="E34" s="384"/>
      <c r="F34" s="384"/>
    </row>
    <row r="35" spans="1:6">
      <c r="A35" s="388" t="s">
        <v>481</v>
      </c>
      <c r="B35" s="384"/>
      <c r="C35" s="384"/>
      <c r="D35" s="384"/>
      <c r="E35" s="384"/>
      <c r="F35" s="384"/>
    </row>
    <row r="36" spans="1:6">
      <c r="A36" s="388" t="s">
        <v>482</v>
      </c>
      <c r="B36" s="384"/>
      <c r="C36" s="384"/>
      <c r="D36" s="384"/>
      <c r="E36" s="384"/>
      <c r="F36" s="384"/>
    </row>
    <row r="37" spans="1:6">
      <c r="A37" s="388"/>
      <c r="B37" s="384"/>
      <c r="C37" s="384"/>
      <c r="D37" s="384"/>
      <c r="E37" s="384"/>
      <c r="F37" s="384"/>
    </row>
    <row r="38" spans="1:6">
      <c r="A38" s="388" t="str">
        <f>CONCATENATE("Additionally, do your ",inputPrYr!C5-1," receipts contain a reimbursement")</f>
        <v>Additionally, do your 2013 receipts contain a reimbursement</v>
      </c>
      <c r="B38" s="384"/>
      <c r="C38" s="384"/>
      <c r="D38" s="384"/>
      <c r="E38" s="384"/>
      <c r="F38" s="384"/>
    </row>
    <row r="39" spans="1:6">
      <c r="A39" s="388" t="s">
        <v>483</v>
      </c>
      <c r="B39" s="384"/>
      <c r="C39" s="384"/>
      <c r="D39" s="384"/>
      <c r="E39" s="384"/>
      <c r="F39" s="384"/>
    </row>
    <row r="40" spans="1:6">
      <c r="A40" s="388" t="s">
        <v>484</v>
      </c>
      <c r="B40" s="384"/>
      <c r="C40" s="384"/>
      <c r="D40" s="384"/>
      <c r="E40" s="384"/>
      <c r="F40" s="384"/>
    </row>
    <row r="41" spans="1:6">
      <c r="A41" s="388"/>
      <c r="B41" s="384"/>
      <c r="C41" s="384"/>
      <c r="D41" s="384"/>
      <c r="E41" s="384"/>
      <c r="F41" s="384"/>
    </row>
    <row r="42" spans="1:6">
      <c r="A42" s="388" t="s">
        <v>485</v>
      </c>
      <c r="B42" s="384"/>
      <c r="C42" s="384"/>
      <c r="D42" s="384"/>
      <c r="E42" s="384"/>
      <c r="F42" s="384"/>
    </row>
    <row r="43" spans="1:6">
      <c r="A43" s="388" t="s">
        <v>486</v>
      </c>
      <c r="B43" s="384"/>
      <c r="C43" s="384"/>
      <c r="D43" s="384"/>
      <c r="E43" s="384"/>
      <c r="F43" s="384"/>
    </row>
    <row r="44" spans="1:6">
      <c r="A44" s="388" t="s">
        <v>487</v>
      </c>
      <c r="B44" s="384"/>
      <c r="C44" s="384"/>
      <c r="D44" s="384"/>
      <c r="E44" s="384"/>
      <c r="F44" s="384"/>
    </row>
    <row r="45" spans="1:6">
      <c r="A45" s="388" t="s">
        <v>542</v>
      </c>
      <c r="B45" s="384"/>
      <c r="C45" s="384"/>
      <c r="D45" s="384"/>
      <c r="E45" s="384"/>
      <c r="F45" s="384"/>
    </row>
    <row r="46" spans="1:6">
      <c r="A46" s="388" t="s">
        <v>489</v>
      </c>
      <c r="B46" s="384"/>
      <c r="C46" s="384"/>
      <c r="D46" s="384"/>
      <c r="E46" s="384"/>
      <c r="F46" s="384"/>
    </row>
    <row r="47" spans="1:6">
      <c r="A47" s="388" t="s">
        <v>543</v>
      </c>
      <c r="B47" s="384"/>
      <c r="C47" s="384"/>
      <c r="D47" s="384"/>
      <c r="E47" s="384"/>
      <c r="F47" s="384"/>
    </row>
    <row r="48" spans="1:6">
      <c r="A48" s="388" t="s">
        <v>544</v>
      </c>
      <c r="B48" s="384"/>
      <c r="C48" s="384"/>
      <c r="D48" s="384"/>
      <c r="E48" s="384"/>
      <c r="F48" s="384"/>
    </row>
    <row r="49" spans="1:6">
      <c r="A49" s="388" t="s">
        <v>492</v>
      </c>
      <c r="B49" s="384"/>
      <c r="C49" s="384"/>
      <c r="D49" s="384"/>
      <c r="E49" s="384"/>
      <c r="F49" s="384"/>
    </row>
    <row r="50" spans="1:6">
      <c r="A50" s="388"/>
      <c r="B50" s="384"/>
      <c r="C50" s="384"/>
      <c r="D50" s="384"/>
      <c r="E50" s="384"/>
      <c r="F50" s="384"/>
    </row>
    <row r="51" spans="1:6">
      <c r="A51" s="388" t="s">
        <v>493</v>
      </c>
      <c r="B51" s="384"/>
      <c r="C51" s="384"/>
      <c r="D51" s="384"/>
      <c r="E51" s="384"/>
      <c r="F51" s="384"/>
    </row>
    <row r="52" spans="1:6">
      <c r="A52" s="388" t="s">
        <v>494</v>
      </c>
      <c r="B52" s="384"/>
      <c r="C52" s="384"/>
      <c r="D52" s="384"/>
      <c r="E52" s="384"/>
      <c r="F52" s="384"/>
    </row>
    <row r="53" spans="1:6">
      <c r="A53" s="388" t="s">
        <v>495</v>
      </c>
      <c r="B53" s="384"/>
      <c r="C53" s="384"/>
      <c r="D53" s="384"/>
      <c r="E53" s="384"/>
      <c r="F53" s="384"/>
    </row>
    <row r="54" spans="1:6">
      <c r="A54" s="388"/>
      <c r="B54" s="384"/>
      <c r="C54" s="384"/>
      <c r="D54" s="384"/>
      <c r="E54" s="384"/>
      <c r="F54" s="384"/>
    </row>
    <row r="55" spans="1:6">
      <c r="A55" s="388" t="s">
        <v>545</v>
      </c>
      <c r="B55" s="384"/>
      <c r="C55" s="384"/>
      <c r="D55" s="384"/>
      <c r="E55" s="384"/>
      <c r="F55" s="384"/>
    </row>
    <row r="56" spans="1:6">
      <c r="A56" s="388" t="s">
        <v>546</v>
      </c>
      <c r="B56" s="384"/>
      <c r="C56" s="384"/>
      <c r="D56" s="384"/>
      <c r="E56" s="384"/>
      <c r="F56" s="384"/>
    </row>
    <row r="57" spans="1:6">
      <c r="A57" s="388" t="s">
        <v>547</v>
      </c>
      <c r="B57" s="384"/>
      <c r="C57" s="384"/>
      <c r="D57" s="384"/>
      <c r="E57" s="384"/>
      <c r="F57" s="384"/>
    </row>
    <row r="58" spans="1:6">
      <c r="A58" s="388" t="s">
        <v>548</v>
      </c>
      <c r="B58" s="384"/>
      <c r="C58" s="384"/>
      <c r="D58" s="384"/>
      <c r="E58" s="384"/>
      <c r="F58" s="384"/>
    </row>
    <row r="59" spans="1:6">
      <c r="A59" s="388" t="s">
        <v>549</v>
      </c>
      <c r="B59" s="384"/>
      <c r="C59" s="384"/>
      <c r="D59" s="384"/>
      <c r="E59" s="384"/>
      <c r="F59" s="384"/>
    </row>
    <row r="60" spans="1:6">
      <c r="A60" s="388"/>
      <c r="B60" s="384"/>
      <c r="C60" s="384"/>
      <c r="D60" s="384"/>
      <c r="E60" s="384"/>
      <c r="F60" s="384"/>
    </row>
    <row r="61" spans="1:6">
      <c r="A61" s="389" t="s">
        <v>550</v>
      </c>
      <c r="B61" s="384"/>
      <c r="C61" s="384"/>
      <c r="D61" s="384"/>
      <c r="E61" s="384"/>
      <c r="F61" s="384"/>
    </row>
    <row r="62" spans="1:6">
      <c r="A62" s="389" t="s">
        <v>551</v>
      </c>
      <c r="B62" s="384"/>
      <c r="C62" s="384"/>
      <c r="D62" s="384"/>
      <c r="E62" s="384"/>
      <c r="F62" s="384"/>
    </row>
    <row r="63" spans="1:6">
      <c r="A63" s="389" t="s">
        <v>552</v>
      </c>
      <c r="B63" s="384"/>
      <c r="C63" s="384"/>
      <c r="D63" s="384"/>
      <c r="E63" s="384"/>
      <c r="F63" s="384"/>
    </row>
    <row r="64" spans="1:6">
      <c r="A64" s="389" t="s">
        <v>553</v>
      </c>
    </row>
    <row r="65" spans="1:1">
      <c r="A65" s="389" t="s">
        <v>554</v>
      </c>
    </row>
    <row r="66" spans="1:1">
      <c r="A66" s="389" t="s">
        <v>555</v>
      </c>
    </row>
    <row r="68" spans="1:1">
      <c r="A68" s="384" t="s">
        <v>556</v>
      </c>
    </row>
    <row r="69" spans="1:1">
      <c r="A69" s="384" t="s">
        <v>557</v>
      </c>
    </row>
    <row r="70" spans="1:1">
      <c r="A70" s="384" t="s">
        <v>558</v>
      </c>
    </row>
    <row r="71" spans="1:1">
      <c r="A71" s="384" t="s">
        <v>559</v>
      </c>
    </row>
    <row r="72" spans="1:1">
      <c r="A72" s="384" t="s">
        <v>560</v>
      </c>
    </row>
    <row r="73" spans="1:1">
      <c r="A73" s="384" t="s">
        <v>561</v>
      </c>
    </row>
    <row r="75" spans="1:1">
      <c r="A75" s="384" t="s">
        <v>465</v>
      </c>
    </row>
  </sheetData>
  <sheetProtection sheet="1"/>
  <pageMargins left="0.7" right="0.7" top="0.75" bottom="0.75" header="0.3" footer="0.3"/>
  <pageSetup orientation="portrait" r:id="rId1"/>
  <headerFooter>
    <oddFooter>&amp;Lrevised 10/2/09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8"/>
  <sheetViews>
    <sheetView topLeftCell="A14" workbookViewId="0">
      <selection activeCell="D23" sqref="D23"/>
    </sheetView>
  </sheetViews>
  <sheetFormatPr defaultRowHeight="15"/>
  <cols>
    <col min="1" max="1" width="15.77734375" style="126" customWidth="1"/>
    <col min="2" max="2" width="20.77734375" style="126" customWidth="1"/>
    <col min="3" max="3" width="9.77734375" style="126" customWidth="1"/>
    <col min="4" max="4" width="15.109375" style="126" customWidth="1"/>
    <col min="5" max="5" width="15.77734375" style="126" customWidth="1"/>
    <col min="6" max="16384" width="8.88671875" style="126"/>
  </cols>
  <sheetData>
    <row r="1" spans="1:5" ht="15.75">
      <c r="A1" s="127" t="str">
        <f>inputPrYr!$D$2</f>
        <v>City of Circleville</v>
      </c>
      <c r="B1" s="128"/>
      <c r="C1" s="128"/>
      <c r="D1" s="128"/>
      <c r="E1" s="129">
        <f>inputPrYr!C5</f>
        <v>2014</v>
      </c>
    </row>
    <row r="2" spans="1:5">
      <c r="A2" s="128"/>
      <c r="B2" s="128"/>
      <c r="C2" s="128"/>
      <c r="D2" s="128"/>
      <c r="E2" s="128"/>
    </row>
    <row r="3" spans="1:5" ht="15.75">
      <c r="A3" s="769" t="s">
        <v>22</v>
      </c>
      <c r="B3" s="770"/>
      <c r="C3" s="770"/>
      <c r="D3" s="770"/>
      <c r="E3" s="770"/>
    </row>
    <row r="4" spans="1:5" ht="15.75">
      <c r="A4" s="75"/>
      <c r="B4" s="75"/>
      <c r="C4" s="75"/>
      <c r="D4" s="75"/>
      <c r="E4" s="75"/>
    </row>
    <row r="5" spans="1:5" ht="15.75">
      <c r="A5" s="75"/>
      <c r="B5" s="75"/>
      <c r="C5" s="75"/>
      <c r="D5" s="75"/>
      <c r="E5" s="75"/>
    </row>
    <row r="6" spans="1:5" ht="15.75">
      <c r="A6" s="78" t="s">
        <v>136</v>
      </c>
      <c r="B6" s="79"/>
      <c r="C6" s="64"/>
      <c r="D6" s="64"/>
      <c r="E6" s="88"/>
    </row>
    <row r="7" spans="1:5" ht="15.75">
      <c r="A7" s="130" t="str">
        <f>CONCATENATE("Total Assessed Valuation for ",E1-1,"")</f>
        <v>Total Assessed Valuation for 2013</v>
      </c>
      <c r="B7" s="115"/>
      <c r="C7" s="115"/>
      <c r="D7" s="115"/>
      <c r="E7" s="87">
        <v>554438</v>
      </c>
    </row>
    <row r="8" spans="1:5" ht="15.75">
      <c r="A8" s="130" t="str">
        <f>CONCATENATE("New Improvements for ",E1-1,"")</f>
        <v>New Improvements for 2013</v>
      </c>
      <c r="B8" s="115"/>
      <c r="C8" s="115"/>
      <c r="D8" s="115"/>
      <c r="E8" s="123">
        <v>1969</v>
      </c>
    </row>
    <row r="9" spans="1:5" ht="15.75">
      <c r="A9" s="130" t="str">
        <f>CONCATENATE("Personal Property excluding oil, gas, and mobile homes  - ",E1-1,"")</f>
        <v>Personal Property excluding oil, gas, and mobile homes  - 2013</v>
      </c>
      <c r="B9" s="115"/>
      <c r="C9" s="115"/>
      <c r="D9" s="115"/>
      <c r="E9" s="123">
        <v>3520</v>
      </c>
    </row>
    <row r="10" spans="1:5" ht="15.75">
      <c r="A10" s="132" t="s">
        <v>285</v>
      </c>
      <c r="B10" s="115"/>
      <c r="C10" s="115"/>
      <c r="D10" s="115"/>
      <c r="E10" s="108"/>
    </row>
    <row r="11" spans="1:5" ht="15.75">
      <c r="A11" s="130" t="s">
        <v>275</v>
      </c>
      <c r="B11" s="115"/>
      <c r="C11" s="115"/>
      <c r="D11" s="115"/>
      <c r="E11" s="123"/>
    </row>
    <row r="12" spans="1:5" ht="15.75">
      <c r="A12" s="130" t="s">
        <v>276</v>
      </c>
      <c r="B12" s="115"/>
      <c r="C12" s="115"/>
      <c r="D12" s="115"/>
      <c r="E12" s="123"/>
    </row>
    <row r="13" spans="1:5" ht="15.75">
      <c r="A13" s="130" t="s">
        <v>277</v>
      </c>
      <c r="B13" s="115"/>
      <c r="C13" s="115"/>
      <c r="D13" s="115"/>
      <c r="E13" s="123"/>
    </row>
    <row r="14" spans="1:5" ht="15.75">
      <c r="A14" s="130" t="str">
        <f>CONCATENATE("Property that has changed in use for ",E1-1,"")</f>
        <v>Property that has changed in use for 2013</v>
      </c>
      <c r="B14" s="115"/>
      <c r="C14" s="115"/>
      <c r="D14" s="115"/>
      <c r="E14" s="123">
        <v>283</v>
      </c>
    </row>
    <row r="15" spans="1:5" ht="15.75">
      <c r="A15" s="130" t="str">
        <f>CONCATENATE("Personal Property  excluding oil, gas, and mobile homes- ",E1-2,"")</f>
        <v>Personal Property  excluding oil, gas, and mobile homes- 2012</v>
      </c>
      <c r="B15" s="115"/>
      <c r="C15" s="115"/>
      <c r="D15" s="115"/>
      <c r="E15" s="123">
        <v>4929</v>
      </c>
    </row>
    <row r="16" spans="1:5" ht="15.75">
      <c r="A16" s="130" t="str">
        <f>CONCATENATE("Gross earnings (intangible) tax estimate for ",E1,"")</f>
        <v>Gross earnings (intangible) tax estimate for 2014</v>
      </c>
      <c r="B16" s="115"/>
      <c r="C16" s="115"/>
      <c r="D16" s="116"/>
      <c r="E16" s="87"/>
    </row>
    <row r="17" spans="1:5" ht="15.75">
      <c r="A17" s="130" t="s">
        <v>47</v>
      </c>
      <c r="B17" s="115"/>
      <c r="C17" s="115"/>
      <c r="D17" s="115"/>
      <c r="E17" s="123">
        <v>909</v>
      </c>
    </row>
    <row r="18" spans="1:5" ht="15.75">
      <c r="A18" s="99"/>
      <c r="B18" s="96"/>
      <c r="C18" s="96"/>
      <c r="D18" s="96"/>
      <c r="E18" s="101"/>
    </row>
    <row r="19" spans="1:5" ht="15.75">
      <c r="A19" s="99" t="str">
        <f>CONCATENATE("Actual Tax Rates for the ",E1-1," Budget:")</f>
        <v>Actual Tax Rates for the 2013 Budget:</v>
      </c>
      <c r="B19" s="96"/>
      <c r="C19" s="96"/>
      <c r="D19" s="96"/>
      <c r="E19" s="101">
        <v>13.746</v>
      </c>
    </row>
    <row r="20" spans="1:5" ht="15.75">
      <c r="A20" s="776" t="s">
        <v>151</v>
      </c>
      <c r="B20" s="777"/>
      <c r="C20" s="128"/>
      <c r="D20" s="133" t="s">
        <v>199</v>
      </c>
      <c r="E20" s="101"/>
    </row>
    <row r="21" spans="1:5" ht="15.75">
      <c r="A21" s="91" t="str">
        <f>inputPrYr!B17</f>
        <v>General</v>
      </c>
      <c r="B21" s="92"/>
      <c r="C21" s="96"/>
      <c r="D21" s="110">
        <v>13.746</v>
      </c>
      <c r="E21" s="101"/>
    </row>
    <row r="22" spans="1:5" ht="15.75">
      <c r="A22" s="91" t="str">
        <f>inputPrYr!B18</f>
        <v>Debt Service</v>
      </c>
      <c r="B22" s="115"/>
      <c r="C22" s="96"/>
      <c r="D22" s="110">
        <v>0</v>
      </c>
      <c r="E22" s="101"/>
    </row>
    <row r="23" spans="1:5" ht="15.75">
      <c r="A23" s="130" t="str">
        <f>inputPrYr!B19</f>
        <v>Library</v>
      </c>
      <c r="B23" s="115"/>
      <c r="C23" s="96"/>
      <c r="D23" s="110">
        <v>0</v>
      </c>
      <c r="E23" s="101"/>
    </row>
    <row r="24" spans="1:5" ht="15.75">
      <c r="A24" s="130">
        <f>inputPrYr!B21</f>
        <v>0</v>
      </c>
      <c r="B24" s="115"/>
      <c r="C24" s="96"/>
      <c r="D24" s="110"/>
      <c r="E24" s="101"/>
    </row>
    <row r="25" spans="1:5" ht="15.75">
      <c r="A25" s="130" t="str">
        <f>inputPrYr!B22</f>
        <v>Water Bond and Interest</v>
      </c>
      <c r="B25" s="115"/>
      <c r="C25" s="96"/>
      <c r="D25" s="110"/>
      <c r="E25" s="101"/>
    </row>
    <row r="26" spans="1:5" ht="15.75">
      <c r="A26" s="130">
        <f>inputPrYr!B23</f>
        <v>0</v>
      </c>
      <c r="B26" s="134"/>
      <c r="C26" s="96"/>
      <c r="D26" s="110"/>
      <c r="E26" s="101"/>
    </row>
    <row r="27" spans="1:5" ht="15.75">
      <c r="A27" s="130">
        <f>inputPrYr!B24</f>
        <v>0</v>
      </c>
      <c r="B27" s="134"/>
      <c r="C27" s="96"/>
      <c r="D27" s="110"/>
      <c r="E27" s="101"/>
    </row>
    <row r="28" spans="1:5" ht="15.75">
      <c r="A28" s="135"/>
      <c r="B28" s="86" t="s">
        <v>135</v>
      </c>
      <c r="C28" s="136"/>
      <c r="D28" s="111">
        <f>SUM(D21:D27)</f>
        <v>13.746</v>
      </c>
      <c r="E28" s="135"/>
    </row>
    <row r="29" spans="1:5">
      <c r="A29" s="135"/>
      <c r="B29" s="135"/>
      <c r="C29" s="135"/>
      <c r="D29" s="135"/>
      <c r="E29" s="135"/>
    </row>
    <row r="30" spans="1:5" ht="15.75">
      <c r="A30" s="92" t="str">
        <f>CONCATENATE("Final Assessed Valuation from the November 1, ",E1-2," Abstract")</f>
        <v>Final Assessed Valuation from the November 1, 2012 Abstract</v>
      </c>
      <c r="B30" s="137"/>
      <c r="C30" s="137"/>
      <c r="D30" s="137"/>
      <c r="E30" s="123">
        <v>552605</v>
      </c>
    </row>
    <row r="31" spans="1:5">
      <c r="A31" s="135"/>
      <c r="B31" s="135"/>
      <c r="C31" s="135"/>
      <c r="D31" s="135"/>
      <c r="E31" s="135"/>
    </row>
    <row r="32" spans="1:5" ht="15.75">
      <c r="A32" s="138" t="s">
        <v>286</v>
      </c>
      <c r="B32" s="77"/>
      <c r="C32" s="77"/>
      <c r="D32" s="139"/>
      <c r="E32" s="88"/>
    </row>
    <row r="33" spans="1:5" ht="15.75">
      <c r="A33" s="91" t="s">
        <v>137</v>
      </c>
      <c r="B33" s="92"/>
      <c r="C33" s="92"/>
      <c r="D33" s="140"/>
      <c r="E33" s="87">
        <v>1979.68</v>
      </c>
    </row>
    <row r="34" spans="1:5" ht="15.75">
      <c r="A34" s="130" t="s">
        <v>138</v>
      </c>
      <c r="B34" s="115"/>
      <c r="C34" s="115"/>
      <c r="D34" s="141"/>
      <c r="E34" s="87">
        <v>14.54</v>
      </c>
    </row>
    <row r="35" spans="1:5" ht="15.75">
      <c r="A35" s="130" t="s">
        <v>226</v>
      </c>
      <c r="B35" s="115"/>
      <c r="C35" s="115"/>
      <c r="D35" s="141"/>
      <c r="E35" s="87">
        <v>79</v>
      </c>
    </row>
    <row r="36" spans="1:5" ht="15.75">
      <c r="A36" s="130" t="s">
        <v>121</v>
      </c>
      <c r="B36" s="115"/>
      <c r="C36" s="115"/>
      <c r="D36" s="141"/>
      <c r="E36" s="87"/>
    </row>
    <row r="37" spans="1:5" ht="15.75">
      <c r="A37" s="130" t="s">
        <v>123</v>
      </c>
      <c r="B37" s="115"/>
      <c r="C37" s="115"/>
      <c r="D37" s="141"/>
      <c r="E37" s="87"/>
    </row>
    <row r="38" spans="1:5" ht="15.75">
      <c r="A38" s="64" t="s">
        <v>264</v>
      </c>
      <c r="B38" s="64"/>
      <c r="C38" s="64"/>
      <c r="D38" s="64"/>
      <c r="E38" s="64"/>
    </row>
    <row r="39" spans="1:5" ht="15.75">
      <c r="A39" s="66" t="s">
        <v>158</v>
      </c>
      <c r="B39" s="73"/>
      <c r="C39" s="73"/>
      <c r="D39" s="64"/>
      <c r="E39" s="64"/>
    </row>
    <row r="40" spans="1:5" ht="15.75">
      <c r="A40" s="91" t="str">
        <f>CONCATENATE("Actual Delinquency for ",E1-3," Tax - (rate .01213 = 1.213%, key in 1.2)")</f>
        <v>Actual Delinquency for 2011 Tax - (rate .01213 = 1.213%, key in 1.2)</v>
      </c>
      <c r="B40" s="92"/>
      <c r="C40" s="92"/>
      <c r="D40" s="103"/>
      <c r="E40" s="666">
        <v>0</v>
      </c>
    </row>
    <row r="41" spans="1:5" ht="15.75">
      <c r="A41" s="130" t="s">
        <v>841</v>
      </c>
      <c r="B41" s="130"/>
      <c r="C41" s="115"/>
      <c r="D41" s="116"/>
      <c r="E41" s="667"/>
    </row>
    <row r="42" spans="1:5" ht="15.75">
      <c r="A42" s="142" t="s">
        <v>9</v>
      </c>
      <c r="B42" s="142"/>
      <c r="C42" s="143"/>
      <c r="D42" s="143"/>
      <c r="E42" s="144"/>
    </row>
    <row r="43" spans="1:5" ht="15.75">
      <c r="A43" s="64"/>
      <c r="B43" s="64"/>
      <c r="C43" s="64"/>
      <c r="D43" s="64"/>
      <c r="E43" s="64"/>
    </row>
    <row r="44" spans="1:5" ht="15.75">
      <c r="A44" s="145" t="s">
        <v>46</v>
      </c>
      <c r="B44" s="146"/>
      <c r="C44" s="147"/>
      <c r="D44" s="147"/>
      <c r="E44" s="147"/>
    </row>
    <row r="45" spans="1:5" ht="15.75">
      <c r="A45" s="148" t="str">
        <f>CONCATENATE("",E1," State Distribution for Kansas Gas Tax")</f>
        <v>2014 State Distribution for Kansas Gas Tax</v>
      </c>
      <c r="B45" s="149"/>
      <c r="C45" s="149"/>
      <c r="D45" s="150"/>
      <c r="E45" s="123">
        <v>4400</v>
      </c>
    </row>
    <row r="46" spans="1:5" ht="15.75">
      <c r="A46" s="151" t="str">
        <f>CONCATENATE("",E1," County Transfers for Gas***")</f>
        <v>2014 County Transfers for Gas***</v>
      </c>
      <c r="B46" s="152"/>
      <c r="C46" s="152"/>
      <c r="D46" s="153"/>
      <c r="E46" s="123"/>
    </row>
    <row r="47" spans="1:5" ht="15.75">
      <c r="A47" s="151" t="str">
        <f>CONCATENATE("Adjusted ",E1-1," State Distribution for Kansas Gas Tax")</f>
        <v>Adjusted 2013 State Distribution for Kansas Gas Tax</v>
      </c>
      <c r="B47" s="152"/>
      <c r="C47" s="152"/>
      <c r="D47" s="153"/>
      <c r="E47" s="123">
        <v>4250</v>
      </c>
    </row>
    <row r="48" spans="1:5" ht="15.75">
      <c r="A48" s="151" t="str">
        <f>CONCATENATE("Adjusted ",E1-1," County Transfers for Gas***")</f>
        <v>Adjusted 2013 County Transfers for Gas***</v>
      </c>
      <c r="B48" s="152"/>
      <c r="C48" s="152"/>
      <c r="D48" s="153"/>
      <c r="E48" s="123"/>
    </row>
    <row r="49" spans="1:5" ht="18" customHeight="1">
      <c r="A49" s="778" t="s">
        <v>15</v>
      </c>
      <c r="B49" s="779"/>
      <c r="C49" s="779"/>
      <c r="D49" s="779"/>
      <c r="E49" s="779"/>
    </row>
    <row r="50" spans="1:5">
      <c r="A50" s="154" t="s">
        <v>16</v>
      </c>
      <c r="B50" s="154"/>
      <c r="C50" s="154"/>
      <c r="D50" s="154"/>
      <c r="E50" s="154"/>
    </row>
    <row r="51" spans="1:5">
      <c r="A51" s="128"/>
      <c r="B51" s="128"/>
      <c r="C51" s="128"/>
      <c r="D51" s="128"/>
      <c r="E51" s="128"/>
    </row>
    <row r="52" spans="1:5" ht="15.75">
      <c r="A52" s="780" t="str">
        <f>CONCATENATE("From the ",E1-2," Budget Certificate Page")</f>
        <v>From the 2012 Budget Certificate Page</v>
      </c>
      <c r="B52" s="781"/>
      <c r="C52" s="128"/>
      <c r="D52" s="128"/>
      <c r="E52" s="128"/>
    </row>
    <row r="53" spans="1:5" ht="15.75">
      <c r="A53" s="155"/>
      <c r="B53" s="155" t="str">
        <f>CONCATENATE("",E1-2," Expenditure Amounts")</f>
        <v>2012 Expenditure Amounts</v>
      </c>
      <c r="C53" s="774" t="str">
        <f>CONCATENATE("Note: If the ",E1-2," budget was amended, then the")</f>
        <v>Note: If the 2012 budget was amended, then the</v>
      </c>
      <c r="D53" s="775"/>
      <c r="E53" s="775"/>
    </row>
    <row r="54" spans="1:5" ht="15.75">
      <c r="A54" s="156" t="s">
        <v>52</v>
      </c>
      <c r="B54" s="156" t="s">
        <v>51</v>
      </c>
      <c r="C54" s="157" t="s">
        <v>49</v>
      </c>
      <c r="D54" s="158"/>
      <c r="E54" s="158"/>
    </row>
    <row r="55" spans="1:5" ht="15.75">
      <c r="A55" s="159" t="str">
        <f>inputPrYr!B17</f>
        <v>General</v>
      </c>
      <c r="B55" s="123">
        <v>64118</v>
      </c>
      <c r="C55" s="157" t="s">
        <v>50</v>
      </c>
      <c r="D55" s="158"/>
      <c r="E55" s="158"/>
    </row>
    <row r="56" spans="1:5" ht="15.75">
      <c r="A56" s="159" t="str">
        <f>inputPrYr!B18</f>
        <v>Debt Service</v>
      </c>
      <c r="B56" s="123">
        <v>44616</v>
      </c>
      <c r="C56" s="157"/>
      <c r="D56" s="158"/>
      <c r="E56" s="158"/>
    </row>
    <row r="57" spans="1:5" ht="15.75">
      <c r="A57" s="159" t="str">
        <f>inputPrYr!B19</f>
        <v>Library</v>
      </c>
      <c r="B57" s="123"/>
      <c r="C57" s="128"/>
      <c r="D57" s="128"/>
      <c r="E57" s="128"/>
    </row>
    <row r="58" spans="1:5" ht="15.75">
      <c r="A58" s="159">
        <f>inputPrYr!B21</f>
        <v>0</v>
      </c>
      <c r="B58" s="123"/>
      <c r="C58" s="128"/>
      <c r="D58" s="128"/>
      <c r="E58" s="128"/>
    </row>
    <row r="59" spans="1:5" ht="15.75">
      <c r="A59" s="159" t="str">
        <f>inputPrYr!B22</f>
        <v>Water Bond and Interest</v>
      </c>
      <c r="B59" s="123">
        <v>67647</v>
      </c>
      <c r="C59" s="128"/>
      <c r="D59" s="128"/>
      <c r="E59" s="128"/>
    </row>
    <row r="60" spans="1:5" ht="15.75">
      <c r="A60" s="159">
        <f>inputPrYr!B23</f>
        <v>0</v>
      </c>
      <c r="B60" s="123"/>
      <c r="C60" s="128"/>
      <c r="D60" s="128"/>
      <c r="E60" s="128"/>
    </row>
    <row r="61" spans="1:5" ht="15.75">
      <c r="A61" s="159">
        <f>inputPrYr!B24</f>
        <v>0</v>
      </c>
      <c r="B61" s="123"/>
      <c r="C61" s="128"/>
      <c r="D61" s="128"/>
      <c r="E61" s="128"/>
    </row>
    <row r="62" spans="1:5" ht="15.75">
      <c r="A62" s="159" t="str">
        <f>inputPrYr!B28</f>
        <v>Special Highway</v>
      </c>
      <c r="B62" s="123">
        <v>8919</v>
      </c>
      <c r="C62" s="128"/>
      <c r="D62" s="128"/>
      <c r="E62" s="128"/>
    </row>
    <row r="63" spans="1:5" ht="15.75">
      <c r="A63" s="159" t="str">
        <f>inputPrYr!B29</f>
        <v>Water</v>
      </c>
      <c r="B63" s="123">
        <v>70928</v>
      </c>
      <c r="C63" s="128"/>
      <c r="D63" s="128"/>
      <c r="E63" s="128"/>
    </row>
    <row r="64" spans="1:5" ht="15.75">
      <c r="A64" s="159" t="str">
        <f>inputPrYr!B30</f>
        <v>Sewer</v>
      </c>
      <c r="B64" s="123">
        <v>23630</v>
      </c>
      <c r="C64" s="128"/>
      <c r="D64" s="128"/>
      <c r="E64" s="128"/>
    </row>
    <row r="65" spans="1:5" ht="15.75">
      <c r="A65" s="159" t="str">
        <f>inputPrYr!B31</f>
        <v>Park</v>
      </c>
      <c r="B65" s="123">
        <v>12854</v>
      </c>
      <c r="C65" s="128"/>
      <c r="D65" s="128"/>
      <c r="E65" s="128"/>
    </row>
    <row r="66" spans="1:5" ht="15.75">
      <c r="A66" s="159" t="str">
        <f>inputPrYr!B32</f>
        <v>Solid Waste</v>
      </c>
      <c r="B66" s="123">
        <v>13245</v>
      </c>
      <c r="C66" s="128"/>
      <c r="D66" s="128"/>
      <c r="E66" s="128"/>
    </row>
    <row r="67" spans="1:5" ht="15.75">
      <c r="A67" s="159" t="str">
        <f>inputPrYr!B33</f>
        <v>Capital Improvements</v>
      </c>
      <c r="B67" s="123"/>
      <c r="C67" s="128"/>
      <c r="D67" s="128"/>
      <c r="E67" s="128"/>
    </row>
    <row r="68" spans="1:5" ht="15.75">
      <c r="A68" s="159">
        <f>inputPrYr!B35</f>
        <v>0</v>
      </c>
      <c r="B68" s="123"/>
      <c r="C68" s="128"/>
      <c r="D68" s="128"/>
      <c r="E68" s="128"/>
    </row>
  </sheetData>
  <sheetProtection sheet="1"/>
  <mergeCells count="5">
    <mergeCell ref="C53:E53"/>
    <mergeCell ref="A20:B20"/>
    <mergeCell ref="A49:E49"/>
    <mergeCell ref="A3:E3"/>
    <mergeCell ref="A52:B52"/>
  </mergeCells>
  <phoneticPr fontId="10" type="noConversion"/>
  <pageMargins left="0.75" right="0.75" top="1" bottom="1" header="0.5" footer="0.5"/>
  <pageSetup scale="61"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6" sqref="A46"/>
    </sheetView>
  </sheetViews>
  <sheetFormatPr defaultRowHeight="15"/>
  <cols>
    <col min="1" max="1" width="71.33203125" customWidth="1"/>
  </cols>
  <sheetData>
    <row r="3" spans="1:7">
      <c r="A3" s="385" t="s">
        <v>562</v>
      </c>
      <c r="B3" s="385"/>
      <c r="C3" s="385"/>
      <c r="D3" s="385"/>
      <c r="E3" s="385"/>
      <c r="F3" s="385"/>
      <c r="G3" s="385"/>
    </row>
    <row r="4" spans="1:7">
      <c r="A4" s="385"/>
      <c r="B4" s="385"/>
      <c r="C4" s="385"/>
      <c r="D4" s="385"/>
      <c r="E4" s="385"/>
      <c r="F4" s="385"/>
      <c r="G4" s="385"/>
    </row>
    <row r="5" spans="1:7">
      <c r="A5" s="384" t="s">
        <v>411</v>
      </c>
    </row>
    <row r="6" spans="1:7">
      <c r="A6" s="384" t="str">
        <f>CONCATENATE(inputPrYr!C5," estimated expenditures show that at the end of this year")</f>
        <v>2014 estimated expenditures show that at the end of this year</v>
      </c>
    </row>
    <row r="7" spans="1:7">
      <c r="A7" s="384" t="s">
        <v>563</v>
      </c>
    </row>
    <row r="8" spans="1:7">
      <c r="A8" s="384" t="s">
        <v>564</v>
      </c>
    </row>
    <row r="10" spans="1:7">
      <c r="A10" t="s">
        <v>413</v>
      </c>
    </row>
    <row r="11" spans="1:7">
      <c r="A11" t="s">
        <v>414</v>
      </c>
    </row>
    <row r="12" spans="1:7">
      <c r="A12" t="s">
        <v>415</v>
      </c>
    </row>
    <row r="13" spans="1:7">
      <c r="A13" s="385"/>
      <c r="B13" s="385"/>
      <c r="C13" s="385"/>
      <c r="D13" s="385"/>
      <c r="E13" s="385"/>
      <c r="F13" s="385"/>
      <c r="G13" s="385"/>
    </row>
    <row r="14" spans="1:7">
      <c r="A14" s="383" t="s">
        <v>565</v>
      </c>
    </row>
    <row r="15" spans="1:7">
      <c r="A15" s="384"/>
    </row>
    <row r="16" spans="1:7">
      <c r="A16" s="384" t="s">
        <v>566</v>
      </c>
    </row>
    <row r="17" spans="1:7">
      <c r="A17" s="384" t="s">
        <v>567</v>
      </c>
    </row>
    <row r="18" spans="1:7">
      <c r="A18" s="384" t="s">
        <v>568</v>
      </c>
    </row>
    <row r="19" spans="1:7">
      <c r="A19" s="384"/>
    </row>
    <row r="20" spans="1:7">
      <c r="A20" s="384" t="s">
        <v>569</v>
      </c>
    </row>
    <row r="21" spans="1:7">
      <c r="A21" s="384" t="s">
        <v>570</v>
      </c>
    </row>
    <row r="22" spans="1:7">
      <c r="A22" s="384" t="s">
        <v>571</v>
      </c>
    </row>
    <row r="23" spans="1:7">
      <c r="A23" s="384" t="s">
        <v>572</v>
      </c>
    </row>
    <row r="24" spans="1:7">
      <c r="A24" s="384"/>
    </row>
    <row r="25" spans="1:7">
      <c r="A25" s="383" t="s">
        <v>534</v>
      </c>
    </row>
    <row r="26" spans="1:7">
      <c r="A26" s="383"/>
    </row>
    <row r="27" spans="1:7">
      <c r="A27" s="384" t="s">
        <v>535</v>
      </c>
    </row>
    <row r="28" spans="1:7">
      <c r="A28" s="384" t="s">
        <v>536</v>
      </c>
      <c r="B28" s="384"/>
      <c r="C28" s="384"/>
      <c r="D28" s="384"/>
      <c r="E28" s="384"/>
      <c r="F28" s="384"/>
    </row>
    <row r="29" spans="1:7">
      <c r="A29" s="384" t="s">
        <v>537</v>
      </c>
      <c r="B29" s="384"/>
      <c r="C29" s="384"/>
      <c r="D29" s="384"/>
      <c r="E29" s="384"/>
      <c r="F29" s="384"/>
    </row>
    <row r="30" spans="1:7">
      <c r="A30" s="384" t="s">
        <v>538</v>
      </c>
      <c r="B30" s="384"/>
      <c r="C30" s="384"/>
      <c r="D30" s="384"/>
      <c r="E30" s="384"/>
      <c r="F30" s="384"/>
    </row>
    <row r="31" spans="1:7">
      <c r="A31" s="384"/>
    </row>
    <row r="32" spans="1:7">
      <c r="A32" s="383" t="s">
        <v>539</v>
      </c>
      <c r="B32" s="383"/>
      <c r="C32" s="383"/>
      <c r="D32" s="383"/>
      <c r="E32" s="383"/>
      <c r="F32" s="383"/>
      <c r="G32" s="383"/>
    </row>
    <row r="33" spans="1:7">
      <c r="A33" s="383" t="s">
        <v>540</v>
      </c>
      <c r="B33" s="383"/>
      <c r="C33" s="383"/>
      <c r="D33" s="383"/>
      <c r="E33" s="383"/>
      <c r="F33" s="383"/>
      <c r="G33" s="383"/>
    </row>
    <row r="34" spans="1:7">
      <c r="A34" s="383"/>
      <c r="B34" s="383"/>
      <c r="C34" s="383"/>
      <c r="D34" s="383"/>
      <c r="E34" s="383"/>
      <c r="F34" s="383"/>
      <c r="G34" s="383"/>
    </row>
    <row r="35" spans="1:7">
      <c r="A35" s="384" t="s">
        <v>573</v>
      </c>
      <c r="B35" s="384"/>
      <c r="C35" s="384"/>
      <c r="D35" s="384"/>
      <c r="E35" s="384"/>
      <c r="F35" s="384"/>
      <c r="G35" s="384"/>
    </row>
    <row r="36" spans="1:7">
      <c r="A36" s="384" t="s">
        <v>574</v>
      </c>
      <c r="B36" s="384"/>
      <c r="C36" s="384"/>
      <c r="D36" s="384"/>
      <c r="E36" s="384"/>
      <c r="F36" s="384"/>
      <c r="G36" s="384"/>
    </row>
    <row r="37" spans="1:7">
      <c r="A37" s="384" t="s">
        <v>575</v>
      </c>
      <c r="B37" s="384"/>
      <c r="C37" s="384"/>
      <c r="D37" s="384"/>
      <c r="E37" s="384"/>
      <c r="F37" s="384"/>
      <c r="G37" s="384"/>
    </row>
    <row r="38" spans="1:7">
      <c r="A38" s="384" t="s">
        <v>576</v>
      </c>
      <c r="B38" s="384"/>
      <c r="C38" s="384"/>
      <c r="D38" s="384"/>
      <c r="E38" s="384"/>
      <c r="F38" s="384"/>
      <c r="G38" s="384"/>
    </row>
    <row r="39" spans="1:7">
      <c r="A39" s="384" t="s">
        <v>577</v>
      </c>
      <c r="B39" s="384"/>
      <c r="C39" s="384"/>
      <c r="D39" s="384"/>
      <c r="E39" s="384"/>
      <c r="F39" s="384"/>
      <c r="G39" s="384"/>
    </row>
    <row r="40" spans="1:7">
      <c r="A40" s="383"/>
      <c r="B40" s="383"/>
      <c r="C40" s="383"/>
      <c r="D40" s="383"/>
      <c r="E40" s="383"/>
      <c r="F40" s="383"/>
      <c r="G40" s="383"/>
    </row>
    <row r="41" spans="1:7">
      <c r="A41" s="388" t="str">
        <f>CONCATENATE("So, let's look to see if any of your ",inputPrYr!C5-1," expenditures can")</f>
        <v>So, let's look to see if any of your 2013 expenditures can</v>
      </c>
      <c r="B41" s="384"/>
      <c r="C41" s="384"/>
      <c r="D41" s="384"/>
      <c r="E41" s="384"/>
      <c r="F41" s="384"/>
    </row>
    <row r="42" spans="1:7">
      <c r="A42" s="388" t="s">
        <v>541</v>
      </c>
      <c r="B42" s="384"/>
      <c r="C42" s="384"/>
      <c r="D42" s="384"/>
      <c r="E42" s="384"/>
      <c r="F42" s="384"/>
    </row>
    <row r="43" spans="1:7">
      <c r="A43" s="388" t="s">
        <v>481</v>
      </c>
      <c r="B43" s="384"/>
      <c r="C43" s="384"/>
      <c r="D43" s="384"/>
      <c r="E43" s="384"/>
      <c r="F43" s="384"/>
    </row>
    <row r="44" spans="1:7">
      <c r="A44" s="388" t="s">
        <v>482</v>
      </c>
      <c r="B44" s="384"/>
      <c r="C44" s="384"/>
      <c r="D44" s="384"/>
      <c r="E44" s="384"/>
      <c r="F44" s="384"/>
    </row>
    <row r="45" spans="1:7">
      <c r="A45" s="384"/>
    </row>
    <row r="46" spans="1:7">
      <c r="A46" s="388" t="str">
        <f>CONCATENATE("Additionally, do your ",inputPrYr!C5-1," receipts contain a reimbursement")</f>
        <v>Additionally, do your 2013 receipts contain a reimbursement</v>
      </c>
      <c r="B46" s="384"/>
      <c r="C46" s="384"/>
      <c r="D46" s="384"/>
      <c r="E46" s="384"/>
      <c r="F46" s="384"/>
    </row>
    <row r="47" spans="1:7">
      <c r="A47" s="388" t="s">
        <v>483</v>
      </c>
      <c r="B47" s="384"/>
      <c r="C47" s="384"/>
      <c r="D47" s="384"/>
      <c r="E47" s="384"/>
      <c r="F47" s="384"/>
    </row>
    <row r="48" spans="1:7">
      <c r="A48" s="388" t="s">
        <v>484</v>
      </c>
      <c r="B48" s="384"/>
      <c r="C48" s="384"/>
      <c r="D48" s="384"/>
      <c r="E48" s="384"/>
      <c r="F48" s="384"/>
    </row>
    <row r="49" spans="1:7">
      <c r="A49" s="384"/>
      <c r="B49" s="384"/>
      <c r="C49" s="384"/>
      <c r="D49" s="384"/>
      <c r="E49" s="384"/>
      <c r="F49" s="384"/>
      <c r="G49" s="384"/>
    </row>
    <row r="50" spans="1:7">
      <c r="A50" s="384" t="s">
        <v>438</v>
      </c>
      <c r="B50" s="384"/>
      <c r="C50" s="384"/>
      <c r="D50" s="384"/>
      <c r="E50" s="384"/>
      <c r="F50" s="384"/>
      <c r="G50" s="384"/>
    </row>
    <row r="51" spans="1:7">
      <c r="A51" s="384" t="s">
        <v>439</v>
      </c>
      <c r="B51" s="384"/>
      <c r="C51" s="384"/>
      <c r="D51" s="384"/>
      <c r="E51" s="384"/>
      <c r="F51" s="384"/>
      <c r="G51" s="384"/>
    </row>
    <row r="52" spans="1:7">
      <c r="A52" s="384" t="s">
        <v>440</v>
      </c>
      <c r="B52" s="384"/>
      <c r="C52" s="384"/>
      <c r="D52" s="384"/>
      <c r="E52" s="384"/>
      <c r="F52" s="384"/>
      <c r="G52" s="384"/>
    </row>
    <row r="53" spans="1:7">
      <c r="A53" s="384" t="s">
        <v>441</v>
      </c>
      <c r="B53" s="384"/>
      <c r="C53" s="384"/>
      <c r="D53" s="384"/>
      <c r="E53" s="384"/>
      <c r="F53" s="384"/>
      <c r="G53" s="384"/>
    </row>
    <row r="54" spans="1:7">
      <c r="A54" s="384" t="s">
        <v>442</v>
      </c>
      <c r="B54" s="384"/>
      <c r="C54" s="384"/>
      <c r="D54" s="384"/>
      <c r="E54" s="384"/>
      <c r="F54" s="384"/>
      <c r="G54" s="384"/>
    </row>
    <row r="55" spans="1:7">
      <c r="A55" s="384"/>
      <c r="B55" s="384"/>
      <c r="C55" s="384"/>
      <c r="D55" s="384"/>
      <c r="E55" s="384"/>
      <c r="F55" s="384"/>
      <c r="G55" s="384"/>
    </row>
    <row r="56" spans="1:7">
      <c r="A56" s="388" t="s">
        <v>493</v>
      </c>
      <c r="B56" s="384"/>
      <c r="C56" s="384"/>
      <c r="D56" s="384"/>
      <c r="E56" s="384"/>
      <c r="F56" s="384"/>
    </row>
    <row r="57" spans="1:7">
      <c r="A57" s="388" t="s">
        <v>494</v>
      </c>
      <c r="B57" s="384"/>
      <c r="C57" s="384"/>
      <c r="D57" s="384"/>
      <c r="E57" s="384"/>
      <c r="F57" s="384"/>
    </row>
    <row r="58" spans="1:7">
      <c r="A58" s="388" t="s">
        <v>495</v>
      </c>
      <c r="B58" s="384"/>
      <c r="C58" s="384"/>
      <c r="D58" s="384"/>
      <c r="E58" s="384"/>
      <c r="F58" s="384"/>
    </row>
    <row r="59" spans="1:7">
      <c r="A59" s="388"/>
      <c r="B59" s="384"/>
      <c r="C59" s="384"/>
      <c r="D59" s="384"/>
      <c r="E59" s="384"/>
      <c r="F59" s="384"/>
    </row>
    <row r="60" spans="1:7">
      <c r="A60" s="384" t="s">
        <v>578</v>
      </c>
      <c r="B60" s="384"/>
      <c r="C60" s="384"/>
      <c r="D60" s="384"/>
      <c r="E60" s="384"/>
      <c r="F60" s="384"/>
      <c r="G60" s="384"/>
    </row>
    <row r="61" spans="1:7">
      <c r="A61" s="384" t="s">
        <v>579</v>
      </c>
      <c r="B61" s="384"/>
      <c r="C61" s="384"/>
      <c r="D61" s="384"/>
      <c r="E61" s="384"/>
      <c r="F61" s="384"/>
      <c r="G61" s="384"/>
    </row>
    <row r="62" spans="1:7">
      <c r="A62" s="384" t="s">
        <v>580</v>
      </c>
      <c r="B62" s="384"/>
      <c r="C62" s="384"/>
      <c r="D62" s="384"/>
      <c r="E62" s="384"/>
      <c r="F62" s="384"/>
      <c r="G62" s="384"/>
    </row>
    <row r="63" spans="1:7">
      <c r="A63" s="384" t="s">
        <v>581</v>
      </c>
      <c r="B63" s="384"/>
      <c r="C63" s="384"/>
      <c r="D63" s="384"/>
      <c r="E63" s="384"/>
      <c r="F63" s="384"/>
      <c r="G63" s="384"/>
    </row>
    <row r="64" spans="1:7">
      <c r="A64" s="384" t="s">
        <v>582</v>
      </c>
      <c r="B64" s="384"/>
      <c r="C64" s="384"/>
      <c r="D64" s="384"/>
      <c r="E64" s="384"/>
      <c r="F64" s="384"/>
      <c r="G64" s="384"/>
    </row>
    <row r="66" spans="1:6">
      <c r="A66" s="388" t="s">
        <v>545</v>
      </c>
      <c r="B66" s="384"/>
      <c r="C66" s="384"/>
      <c r="D66" s="384"/>
      <c r="E66" s="384"/>
      <c r="F66" s="384"/>
    </row>
    <row r="67" spans="1:6">
      <c r="A67" s="388" t="s">
        <v>546</v>
      </c>
      <c r="B67" s="384"/>
      <c r="C67" s="384"/>
      <c r="D67" s="384"/>
      <c r="E67" s="384"/>
      <c r="F67" s="384"/>
    </row>
    <row r="68" spans="1:6">
      <c r="A68" s="388" t="s">
        <v>547</v>
      </c>
      <c r="B68" s="384"/>
      <c r="C68" s="384"/>
      <c r="D68" s="384"/>
      <c r="E68" s="384"/>
      <c r="F68" s="384"/>
    </row>
    <row r="69" spans="1:6">
      <c r="A69" s="388" t="s">
        <v>548</v>
      </c>
      <c r="B69" s="384"/>
      <c r="C69" s="384"/>
      <c r="D69" s="384"/>
      <c r="E69" s="384"/>
      <c r="F69" s="384"/>
    </row>
    <row r="70" spans="1:6">
      <c r="A70" s="388" t="s">
        <v>549</v>
      </c>
      <c r="B70" s="384"/>
      <c r="C70" s="384"/>
      <c r="D70" s="384"/>
      <c r="E70" s="384"/>
      <c r="F70" s="384"/>
    </row>
    <row r="71" spans="1:6">
      <c r="A71" s="384"/>
    </row>
    <row r="72" spans="1:6">
      <c r="A72" s="384" t="s">
        <v>465</v>
      </c>
    </row>
    <row r="73" spans="1:6">
      <c r="A73" s="384"/>
    </row>
    <row r="74" spans="1:6">
      <c r="A74" s="384"/>
    </row>
    <row r="75" spans="1:6">
      <c r="A75" s="384"/>
    </row>
    <row r="78" spans="1:6">
      <c r="A78" s="383"/>
    </row>
    <row r="80" spans="1:6">
      <c r="A80" s="384"/>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2" spans="1:1">
      <c r="A102" s="384"/>
    </row>
    <row r="103" spans="1:1">
      <c r="A103" s="384"/>
    </row>
    <row r="104" spans="1:1">
      <c r="A104" s="384"/>
    </row>
    <row r="105" spans="1:1">
      <c r="A105" s="384"/>
    </row>
    <row r="106" spans="1:1">
      <c r="A106" s="384"/>
    </row>
  </sheetData>
  <sheetProtection sheet="1"/>
  <pageMargins left="0.7" right="0.7" top="0.75" bottom="0.75" header="0.3" footer="0.3"/>
  <pageSetup orientation="portrait" r:id="rId1"/>
  <headerFooter>
    <oddFooter>&amp;Lrevised 10/2/09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
  <cols>
    <col min="1" max="1" width="71.33203125" customWidth="1"/>
  </cols>
  <sheetData>
    <row r="3" spans="1:7">
      <c r="A3" s="385" t="s">
        <v>583</v>
      </c>
      <c r="B3" s="385"/>
      <c r="C3" s="385"/>
      <c r="D3" s="385"/>
      <c r="E3" s="385"/>
      <c r="F3" s="385"/>
      <c r="G3" s="385"/>
    </row>
    <row r="4" spans="1:7">
      <c r="A4" s="385" t="s">
        <v>584</v>
      </c>
      <c r="B4" s="385"/>
      <c r="C4" s="385"/>
      <c r="D4" s="385"/>
      <c r="E4" s="385"/>
      <c r="F4" s="385"/>
      <c r="G4" s="385"/>
    </row>
    <row r="5" spans="1:7">
      <c r="A5" s="385"/>
      <c r="B5" s="385"/>
      <c r="C5" s="385"/>
      <c r="D5" s="385"/>
      <c r="E5" s="385"/>
      <c r="F5" s="385"/>
      <c r="G5" s="385"/>
    </row>
    <row r="6" spans="1:7">
      <c r="A6" s="385"/>
      <c r="B6" s="385"/>
      <c r="C6" s="385"/>
      <c r="D6" s="385"/>
      <c r="E6" s="385"/>
      <c r="F6" s="385"/>
      <c r="G6" s="385"/>
    </row>
    <row r="7" spans="1:7">
      <c r="A7" s="384" t="s">
        <v>467</v>
      </c>
    </row>
    <row r="8" spans="1:7">
      <c r="A8" s="384" t="str">
        <f>CONCATENATE("estimated ",inputPrYr!C5," 'total expenditures' exceed your ",inputPrYr!C5,"")</f>
        <v>estimated 2014 'total expenditures' exceed your 2014</v>
      </c>
    </row>
    <row r="9" spans="1:7">
      <c r="A9" s="387" t="s">
        <v>585</v>
      </c>
    </row>
    <row r="10" spans="1:7">
      <c r="A10" s="384"/>
    </row>
    <row r="11" spans="1:7">
      <c r="A11" s="384" t="s">
        <v>586</v>
      </c>
    </row>
    <row r="12" spans="1:7">
      <c r="A12" s="384" t="s">
        <v>587</v>
      </c>
    </row>
    <row r="13" spans="1:7">
      <c r="A13" s="384" t="s">
        <v>588</v>
      </c>
    </row>
    <row r="14" spans="1:7">
      <c r="A14" s="384"/>
    </row>
    <row r="15" spans="1:7">
      <c r="A15" s="383" t="s">
        <v>589</v>
      </c>
    </row>
    <row r="16" spans="1:7">
      <c r="A16" s="385"/>
      <c r="B16" s="385"/>
      <c r="C16" s="385"/>
      <c r="D16" s="385"/>
      <c r="E16" s="385"/>
      <c r="F16" s="385"/>
      <c r="G16" s="385"/>
    </row>
    <row r="17" spans="1:8">
      <c r="A17" s="390" t="s">
        <v>590</v>
      </c>
      <c r="B17" s="373"/>
      <c r="C17" s="373"/>
      <c r="D17" s="373"/>
      <c r="E17" s="373"/>
      <c r="F17" s="373"/>
      <c r="G17" s="373"/>
      <c r="H17" s="373"/>
    </row>
    <row r="18" spans="1:8">
      <c r="A18" s="384" t="s">
        <v>591</v>
      </c>
      <c r="B18" s="391"/>
      <c r="C18" s="391"/>
      <c r="D18" s="391"/>
      <c r="E18" s="391"/>
      <c r="F18" s="391"/>
      <c r="G18" s="391"/>
    </row>
    <row r="19" spans="1:8">
      <c r="A19" s="384" t="s">
        <v>592</v>
      </c>
    </row>
    <row r="20" spans="1:8">
      <c r="A20" s="384" t="s">
        <v>593</v>
      </c>
    </row>
    <row r="22" spans="1:8">
      <c r="A22" s="383" t="s">
        <v>594</v>
      </c>
    </row>
    <row r="24" spans="1:8">
      <c r="A24" s="384" t="s">
        <v>595</v>
      </c>
    </row>
    <row r="25" spans="1:8">
      <c r="A25" s="384" t="s">
        <v>596</v>
      </c>
    </row>
    <row r="26" spans="1:8">
      <c r="A26" s="384" t="s">
        <v>597</v>
      </c>
    </row>
    <row r="28" spans="1:8">
      <c r="A28" s="383" t="s">
        <v>598</v>
      </c>
    </row>
    <row r="30" spans="1:8">
      <c r="A30" t="s">
        <v>599</v>
      </c>
    </row>
    <row r="31" spans="1:8">
      <c r="A31" t="s">
        <v>600</v>
      </c>
    </row>
    <row r="32" spans="1:8">
      <c r="A32" t="s">
        <v>601</v>
      </c>
    </row>
    <row r="33" spans="1:1">
      <c r="A33" s="384" t="s">
        <v>602</v>
      </c>
    </row>
    <row r="35" spans="1:1">
      <c r="A35" t="s">
        <v>603</v>
      </c>
    </row>
    <row r="36" spans="1:1">
      <c r="A36" t="s">
        <v>604</v>
      </c>
    </row>
    <row r="37" spans="1:1">
      <c r="A37" t="s">
        <v>605</v>
      </c>
    </row>
    <row r="38" spans="1:1">
      <c r="A38" t="s">
        <v>606</v>
      </c>
    </row>
    <row r="40" spans="1:1">
      <c r="A40" t="s">
        <v>607</v>
      </c>
    </row>
    <row r="41" spans="1:1">
      <c r="A41" t="s">
        <v>608</v>
      </c>
    </row>
    <row r="42" spans="1:1">
      <c r="A42" t="s">
        <v>609</v>
      </c>
    </row>
    <row r="43" spans="1:1">
      <c r="A43" t="s">
        <v>610</v>
      </c>
    </row>
    <row r="44" spans="1:1">
      <c r="A44" t="s">
        <v>611</v>
      </c>
    </row>
    <row r="45" spans="1:1">
      <c r="A45" t="s">
        <v>612</v>
      </c>
    </row>
    <row r="47" spans="1:1">
      <c r="A47" t="s">
        <v>613</v>
      </c>
    </row>
    <row r="48" spans="1:1">
      <c r="A48" t="s">
        <v>614</v>
      </c>
    </row>
    <row r="49" spans="1:1">
      <c r="A49" s="384" t="s">
        <v>615</v>
      </c>
    </row>
    <row r="50" spans="1:1">
      <c r="A50" s="384" t="s">
        <v>616</v>
      </c>
    </row>
    <row r="52" spans="1:1">
      <c r="A52" t="s">
        <v>465</v>
      </c>
    </row>
  </sheetData>
  <sheetProtection sheet="1"/>
  <pageMargins left="0.7" right="0.7" top="0.75" bottom="0.75" header="0.3" footer="0.3"/>
  <pageSetup orientation="portrait" r:id="rId1"/>
  <headerFooter>
    <oddFooter>&amp;Lrevised 10/2/09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topLeftCell="A10" zoomScaleNormal="100" workbookViewId="0">
      <selection activeCell="A10" sqref="A1:IV65536"/>
    </sheetView>
  </sheetViews>
  <sheetFormatPr defaultRowHeight="14.25"/>
  <cols>
    <col min="1" max="1" width="7.5546875" style="526" customWidth="1"/>
    <col min="2" max="2" width="11.21875" style="527" customWidth="1"/>
    <col min="3" max="3" width="7.44140625" style="527" customWidth="1"/>
    <col min="4" max="4" width="8.88671875" style="527"/>
    <col min="5" max="5" width="1.5546875" style="527" customWidth="1"/>
    <col min="6" max="6" width="14.33203125" style="527" customWidth="1"/>
    <col min="7" max="7" width="2.5546875" style="527" customWidth="1"/>
    <col min="8" max="8" width="9.77734375" style="527" customWidth="1"/>
    <col min="9" max="9" width="2" style="527" customWidth="1"/>
    <col min="10" max="10" width="8.5546875" style="527" customWidth="1"/>
    <col min="11" max="11" width="11.6640625" style="527" customWidth="1"/>
    <col min="12" max="12" width="7.5546875" style="526" customWidth="1"/>
    <col min="13" max="14" width="8.88671875" style="526"/>
    <col min="15" max="15" width="9.88671875" style="526" bestFit="1" customWidth="1"/>
    <col min="16" max="16384" width="8.88671875" style="526"/>
  </cols>
  <sheetData>
    <row r="1" spans="1:12">
      <c r="A1" s="574"/>
      <c r="B1" s="574"/>
      <c r="C1" s="574"/>
      <c r="D1" s="574"/>
      <c r="E1" s="574"/>
      <c r="F1" s="574"/>
      <c r="G1" s="574"/>
      <c r="H1" s="574"/>
      <c r="I1" s="574"/>
      <c r="J1" s="574"/>
      <c r="K1" s="574"/>
      <c r="L1" s="574"/>
    </row>
    <row r="2" spans="1:12">
      <c r="A2" s="574"/>
      <c r="B2" s="574"/>
      <c r="C2" s="574"/>
      <c r="D2" s="574"/>
      <c r="E2" s="574"/>
      <c r="F2" s="574"/>
      <c r="G2" s="574"/>
      <c r="H2" s="574"/>
      <c r="I2" s="574"/>
      <c r="J2" s="574"/>
      <c r="K2" s="574"/>
      <c r="L2" s="574"/>
    </row>
    <row r="3" spans="1:12">
      <c r="A3" s="574"/>
      <c r="B3" s="574"/>
      <c r="C3" s="574"/>
      <c r="D3" s="574"/>
      <c r="E3" s="574"/>
      <c r="F3" s="574"/>
      <c r="G3" s="574"/>
      <c r="H3" s="574"/>
      <c r="I3" s="574"/>
      <c r="J3" s="574"/>
      <c r="K3" s="574"/>
      <c r="L3" s="574"/>
    </row>
    <row r="4" spans="1:12">
      <c r="A4" s="574"/>
      <c r="L4" s="574"/>
    </row>
    <row r="5" spans="1:12" ht="15" customHeight="1">
      <c r="A5" s="574"/>
      <c r="L5" s="574"/>
    </row>
    <row r="6" spans="1:12" ht="33" customHeight="1">
      <c r="A6" s="574"/>
      <c r="B6" s="873" t="s">
        <v>675</v>
      </c>
      <c r="C6" s="872"/>
      <c r="D6" s="872"/>
      <c r="E6" s="872"/>
      <c r="F6" s="872"/>
      <c r="G6" s="872"/>
      <c r="H6" s="872"/>
      <c r="I6" s="872"/>
      <c r="J6" s="872"/>
      <c r="K6" s="872"/>
      <c r="L6" s="575"/>
    </row>
    <row r="7" spans="1:12" ht="40.5" customHeight="1">
      <c r="A7" s="574"/>
      <c r="B7" s="878" t="s">
        <v>676</v>
      </c>
      <c r="C7" s="879"/>
      <c r="D7" s="879"/>
      <c r="E7" s="879"/>
      <c r="F7" s="879"/>
      <c r="G7" s="879"/>
      <c r="H7" s="879"/>
      <c r="I7" s="879"/>
      <c r="J7" s="879"/>
      <c r="K7" s="879"/>
      <c r="L7" s="574"/>
    </row>
    <row r="8" spans="1:12">
      <c r="A8" s="574"/>
      <c r="B8" s="877" t="s">
        <v>677</v>
      </c>
      <c r="C8" s="877"/>
      <c r="D8" s="877"/>
      <c r="E8" s="877"/>
      <c r="F8" s="877"/>
      <c r="G8" s="877"/>
      <c r="H8" s="877"/>
      <c r="I8" s="877"/>
      <c r="J8" s="877"/>
      <c r="K8" s="877"/>
      <c r="L8" s="574"/>
    </row>
    <row r="9" spans="1:12">
      <c r="A9" s="574"/>
      <c r="L9" s="574"/>
    </row>
    <row r="10" spans="1:12">
      <c r="A10" s="574"/>
      <c r="B10" s="877" t="s">
        <v>678</v>
      </c>
      <c r="C10" s="877"/>
      <c r="D10" s="877"/>
      <c r="E10" s="877"/>
      <c r="F10" s="877"/>
      <c r="G10" s="877"/>
      <c r="H10" s="877"/>
      <c r="I10" s="877"/>
      <c r="J10" s="877"/>
      <c r="K10" s="877"/>
      <c r="L10" s="574"/>
    </row>
    <row r="11" spans="1:12">
      <c r="A11" s="574"/>
      <c r="B11" s="591"/>
      <c r="C11" s="591"/>
      <c r="D11" s="591"/>
      <c r="E11" s="591"/>
      <c r="F11" s="591"/>
      <c r="G11" s="591"/>
      <c r="H11" s="591"/>
      <c r="I11" s="591"/>
      <c r="J11" s="591"/>
      <c r="K11" s="591"/>
      <c r="L11" s="574"/>
    </row>
    <row r="12" spans="1:12" ht="32.25" customHeight="1">
      <c r="A12" s="574"/>
      <c r="B12" s="876" t="s">
        <v>679</v>
      </c>
      <c r="C12" s="876"/>
      <c r="D12" s="876"/>
      <c r="E12" s="876"/>
      <c r="F12" s="876"/>
      <c r="G12" s="876"/>
      <c r="H12" s="876"/>
      <c r="I12" s="876"/>
      <c r="J12" s="876"/>
      <c r="K12" s="876"/>
      <c r="L12" s="574"/>
    </row>
    <row r="13" spans="1:12">
      <c r="A13" s="574"/>
      <c r="L13" s="574"/>
    </row>
    <row r="14" spans="1:12">
      <c r="A14" s="574"/>
      <c r="B14" s="521" t="s">
        <v>680</v>
      </c>
      <c r="L14" s="574"/>
    </row>
    <row r="15" spans="1:12">
      <c r="A15" s="574"/>
      <c r="L15" s="574"/>
    </row>
    <row r="16" spans="1:12">
      <c r="A16" s="574"/>
      <c r="B16" s="527" t="s">
        <v>681</v>
      </c>
      <c r="L16" s="574"/>
    </row>
    <row r="17" spans="1:12">
      <c r="A17" s="574"/>
      <c r="B17" s="527" t="s">
        <v>682</v>
      </c>
      <c r="L17" s="574"/>
    </row>
    <row r="18" spans="1:12">
      <c r="A18" s="574"/>
      <c r="L18" s="574"/>
    </row>
    <row r="19" spans="1:12">
      <c r="A19" s="574"/>
      <c r="B19" s="521" t="s">
        <v>829</v>
      </c>
      <c r="L19" s="574"/>
    </row>
    <row r="20" spans="1:12">
      <c r="A20" s="574"/>
      <c r="B20" s="521"/>
      <c r="L20" s="574"/>
    </row>
    <row r="21" spans="1:12">
      <c r="A21" s="574"/>
      <c r="B21" s="527" t="s">
        <v>830</v>
      </c>
      <c r="L21" s="574"/>
    </row>
    <row r="22" spans="1:12">
      <c r="A22" s="574"/>
      <c r="L22" s="574"/>
    </row>
    <row r="23" spans="1:12">
      <c r="A23" s="574"/>
      <c r="B23" s="527" t="s">
        <v>683</v>
      </c>
      <c r="E23" s="527" t="s">
        <v>684</v>
      </c>
      <c r="F23" s="861">
        <v>312000000</v>
      </c>
      <c r="G23" s="861"/>
      <c r="L23" s="574"/>
    </row>
    <row r="24" spans="1:12">
      <c r="A24" s="574"/>
      <c r="L24" s="574"/>
    </row>
    <row r="25" spans="1:12">
      <c r="A25" s="574"/>
      <c r="C25" s="880">
        <f>F23</f>
        <v>312000000</v>
      </c>
      <c r="D25" s="880"/>
      <c r="E25" s="527" t="s">
        <v>685</v>
      </c>
      <c r="F25" s="528">
        <v>1000</v>
      </c>
      <c r="G25" s="528" t="s">
        <v>684</v>
      </c>
      <c r="H25" s="592">
        <f>F23/F25</f>
        <v>312000</v>
      </c>
      <c r="L25" s="574"/>
    </row>
    <row r="26" spans="1:12" ht="15" thickBot="1">
      <c r="A26" s="574"/>
      <c r="L26" s="574"/>
    </row>
    <row r="27" spans="1:12">
      <c r="A27" s="574"/>
      <c r="B27" s="522" t="s">
        <v>680</v>
      </c>
      <c r="C27" s="529"/>
      <c r="D27" s="529"/>
      <c r="E27" s="529"/>
      <c r="F27" s="529"/>
      <c r="G27" s="529"/>
      <c r="H27" s="529"/>
      <c r="I27" s="529"/>
      <c r="J27" s="529"/>
      <c r="K27" s="530"/>
      <c r="L27" s="574"/>
    </row>
    <row r="28" spans="1:12">
      <c r="A28" s="574"/>
      <c r="B28" s="531">
        <f>F23</f>
        <v>312000000</v>
      </c>
      <c r="C28" s="532" t="s">
        <v>686</v>
      </c>
      <c r="D28" s="532"/>
      <c r="E28" s="532" t="s">
        <v>685</v>
      </c>
      <c r="F28" s="596">
        <v>1000</v>
      </c>
      <c r="G28" s="596" t="s">
        <v>684</v>
      </c>
      <c r="H28" s="533">
        <f>B28/F28</f>
        <v>312000</v>
      </c>
      <c r="I28" s="532" t="s">
        <v>687</v>
      </c>
      <c r="J28" s="532"/>
      <c r="K28" s="534"/>
      <c r="L28" s="574"/>
    </row>
    <row r="29" spans="1:12" ht="15" thickBot="1">
      <c r="A29" s="574"/>
      <c r="B29" s="535"/>
      <c r="C29" s="536"/>
      <c r="D29" s="536"/>
      <c r="E29" s="536"/>
      <c r="F29" s="536"/>
      <c r="G29" s="536"/>
      <c r="H29" s="536"/>
      <c r="I29" s="536"/>
      <c r="J29" s="536"/>
      <c r="K29" s="537"/>
      <c r="L29" s="574"/>
    </row>
    <row r="30" spans="1:12" ht="40.5" customHeight="1">
      <c r="A30" s="574"/>
      <c r="B30" s="863" t="s">
        <v>676</v>
      </c>
      <c r="C30" s="863"/>
      <c r="D30" s="863"/>
      <c r="E30" s="863"/>
      <c r="F30" s="863"/>
      <c r="G30" s="863"/>
      <c r="H30" s="863"/>
      <c r="I30" s="863"/>
      <c r="J30" s="863"/>
      <c r="K30" s="863"/>
      <c r="L30" s="574"/>
    </row>
    <row r="31" spans="1:12">
      <c r="A31" s="574"/>
      <c r="B31" s="877" t="s">
        <v>688</v>
      </c>
      <c r="C31" s="877"/>
      <c r="D31" s="877"/>
      <c r="E31" s="877"/>
      <c r="F31" s="877"/>
      <c r="G31" s="877"/>
      <c r="H31" s="877"/>
      <c r="I31" s="877"/>
      <c r="J31" s="877"/>
      <c r="K31" s="877"/>
      <c r="L31" s="574"/>
    </row>
    <row r="32" spans="1:12">
      <c r="A32" s="574"/>
      <c r="L32" s="574"/>
    </row>
    <row r="33" spans="1:12">
      <c r="A33" s="574"/>
      <c r="B33" s="877" t="s">
        <v>689</v>
      </c>
      <c r="C33" s="877"/>
      <c r="D33" s="877"/>
      <c r="E33" s="877"/>
      <c r="F33" s="877"/>
      <c r="G33" s="877"/>
      <c r="H33" s="877"/>
      <c r="I33" s="877"/>
      <c r="J33" s="877"/>
      <c r="K33" s="877"/>
      <c r="L33" s="574"/>
    </row>
    <row r="34" spans="1:12">
      <c r="A34" s="574"/>
      <c r="L34" s="574"/>
    </row>
    <row r="35" spans="1:12" ht="89.25" customHeight="1">
      <c r="A35" s="574"/>
      <c r="B35" s="876" t="s">
        <v>690</v>
      </c>
      <c r="C35" s="865"/>
      <c r="D35" s="865"/>
      <c r="E35" s="865"/>
      <c r="F35" s="865"/>
      <c r="G35" s="865"/>
      <c r="H35" s="865"/>
      <c r="I35" s="865"/>
      <c r="J35" s="865"/>
      <c r="K35" s="865"/>
      <c r="L35" s="574"/>
    </row>
    <row r="36" spans="1:12">
      <c r="A36" s="574"/>
      <c r="L36" s="574"/>
    </row>
    <row r="37" spans="1:12">
      <c r="A37" s="574"/>
      <c r="B37" s="521" t="s">
        <v>691</v>
      </c>
      <c r="L37" s="574"/>
    </row>
    <row r="38" spans="1:12">
      <c r="A38" s="574"/>
      <c r="L38" s="574"/>
    </row>
    <row r="39" spans="1:12">
      <c r="A39" s="574"/>
      <c r="B39" s="527" t="s">
        <v>724</v>
      </c>
      <c r="L39" s="574"/>
    </row>
    <row r="40" spans="1:12">
      <c r="A40" s="574"/>
      <c r="L40" s="574"/>
    </row>
    <row r="41" spans="1:12">
      <c r="A41" s="574"/>
      <c r="C41" s="881">
        <v>312000000</v>
      </c>
      <c r="D41" s="881"/>
      <c r="E41" s="527" t="s">
        <v>685</v>
      </c>
      <c r="F41" s="528">
        <v>1000</v>
      </c>
      <c r="G41" s="528" t="s">
        <v>684</v>
      </c>
      <c r="H41" s="538">
        <f>C41/F41</f>
        <v>312000</v>
      </c>
      <c r="L41" s="574"/>
    </row>
    <row r="42" spans="1:12">
      <c r="A42" s="574"/>
      <c r="L42" s="574"/>
    </row>
    <row r="43" spans="1:12">
      <c r="A43" s="574"/>
      <c r="B43" s="527" t="s">
        <v>725</v>
      </c>
      <c r="L43" s="574"/>
    </row>
    <row r="44" spans="1:12">
      <c r="A44" s="574"/>
      <c r="L44" s="574"/>
    </row>
    <row r="45" spans="1:12">
      <c r="A45" s="574"/>
      <c r="B45" s="527" t="s">
        <v>692</v>
      </c>
      <c r="L45" s="574"/>
    </row>
    <row r="46" spans="1:12" ht="15" thickBot="1">
      <c r="A46" s="574"/>
      <c r="L46" s="574"/>
    </row>
    <row r="47" spans="1:12">
      <c r="A47" s="574"/>
      <c r="B47" s="539" t="s">
        <v>680</v>
      </c>
      <c r="C47" s="529"/>
      <c r="D47" s="529"/>
      <c r="E47" s="529"/>
      <c r="F47" s="529"/>
      <c r="G47" s="529"/>
      <c r="H47" s="529"/>
      <c r="I47" s="529"/>
      <c r="J47" s="529"/>
      <c r="K47" s="530"/>
      <c r="L47" s="574"/>
    </row>
    <row r="48" spans="1:12">
      <c r="A48" s="574"/>
      <c r="B48" s="882">
        <v>312000000</v>
      </c>
      <c r="C48" s="861"/>
      <c r="D48" s="532" t="s">
        <v>693</v>
      </c>
      <c r="E48" s="532" t="s">
        <v>685</v>
      </c>
      <c r="F48" s="635">
        <v>1000</v>
      </c>
      <c r="G48" s="635" t="s">
        <v>684</v>
      </c>
      <c r="H48" s="533">
        <f>B48/F48</f>
        <v>312000</v>
      </c>
      <c r="I48" s="532" t="s">
        <v>694</v>
      </c>
      <c r="J48" s="532"/>
      <c r="K48" s="534"/>
      <c r="L48" s="574"/>
    </row>
    <row r="49" spans="1:24">
      <c r="A49" s="574"/>
      <c r="B49" s="540"/>
      <c r="C49" s="532"/>
      <c r="D49" s="532"/>
      <c r="E49" s="532"/>
      <c r="F49" s="532"/>
      <c r="G49" s="532"/>
      <c r="H49" s="532"/>
      <c r="I49" s="532"/>
      <c r="J49" s="532"/>
      <c r="K49" s="534"/>
      <c r="L49" s="574"/>
    </row>
    <row r="50" spans="1:24">
      <c r="A50" s="574"/>
      <c r="B50" s="541">
        <v>50000</v>
      </c>
      <c r="C50" s="532" t="s">
        <v>695</v>
      </c>
      <c r="D50" s="532"/>
      <c r="E50" s="532" t="s">
        <v>685</v>
      </c>
      <c r="F50" s="533">
        <f>H48</f>
        <v>312000</v>
      </c>
      <c r="G50" s="883" t="s">
        <v>696</v>
      </c>
      <c r="H50" s="884"/>
      <c r="I50" s="635" t="s">
        <v>684</v>
      </c>
      <c r="J50" s="542">
        <f>B50/F50</f>
        <v>0.16025641025641027</v>
      </c>
      <c r="K50" s="534"/>
      <c r="L50" s="574"/>
    </row>
    <row r="51" spans="1:24" ht="15" thickBot="1">
      <c r="A51" s="574"/>
      <c r="B51" s="535"/>
      <c r="C51" s="536"/>
      <c r="D51" s="536"/>
      <c r="E51" s="536"/>
      <c r="F51" s="536"/>
      <c r="G51" s="536"/>
      <c r="H51" s="536"/>
      <c r="I51" s="885" t="s">
        <v>697</v>
      </c>
      <c r="J51" s="885"/>
      <c r="K51" s="886"/>
      <c r="L51" s="574"/>
      <c r="O51" s="611"/>
    </row>
    <row r="52" spans="1:24" ht="40.5" customHeight="1">
      <c r="A52" s="574"/>
      <c r="B52" s="863" t="s">
        <v>676</v>
      </c>
      <c r="C52" s="863"/>
      <c r="D52" s="863"/>
      <c r="E52" s="863"/>
      <c r="F52" s="863"/>
      <c r="G52" s="863"/>
      <c r="H52" s="863"/>
      <c r="I52" s="863"/>
      <c r="J52" s="863"/>
      <c r="K52" s="863"/>
      <c r="L52" s="574"/>
    </row>
    <row r="53" spans="1:24">
      <c r="A53" s="574"/>
      <c r="B53" s="877" t="s">
        <v>698</v>
      </c>
      <c r="C53" s="877"/>
      <c r="D53" s="877"/>
      <c r="E53" s="877"/>
      <c r="F53" s="877"/>
      <c r="G53" s="877"/>
      <c r="H53" s="877"/>
      <c r="I53" s="877"/>
      <c r="J53" s="877"/>
      <c r="K53" s="877"/>
      <c r="L53" s="574"/>
    </row>
    <row r="54" spans="1:24">
      <c r="A54" s="574"/>
      <c r="B54" s="591"/>
      <c r="C54" s="591"/>
      <c r="D54" s="591"/>
      <c r="E54" s="591"/>
      <c r="F54" s="591"/>
      <c r="G54" s="591"/>
      <c r="H54" s="591"/>
      <c r="I54" s="591"/>
      <c r="J54" s="591"/>
      <c r="K54" s="591"/>
      <c r="L54" s="574"/>
    </row>
    <row r="55" spans="1:24">
      <c r="A55" s="574"/>
      <c r="B55" s="873" t="s">
        <v>699</v>
      </c>
      <c r="C55" s="873"/>
      <c r="D55" s="873"/>
      <c r="E55" s="873"/>
      <c r="F55" s="873"/>
      <c r="G55" s="873"/>
      <c r="H55" s="873"/>
      <c r="I55" s="873"/>
      <c r="J55" s="873"/>
      <c r="K55" s="873"/>
      <c r="L55" s="574"/>
    </row>
    <row r="56" spans="1:24" ht="15" customHeight="1">
      <c r="A56" s="574"/>
      <c r="L56" s="574"/>
    </row>
    <row r="57" spans="1:24" ht="74.25" customHeight="1">
      <c r="A57" s="574"/>
      <c r="B57" s="876" t="s">
        <v>700</v>
      </c>
      <c r="C57" s="865"/>
      <c r="D57" s="865"/>
      <c r="E57" s="865"/>
      <c r="F57" s="865"/>
      <c r="G57" s="865"/>
      <c r="H57" s="865"/>
      <c r="I57" s="865"/>
      <c r="J57" s="865"/>
      <c r="K57" s="865"/>
      <c r="L57" s="574"/>
      <c r="M57" s="523"/>
      <c r="N57" s="543"/>
      <c r="O57" s="543"/>
      <c r="P57" s="543"/>
      <c r="Q57" s="543"/>
      <c r="R57" s="543"/>
      <c r="S57" s="543"/>
      <c r="T57" s="543"/>
      <c r="U57" s="543"/>
      <c r="V57" s="543"/>
      <c r="W57" s="543"/>
      <c r="X57" s="543"/>
    </row>
    <row r="58" spans="1:24" ht="15" customHeight="1">
      <c r="A58" s="574"/>
      <c r="B58" s="876"/>
      <c r="C58" s="865"/>
      <c r="D58" s="865"/>
      <c r="E58" s="865"/>
      <c r="F58" s="865"/>
      <c r="G58" s="865"/>
      <c r="H58" s="865"/>
      <c r="I58" s="865"/>
      <c r="J58" s="865"/>
      <c r="K58" s="865"/>
      <c r="L58" s="574"/>
      <c r="M58" s="523"/>
      <c r="N58" s="543"/>
      <c r="O58" s="543"/>
      <c r="P58" s="543"/>
      <c r="Q58" s="543"/>
      <c r="R58" s="543"/>
      <c r="S58" s="543"/>
      <c r="T58" s="543"/>
      <c r="U58" s="543"/>
      <c r="V58" s="543"/>
      <c r="W58" s="543"/>
      <c r="X58" s="543"/>
    </row>
    <row r="59" spans="1:24">
      <c r="A59" s="574"/>
      <c r="B59" s="521" t="s">
        <v>691</v>
      </c>
      <c r="L59" s="574"/>
      <c r="M59" s="543"/>
      <c r="N59" s="543"/>
      <c r="O59" s="543"/>
      <c r="P59" s="543"/>
      <c r="Q59" s="543"/>
      <c r="R59" s="543"/>
      <c r="S59" s="543"/>
      <c r="T59" s="543"/>
      <c r="U59" s="543"/>
      <c r="V59" s="543"/>
      <c r="W59" s="543"/>
      <c r="X59" s="543"/>
    </row>
    <row r="60" spans="1:24">
      <c r="A60" s="574"/>
      <c r="L60" s="574"/>
      <c r="M60" s="543"/>
      <c r="N60" s="543"/>
      <c r="O60" s="543"/>
      <c r="P60" s="543"/>
      <c r="Q60" s="543"/>
      <c r="R60" s="543"/>
      <c r="S60" s="543"/>
      <c r="T60" s="543"/>
      <c r="U60" s="543"/>
      <c r="V60" s="543"/>
      <c r="W60" s="543"/>
      <c r="X60" s="543"/>
    </row>
    <row r="61" spans="1:24">
      <c r="A61" s="574"/>
      <c r="B61" s="527" t="s">
        <v>726</v>
      </c>
      <c r="L61" s="574"/>
      <c r="M61" s="543"/>
      <c r="N61" s="543"/>
      <c r="O61" s="543"/>
      <c r="P61" s="543"/>
      <c r="Q61" s="543"/>
      <c r="R61" s="543"/>
      <c r="S61" s="543"/>
      <c r="T61" s="543"/>
      <c r="U61" s="543"/>
      <c r="V61" s="543"/>
      <c r="W61" s="543"/>
      <c r="X61" s="543"/>
    </row>
    <row r="62" spans="1:24">
      <c r="A62" s="574"/>
      <c r="B62" s="527" t="s">
        <v>831</v>
      </c>
      <c r="L62" s="574"/>
      <c r="M62" s="543"/>
      <c r="N62" s="543"/>
      <c r="O62" s="543"/>
      <c r="P62" s="543"/>
      <c r="Q62" s="543"/>
      <c r="R62" s="543"/>
      <c r="S62" s="543"/>
      <c r="T62" s="543"/>
      <c r="U62" s="543"/>
      <c r="V62" s="543"/>
      <c r="W62" s="543"/>
      <c r="X62" s="543"/>
    </row>
    <row r="63" spans="1:24">
      <c r="A63" s="574"/>
      <c r="B63" s="527" t="s">
        <v>832</v>
      </c>
      <c r="L63" s="574"/>
      <c r="M63" s="543"/>
      <c r="N63" s="543"/>
      <c r="O63" s="543"/>
      <c r="P63" s="543"/>
      <c r="Q63" s="543"/>
      <c r="R63" s="543"/>
      <c r="S63" s="543"/>
      <c r="T63" s="543"/>
      <c r="U63" s="543"/>
      <c r="V63" s="543"/>
      <c r="W63" s="543"/>
      <c r="X63" s="543"/>
    </row>
    <row r="64" spans="1:24">
      <c r="A64" s="574"/>
      <c r="L64" s="574"/>
      <c r="M64" s="543"/>
      <c r="N64" s="543"/>
      <c r="O64" s="543"/>
      <c r="P64" s="543"/>
      <c r="Q64" s="543"/>
      <c r="R64" s="543"/>
      <c r="S64" s="543"/>
      <c r="T64" s="543"/>
      <c r="U64" s="543"/>
      <c r="V64" s="543"/>
      <c r="W64" s="543"/>
      <c r="X64" s="543"/>
    </row>
    <row r="65" spans="1:24">
      <c r="A65" s="574"/>
      <c r="B65" s="527" t="s">
        <v>727</v>
      </c>
      <c r="L65" s="574"/>
      <c r="M65" s="543"/>
      <c r="N65" s="543"/>
      <c r="O65" s="543"/>
      <c r="P65" s="543"/>
      <c r="Q65" s="543"/>
      <c r="R65" s="543"/>
      <c r="S65" s="543"/>
      <c r="T65" s="543"/>
      <c r="U65" s="543"/>
      <c r="V65" s="543"/>
      <c r="W65" s="543"/>
      <c r="X65" s="543"/>
    </row>
    <row r="66" spans="1:24">
      <c r="A66" s="574"/>
      <c r="B66" s="527" t="s">
        <v>701</v>
      </c>
      <c r="L66" s="574"/>
      <c r="M66" s="543"/>
      <c r="N66" s="543"/>
      <c r="O66" s="543"/>
      <c r="P66" s="543"/>
      <c r="Q66" s="543"/>
      <c r="R66" s="543"/>
      <c r="S66" s="543"/>
      <c r="T66" s="543"/>
      <c r="U66" s="543"/>
      <c r="V66" s="543"/>
      <c r="W66" s="543"/>
      <c r="X66" s="543"/>
    </row>
    <row r="67" spans="1:24">
      <c r="A67" s="574"/>
      <c r="L67" s="574"/>
      <c r="M67" s="543"/>
      <c r="N67" s="543"/>
      <c r="O67" s="543"/>
      <c r="P67" s="543"/>
      <c r="Q67" s="543"/>
      <c r="R67" s="543"/>
      <c r="S67" s="543"/>
      <c r="T67" s="543"/>
      <c r="U67" s="543"/>
      <c r="V67" s="543"/>
      <c r="W67" s="543"/>
      <c r="X67" s="543"/>
    </row>
    <row r="68" spans="1:24">
      <c r="A68" s="574"/>
      <c r="B68" s="527" t="s">
        <v>728</v>
      </c>
      <c r="L68" s="574"/>
      <c r="M68" s="524"/>
      <c r="N68" s="544"/>
      <c r="O68" s="544"/>
      <c r="P68" s="544"/>
      <c r="Q68" s="544"/>
      <c r="R68" s="544"/>
      <c r="S68" s="544"/>
      <c r="T68" s="544"/>
      <c r="U68" s="544"/>
      <c r="V68" s="544"/>
      <c r="W68" s="544"/>
      <c r="X68" s="543"/>
    </row>
    <row r="69" spans="1:24">
      <c r="A69" s="574"/>
      <c r="B69" s="527" t="s">
        <v>833</v>
      </c>
      <c r="L69" s="574"/>
      <c r="M69" s="543"/>
      <c r="N69" s="543"/>
      <c r="O69" s="543"/>
      <c r="P69" s="543"/>
      <c r="Q69" s="543"/>
      <c r="R69" s="543"/>
      <c r="S69" s="543"/>
      <c r="T69" s="543"/>
      <c r="U69" s="543"/>
      <c r="V69" s="543"/>
      <c r="W69" s="543"/>
      <c r="X69" s="543"/>
    </row>
    <row r="70" spans="1:24">
      <c r="A70" s="574"/>
      <c r="B70" s="527" t="s">
        <v>834</v>
      </c>
      <c r="L70" s="574"/>
      <c r="M70" s="543"/>
      <c r="N70" s="543"/>
      <c r="O70" s="543"/>
      <c r="P70" s="543"/>
      <c r="Q70" s="543"/>
      <c r="R70" s="543"/>
      <c r="S70" s="543"/>
      <c r="T70" s="543"/>
      <c r="U70" s="543"/>
      <c r="V70" s="543"/>
      <c r="W70" s="543"/>
      <c r="X70" s="543"/>
    </row>
    <row r="71" spans="1:24" ht="15" thickBot="1">
      <c r="A71" s="574"/>
      <c r="B71" s="532"/>
      <c r="C71" s="532"/>
      <c r="D71" s="532"/>
      <c r="E71" s="532"/>
      <c r="F71" s="532"/>
      <c r="G71" s="532"/>
      <c r="H71" s="532"/>
      <c r="I71" s="532"/>
      <c r="J71" s="532"/>
      <c r="K71" s="532"/>
      <c r="L71" s="574"/>
    </row>
    <row r="72" spans="1:24">
      <c r="A72" s="574"/>
      <c r="B72" s="522" t="s">
        <v>680</v>
      </c>
      <c r="C72" s="529"/>
      <c r="D72" s="529"/>
      <c r="E72" s="529"/>
      <c r="F72" s="529"/>
      <c r="G72" s="529"/>
      <c r="H72" s="529"/>
      <c r="I72" s="529"/>
      <c r="J72" s="529"/>
      <c r="K72" s="530"/>
      <c r="L72" s="576"/>
    </row>
    <row r="73" spans="1:24">
      <c r="A73" s="574"/>
      <c r="B73" s="540"/>
      <c r="C73" s="532" t="s">
        <v>686</v>
      </c>
      <c r="D73" s="532"/>
      <c r="E73" s="532"/>
      <c r="F73" s="532"/>
      <c r="G73" s="532"/>
      <c r="H73" s="532"/>
      <c r="I73" s="532"/>
      <c r="J73" s="532"/>
      <c r="K73" s="534"/>
      <c r="L73" s="576"/>
    </row>
    <row r="74" spans="1:24">
      <c r="A74" s="574"/>
      <c r="B74" s="540" t="s">
        <v>702</v>
      </c>
      <c r="C74" s="861">
        <v>312000000</v>
      </c>
      <c r="D74" s="861"/>
      <c r="E74" s="596" t="s">
        <v>685</v>
      </c>
      <c r="F74" s="596">
        <v>1000</v>
      </c>
      <c r="G74" s="596" t="s">
        <v>684</v>
      </c>
      <c r="H74" s="597">
        <f>C74/F74</f>
        <v>312000</v>
      </c>
      <c r="I74" s="532" t="s">
        <v>703</v>
      </c>
      <c r="J74" s="532"/>
      <c r="K74" s="534"/>
      <c r="L74" s="576"/>
    </row>
    <row r="75" spans="1:24">
      <c r="A75" s="574"/>
      <c r="B75" s="540"/>
      <c r="C75" s="532"/>
      <c r="D75" s="532"/>
      <c r="E75" s="596"/>
      <c r="F75" s="532"/>
      <c r="G75" s="532"/>
      <c r="H75" s="532"/>
      <c r="I75" s="532"/>
      <c r="J75" s="532"/>
      <c r="K75" s="534"/>
      <c r="L75" s="576"/>
    </row>
    <row r="76" spans="1:24">
      <c r="A76" s="574"/>
      <c r="B76" s="540"/>
      <c r="C76" s="532" t="s">
        <v>704</v>
      </c>
      <c r="D76" s="532"/>
      <c r="E76" s="596"/>
      <c r="F76" s="532" t="s">
        <v>703</v>
      </c>
      <c r="G76" s="532"/>
      <c r="H76" s="532"/>
      <c r="I76" s="532"/>
      <c r="J76" s="532"/>
      <c r="K76" s="534"/>
      <c r="L76" s="576"/>
    </row>
    <row r="77" spans="1:24">
      <c r="A77" s="574"/>
      <c r="B77" s="540" t="s">
        <v>707</v>
      </c>
      <c r="C77" s="861">
        <v>50000</v>
      </c>
      <c r="D77" s="861"/>
      <c r="E77" s="596" t="s">
        <v>685</v>
      </c>
      <c r="F77" s="597">
        <f>H74</f>
        <v>312000</v>
      </c>
      <c r="G77" s="596" t="s">
        <v>684</v>
      </c>
      <c r="H77" s="542">
        <f>C77/F77</f>
        <v>0.16025641025641027</v>
      </c>
      <c r="I77" s="532" t="s">
        <v>705</v>
      </c>
      <c r="J77" s="532"/>
      <c r="K77" s="534"/>
      <c r="L77" s="576"/>
    </row>
    <row r="78" spans="1:24">
      <c r="A78" s="574"/>
      <c r="B78" s="540"/>
      <c r="C78" s="532"/>
      <c r="D78" s="532"/>
      <c r="E78" s="596"/>
      <c r="F78" s="532"/>
      <c r="G78" s="532"/>
      <c r="H78" s="532"/>
      <c r="I78" s="532"/>
      <c r="J78" s="532"/>
      <c r="K78" s="534"/>
      <c r="L78" s="576"/>
    </row>
    <row r="79" spans="1:24">
      <c r="A79" s="574"/>
      <c r="B79" s="545"/>
      <c r="C79" s="546" t="s">
        <v>706</v>
      </c>
      <c r="D79" s="546"/>
      <c r="E79" s="598"/>
      <c r="F79" s="546"/>
      <c r="G79" s="546"/>
      <c r="H79" s="546"/>
      <c r="I79" s="546"/>
      <c r="J79" s="546"/>
      <c r="K79" s="547"/>
      <c r="L79" s="576"/>
    </row>
    <row r="80" spans="1:24">
      <c r="A80" s="574"/>
      <c r="B80" s="540" t="s">
        <v>784</v>
      </c>
      <c r="C80" s="861">
        <v>100000</v>
      </c>
      <c r="D80" s="861"/>
      <c r="E80" s="596" t="s">
        <v>153</v>
      </c>
      <c r="F80" s="596">
        <v>0.115</v>
      </c>
      <c r="G80" s="596" t="s">
        <v>684</v>
      </c>
      <c r="H80" s="597">
        <f>C80*F80</f>
        <v>11500</v>
      </c>
      <c r="I80" s="532" t="s">
        <v>708</v>
      </c>
      <c r="J80" s="532"/>
      <c r="K80" s="534"/>
      <c r="L80" s="576"/>
    </row>
    <row r="81" spans="1:12">
      <c r="A81" s="574"/>
      <c r="B81" s="540"/>
      <c r="C81" s="532"/>
      <c r="D81" s="532"/>
      <c r="E81" s="596"/>
      <c r="F81" s="532"/>
      <c r="G81" s="532"/>
      <c r="H81" s="532"/>
      <c r="I81" s="532"/>
      <c r="J81" s="532"/>
      <c r="K81" s="534"/>
      <c r="L81" s="576"/>
    </row>
    <row r="82" spans="1:12">
      <c r="A82" s="574"/>
      <c r="B82" s="545"/>
      <c r="C82" s="546" t="s">
        <v>709</v>
      </c>
      <c r="D82" s="546"/>
      <c r="E82" s="598"/>
      <c r="F82" s="546" t="s">
        <v>705</v>
      </c>
      <c r="G82" s="546"/>
      <c r="H82" s="546"/>
      <c r="I82" s="546"/>
      <c r="J82" s="546" t="s">
        <v>710</v>
      </c>
      <c r="K82" s="547"/>
      <c r="L82" s="576"/>
    </row>
    <row r="83" spans="1:12">
      <c r="A83" s="574"/>
      <c r="B83" s="540" t="s">
        <v>785</v>
      </c>
      <c r="C83" s="859">
        <f>H80</f>
        <v>11500</v>
      </c>
      <c r="D83" s="859"/>
      <c r="E83" s="596" t="s">
        <v>153</v>
      </c>
      <c r="F83" s="542">
        <f>H77</f>
        <v>0.16025641025641027</v>
      </c>
      <c r="G83" s="596" t="s">
        <v>685</v>
      </c>
      <c r="H83" s="596">
        <v>1000</v>
      </c>
      <c r="I83" s="596" t="s">
        <v>684</v>
      </c>
      <c r="J83" s="548">
        <f>C83*F83/H83</f>
        <v>1.8429487179487181</v>
      </c>
      <c r="K83" s="534"/>
      <c r="L83" s="576"/>
    </row>
    <row r="84" spans="1:12" ht="15" thickBot="1">
      <c r="A84" s="574"/>
      <c r="B84" s="535"/>
      <c r="C84" s="549"/>
      <c r="D84" s="549"/>
      <c r="E84" s="550"/>
      <c r="F84" s="551"/>
      <c r="G84" s="550"/>
      <c r="H84" s="550"/>
      <c r="I84" s="550"/>
      <c r="J84" s="552"/>
      <c r="K84" s="537"/>
      <c r="L84" s="576"/>
    </row>
    <row r="85" spans="1:12" ht="40.5" customHeight="1">
      <c r="A85" s="574"/>
      <c r="B85" s="863" t="s">
        <v>676</v>
      </c>
      <c r="C85" s="863"/>
      <c r="D85" s="863"/>
      <c r="E85" s="863"/>
      <c r="F85" s="863"/>
      <c r="G85" s="863"/>
      <c r="H85" s="863"/>
      <c r="I85" s="863"/>
      <c r="J85" s="863"/>
      <c r="K85" s="863"/>
      <c r="L85" s="574"/>
    </row>
    <row r="86" spans="1:12">
      <c r="A86" s="574"/>
      <c r="B86" s="873" t="s">
        <v>711</v>
      </c>
      <c r="C86" s="873"/>
      <c r="D86" s="873"/>
      <c r="E86" s="873"/>
      <c r="F86" s="873"/>
      <c r="G86" s="873"/>
      <c r="H86" s="873"/>
      <c r="I86" s="873"/>
      <c r="J86" s="873"/>
      <c r="K86" s="873"/>
      <c r="L86" s="574"/>
    </row>
    <row r="87" spans="1:12">
      <c r="A87" s="574"/>
      <c r="B87" s="553"/>
      <c r="C87" s="553"/>
      <c r="D87" s="553"/>
      <c r="E87" s="553"/>
      <c r="F87" s="553"/>
      <c r="G87" s="553"/>
      <c r="H87" s="553"/>
      <c r="I87" s="553"/>
      <c r="J87" s="553"/>
      <c r="K87" s="553"/>
      <c r="L87" s="574"/>
    </row>
    <row r="88" spans="1:12">
      <c r="A88" s="574"/>
      <c r="B88" s="873" t="s">
        <v>712</v>
      </c>
      <c r="C88" s="873"/>
      <c r="D88" s="873"/>
      <c r="E88" s="873"/>
      <c r="F88" s="873"/>
      <c r="G88" s="873"/>
      <c r="H88" s="873"/>
      <c r="I88" s="873"/>
      <c r="J88" s="873"/>
      <c r="K88" s="873"/>
      <c r="L88" s="574"/>
    </row>
    <row r="89" spans="1:12">
      <c r="A89" s="574"/>
      <c r="B89" s="590"/>
      <c r="C89" s="590"/>
      <c r="D89" s="590"/>
      <c r="E89" s="590"/>
      <c r="F89" s="590"/>
      <c r="G89" s="590"/>
      <c r="H89" s="590"/>
      <c r="I89" s="590"/>
      <c r="J89" s="590"/>
      <c r="K89" s="590"/>
      <c r="L89" s="574"/>
    </row>
    <row r="90" spans="1:12" ht="45" customHeight="1">
      <c r="A90" s="574"/>
      <c r="B90" s="876" t="s">
        <v>713</v>
      </c>
      <c r="C90" s="876"/>
      <c r="D90" s="876"/>
      <c r="E90" s="876"/>
      <c r="F90" s="876"/>
      <c r="G90" s="876"/>
      <c r="H90" s="876"/>
      <c r="I90" s="876"/>
      <c r="J90" s="876"/>
      <c r="K90" s="876"/>
      <c r="L90" s="574"/>
    </row>
    <row r="91" spans="1:12" ht="15" customHeight="1" thickBot="1">
      <c r="A91" s="574"/>
      <c r="L91" s="574"/>
    </row>
    <row r="92" spans="1:12" ht="15" customHeight="1">
      <c r="A92" s="574"/>
      <c r="B92" s="525" t="s">
        <v>680</v>
      </c>
      <c r="C92" s="554"/>
      <c r="D92" s="554"/>
      <c r="E92" s="554"/>
      <c r="F92" s="554"/>
      <c r="G92" s="554"/>
      <c r="H92" s="554"/>
      <c r="I92" s="554"/>
      <c r="J92" s="554"/>
      <c r="K92" s="555"/>
      <c r="L92" s="574"/>
    </row>
    <row r="93" spans="1:12" ht="15" customHeight="1">
      <c r="A93" s="574"/>
      <c r="B93" s="556"/>
      <c r="C93" s="594" t="s">
        <v>686</v>
      </c>
      <c r="D93" s="594"/>
      <c r="E93" s="594"/>
      <c r="F93" s="594"/>
      <c r="G93" s="594"/>
      <c r="H93" s="594"/>
      <c r="I93" s="594"/>
      <c r="J93" s="594"/>
      <c r="K93" s="557"/>
      <c r="L93" s="574"/>
    </row>
    <row r="94" spans="1:12" ht="15" customHeight="1">
      <c r="A94" s="574"/>
      <c r="B94" s="556" t="s">
        <v>702</v>
      </c>
      <c r="C94" s="861">
        <v>312000000</v>
      </c>
      <c r="D94" s="861"/>
      <c r="E94" s="596" t="s">
        <v>685</v>
      </c>
      <c r="F94" s="596">
        <v>1000</v>
      </c>
      <c r="G94" s="596" t="s">
        <v>684</v>
      </c>
      <c r="H94" s="597">
        <f>C94/F94</f>
        <v>312000</v>
      </c>
      <c r="I94" s="594" t="s">
        <v>703</v>
      </c>
      <c r="J94" s="594"/>
      <c r="K94" s="557"/>
      <c r="L94" s="574"/>
    </row>
    <row r="95" spans="1:12" ht="15" customHeight="1">
      <c r="A95" s="574"/>
      <c r="B95" s="556"/>
      <c r="C95" s="594"/>
      <c r="D95" s="594"/>
      <c r="E95" s="596"/>
      <c r="F95" s="594"/>
      <c r="G95" s="594"/>
      <c r="H95" s="594"/>
      <c r="I95" s="594"/>
      <c r="J95" s="594"/>
      <c r="K95" s="557"/>
      <c r="L95" s="574"/>
    </row>
    <row r="96" spans="1:12" ht="15" customHeight="1">
      <c r="A96" s="574"/>
      <c r="B96" s="556"/>
      <c r="C96" s="594" t="s">
        <v>704</v>
      </c>
      <c r="D96" s="594"/>
      <c r="E96" s="596"/>
      <c r="F96" s="594" t="s">
        <v>703</v>
      </c>
      <c r="G96" s="594"/>
      <c r="H96" s="594"/>
      <c r="I96" s="594"/>
      <c r="J96" s="594"/>
      <c r="K96" s="557"/>
      <c r="L96" s="574"/>
    </row>
    <row r="97" spans="1:12" ht="15" customHeight="1">
      <c r="A97" s="574"/>
      <c r="B97" s="556" t="s">
        <v>707</v>
      </c>
      <c r="C97" s="861">
        <v>50000</v>
      </c>
      <c r="D97" s="861"/>
      <c r="E97" s="596" t="s">
        <v>685</v>
      </c>
      <c r="F97" s="597">
        <f>H94</f>
        <v>312000</v>
      </c>
      <c r="G97" s="596" t="s">
        <v>684</v>
      </c>
      <c r="H97" s="542">
        <f>C97/F97</f>
        <v>0.16025641025641027</v>
      </c>
      <c r="I97" s="594" t="s">
        <v>705</v>
      </c>
      <c r="J97" s="594"/>
      <c r="K97" s="557"/>
      <c r="L97" s="574"/>
    </row>
    <row r="98" spans="1:12" ht="15" customHeight="1">
      <c r="A98" s="574"/>
      <c r="B98" s="556"/>
      <c r="C98" s="594"/>
      <c r="D98" s="594"/>
      <c r="E98" s="596"/>
      <c r="F98" s="594"/>
      <c r="G98" s="594"/>
      <c r="H98" s="594"/>
      <c r="I98" s="594"/>
      <c r="J98" s="594"/>
      <c r="K98" s="557"/>
      <c r="L98" s="574"/>
    </row>
    <row r="99" spans="1:12" ht="15" customHeight="1">
      <c r="A99" s="574"/>
      <c r="B99" s="558"/>
      <c r="C99" s="559" t="s">
        <v>714</v>
      </c>
      <c r="D99" s="559"/>
      <c r="E99" s="598"/>
      <c r="F99" s="559"/>
      <c r="G99" s="559"/>
      <c r="H99" s="559"/>
      <c r="I99" s="559"/>
      <c r="J99" s="559"/>
      <c r="K99" s="560"/>
      <c r="L99" s="574"/>
    </row>
    <row r="100" spans="1:12" ht="15" customHeight="1">
      <c r="A100" s="574"/>
      <c r="B100" s="556" t="s">
        <v>784</v>
      </c>
      <c r="C100" s="861">
        <v>2500000</v>
      </c>
      <c r="D100" s="861"/>
      <c r="E100" s="596" t="s">
        <v>153</v>
      </c>
      <c r="F100" s="561">
        <v>0.3</v>
      </c>
      <c r="G100" s="596" t="s">
        <v>684</v>
      </c>
      <c r="H100" s="597">
        <f>C100*F100</f>
        <v>750000</v>
      </c>
      <c r="I100" s="594" t="s">
        <v>708</v>
      </c>
      <c r="J100" s="594"/>
      <c r="K100" s="557"/>
      <c r="L100" s="574"/>
    </row>
    <row r="101" spans="1:12" ht="15" customHeight="1">
      <c r="A101" s="574"/>
      <c r="B101" s="556"/>
      <c r="C101" s="594"/>
      <c r="D101" s="594"/>
      <c r="E101" s="596"/>
      <c r="F101" s="594"/>
      <c r="G101" s="594"/>
      <c r="H101" s="594"/>
      <c r="I101" s="594"/>
      <c r="J101" s="594"/>
      <c r="K101" s="557"/>
      <c r="L101" s="574"/>
    </row>
    <row r="102" spans="1:12" ht="15" customHeight="1">
      <c r="A102" s="574"/>
      <c r="B102" s="558"/>
      <c r="C102" s="559" t="s">
        <v>709</v>
      </c>
      <c r="D102" s="559"/>
      <c r="E102" s="598"/>
      <c r="F102" s="559" t="s">
        <v>705</v>
      </c>
      <c r="G102" s="559"/>
      <c r="H102" s="559"/>
      <c r="I102" s="559"/>
      <c r="J102" s="559" t="s">
        <v>710</v>
      </c>
      <c r="K102" s="560"/>
      <c r="L102" s="574"/>
    </row>
    <row r="103" spans="1:12" ht="15" customHeight="1">
      <c r="A103" s="574"/>
      <c r="B103" s="556" t="s">
        <v>785</v>
      </c>
      <c r="C103" s="859">
        <f>H100</f>
        <v>750000</v>
      </c>
      <c r="D103" s="859"/>
      <c r="E103" s="596" t="s">
        <v>153</v>
      </c>
      <c r="F103" s="542">
        <f>H97</f>
        <v>0.16025641025641027</v>
      </c>
      <c r="G103" s="596" t="s">
        <v>685</v>
      </c>
      <c r="H103" s="596">
        <v>1000</v>
      </c>
      <c r="I103" s="596" t="s">
        <v>684</v>
      </c>
      <c r="J103" s="548">
        <f>C103*F103/H103</f>
        <v>120.19230769230771</v>
      </c>
      <c r="K103" s="557"/>
      <c r="L103" s="574"/>
    </row>
    <row r="104" spans="1:12" ht="15" customHeight="1" thickBot="1">
      <c r="A104" s="574"/>
      <c r="B104" s="562"/>
      <c r="C104" s="549"/>
      <c r="D104" s="549"/>
      <c r="E104" s="550"/>
      <c r="F104" s="551"/>
      <c r="G104" s="550"/>
      <c r="H104" s="550"/>
      <c r="I104" s="550"/>
      <c r="J104" s="552"/>
      <c r="K104" s="595"/>
      <c r="L104" s="574"/>
    </row>
    <row r="105" spans="1:12" ht="40.5" customHeight="1">
      <c r="A105" s="574"/>
      <c r="B105" s="863" t="s">
        <v>676</v>
      </c>
      <c r="C105" s="867"/>
      <c r="D105" s="867"/>
      <c r="E105" s="867"/>
      <c r="F105" s="867"/>
      <c r="G105" s="867"/>
      <c r="H105" s="867"/>
      <c r="I105" s="867"/>
      <c r="J105" s="867"/>
      <c r="K105" s="867"/>
      <c r="L105" s="574"/>
    </row>
    <row r="106" spans="1:12" ht="15" customHeight="1">
      <c r="A106" s="574"/>
      <c r="B106" s="871" t="s">
        <v>715</v>
      </c>
      <c r="C106" s="872"/>
      <c r="D106" s="872"/>
      <c r="E106" s="872"/>
      <c r="F106" s="872"/>
      <c r="G106" s="872"/>
      <c r="H106" s="872"/>
      <c r="I106" s="872"/>
      <c r="J106" s="872"/>
      <c r="K106" s="872"/>
      <c r="L106" s="574"/>
    </row>
    <row r="107" spans="1:12" ht="15" customHeight="1">
      <c r="A107" s="574"/>
      <c r="B107" s="594"/>
      <c r="C107" s="563"/>
      <c r="D107" s="563"/>
      <c r="E107" s="596"/>
      <c r="F107" s="542"/>
      <c r="G107" s="596"/>
      <c r="H107" s="596"/>
      <c r="I107" s="596"/>
      <c r="J107" s="548"/>
      <c r="K107" s="594"/>
      <c r="L107" s="574"/>
    </row>
    <row r="108" spans="1:12" ht="15" customHeight="1">
      <c r="A108" s="574"/>
      <c r="B108" s="871" t="s">
        <v>716</v>
      </c>
      <c r="C108" s="875"/>
      <c r="D108" s="875"/>
      <c r="E108" s="875"/>
      <c r="F108" s="875"/>
      <c r="G108" s="875"/>
      <c r="H108" s="875"/>
      <c r="I108" s="875"/>
      <c r="J108" s="875"/>
      <c r="K108" s="875"/>
      <c r="L108" s="574"/>
    </row>
    <row r="109" spans="1:12" ht="15" customHeight="1">
      <c r="A109" s="574"/>
      <c r="B109" s="594"/>
      <c r="C109" s="563"/>
      <c r="D109" s="563"/>
      <c r="E109" s="596"/>
      <c r="F109" s="542"/>
      <c r="G109" s="596"/>
      <c r="H109" s="596"/>
      <c r="I109" s="596"/>
      <c r="J109" s="548"/>
      <c r="K109" s="594"/>
      <c r="L109" s="574"/>
    </row>
    <row r="110" spans="1:12" ht="59.25" customHeight="1">
      <c r="A110" s="574"/>
      <c r="B110" s="864" t="s">
        <v>717</v>
      </c>
      <c r="C110" s="865"/>
      <c r="D110" s="865"/>
      <c r="E110" s="865"/>
      <c r="F110" s="865"/>
      <c r="G110" s="865"/>
      <c r="H110" s="865"/>
      <c r="I110" s="865"/>
      <c r="J110" s="865"/>
      <c r="K110" s="865"/>
      <c r="L110" s="574"/>
    </row>
    <row r="111" spans="1:12" ht="15" thickBot="1">
      <c r="A111" s="574"/>
      <c r="B111" s="591"/>
      <c r="C111" s="591"/>
      <c r="D111" s="591"/>
      <c r="E111" s="591"/>
      <c r="F111" s="591"/>
      <c r="G111" s="591"/>
      <c r="H111" s="591"/>
      <c r="I111" s="591"/>
      <c r="J111" s="591"/>
      <c r="K111" s="591"/>
      <c r="L111" s="577"/>
    </row>
    <row r="112" spans="1:12">
      <c r="A112" s="574"/>
      <c r="B112" s="522" t="s">
        <v>680</v>
      </c>
      <c r="C112" s="529"/>
      <c r="D112" s="529"/>
      <c r="E112" s="529"/>
      <c r="F112" s="529"/>
      <c r="G112" s="529"/>
      <c r="H112" s="529"/>
      <c r="I112" s="529"/>
      <c r="J112" s="529"/>
      <c r="K112" s="530"/>
      <c r="L112" s="574"/>
    </row>
    <row r="113" spans="1:12">
      <c r="A113" s="574"/>
      <c r="B113" s="540"/>
      <c r="C113" s="532" t="s">
        <v>686</v>
      </c>
      <c r="D113" s="532"/>
      <c r="E113" s="532"/>
      <c r="F113" s="532"/>
      <c r="G113" s="532"/>
      <c r="H113" s="532"/>
      <c r="I113" s="532"/>
      <c r="J113" s="532"/>
      <c r="K113" s="534"/>
      <c r="L113" s="574"/>
    </row>
    <row r="114" spans="1:12">
      <c r="A114" s="574"/>
      <c r="B114" s="540" t="s">
        <v>702</v>
      </c>
      <c r="C114" s="861">
        <v>312000000</v>
      </c>
      <c r="D114" s="861"/>
      <c r="E114" s="596" t="s">
        <v>685</v>
      </c>
      <c r="F114" s="596">
        <v>1000</v>
      </c>
      <c r="G114" s="596" t="s">
        <v>684</v>
      </c>
      <c r="H114" s="597">
        <f>C114/F114</f>
        <v>312000</v>
      </c>
      <c r="I114" s="532" t="s">
        <v>703</v>
      </c>
      <c r="J114" s="532"/>
      <c r="K114" s="534"/>
      <c r="L114" s="574"/>
    </row>
    <row r="115" spans="1:12">
      <c r="A115" s="574"/>
      <c r="B115" s="540"/>
      <c r="C115" s="532"/>
      <c r="D115" s="532"/>
      <c r="E115" s="596"/>
      <c r="F115" s="532"/>
      <c r="G115" s="532"/>
      <c r="H115" s="532"/>
      <c r="I115" s="532"/>
      <c r="J115" s="532"/>
      <c r="K115" s="534"/>
      <c r="L115" s="574"/>
    </row>
    <row r="116" spans="1:12">
      <c r="A116" s="574"/>
      <c r="B116" s="540"/>
      <c r="C116" s="532" t="s">
        <v>704</v>
      </c>
      <c r="D116" s="532"/>
      <c r="E116" s="596"/>
      <c r="F116" s="532" t="s">
        <v>703</v>
      </c>
      <c r="G116" s="532"/>
      <c r="H116" s="532"/>
      <c r="I116" s="532"/>
      <c r="J116" s="532"/>
      <c r="K116" s="534"/>
      <c r="L116" s="574"/>
    </row>
    <row r="117" spans="1:12">
      <c r="A117" s="574"/>
      <c r="B117" s="540" t="s">
        <v>707</v>
      </c>
      <c r="C117" s="861">
        <v>50000</v>
      </c>
      <c r="D117" s="861"/>
      <c r="E117" s="596" t="s">
        <v>685</v>
      </c>
      <c r="F117" s="597">
        <f>H114</f>
        <v>312000</v>
      </c>
      <c r="G117" s="596" t="s">
        <v>684</v>
      </c>
      <c r="H117" s="542">
        <f>C117/F117</f>
        <v>0.16025641025641027</v>
      </c>
      <c r="I117" s="532" t="s">
        <v>705</v>
      </c>
      <c r="J117" s="532"/>
      <c r="K117" s="534"/>
      <c r="L117" s="574"/>
    </row>
    <row r="118" spans="1:12">
      <c r="A118" s="574"/>
      <c r="B118" s="540"/>
      <c r="C118" s="532"/>
      <c r="D118" s="532"/>
      <c r="E118" s="596"/>
      <c r="F118" s="532"/>
      <c r="G118" s="532"/>
      <c r="H118" s="532"/>
      <c r="I118" s="532"/>
      <c r="J118" s="532"/>
      <c r="K118" s="534"/>
      <c r="L118" s="574"/>
    </row>
    <row r="119" spans="1:12">
      <c r="A119" s="574"/>
      <c r="B119" s="545"/>
      <c r="C119" s="546" t="s">
        <v>714</v>
      </c>
      <c r="D119" s="546"/>
      <c r="E119" s="598"/>
      <c r="F119" s="546"/>
      <c r="G119" s="546"/>
      <c r="H119" s="546"/>
      <c r="I119" s="546"/>
      <c r="J119" s="546"/>
      <c r="K119" s="547"/>
      <c r="L119" s="574"/>
    </row>
    <row r="120" spans="1:12">
      <c r="A120" s="574"/>
      <c r="B120" s="540" t="s">
        <v>784</v>
      </c>
      <c r="C120" s="861">
        <v>2500000</v>
      </c>
      <c r="D120" s="861"/>
      <c r="E120" s="596" t="s">
        <v>153</v>
      </c>
      <c r="F120" s="561">
        <v>0.25</v>
      </c>
      <c r="G120" s="596" t="s">
        <v>684</v>
      </c>
      <c r="H120" s="597">
        <f>C120*F120</f>
        <v>625000</v>
      </c>
      <c r="I120" s="532" t="s">
        <v>708</v>
      </c>
      <c r="J120" s="532"/>
      <c r="K120" s="534"/>
      <c r="L120" s="574"/>
    </row>
    <row r="121" spans="1:12">
      <c r="A121" s="574"/>
      <c r="B121" s="540"/>
      <c r="C121" s="532"/>
      <c r="D121" s="532"/>
      <c r="E121" s="596"/>
      <c r="F121" s="532"/>
      <c r="G121" s="532"/>
      <c r="H121" s="532"/>
      <c r="I121" s="532"/>
      <c r="J121" s="532"/>
      <c r="K121" s="534"/>
      <c r="L121" s="574"/>
    </row>
    <row r="122" spans="1:12">
      <c r="A122" s="574"/>
      <c r="B122" s="545"/>
      <c r="C122" s="546" t="s">
        <v>709</v>
      </c>
      <c r="D122" s="546"/>
      <c r="E122" s="598"/>
      <c r="F122" s="546" t="s">
        <v>705</v>
      </c>
      <c r="G122" s="546"/>
      <c r="H122" s="546"/>
      <c r="I122" s="546"/>
      <c r="J122" s="546" t="s">
        <v>710</v>
      </c>
      <c r="K122" s="547"/>
      <c r="L122" s="574"/>
    </row>
    <row r="123" spans="1:12">
      <c r="A123" s="574"/>
      <c r="B123" s="540" t="s">
        <v>785</v>
      </c>
      <c r="C123" s="859">
        <f>H120</f>
        <v>625000</v>
      </c>
      <c r="D123" s="859"/>
      <c r="E123" s="596" t="s">
        <v>153</v>
      </c>
      <c r="F123" s="542">
        <f>H117</f>
        <v>0.16025641025641027</v>
      </c>
      <c r="G123" s="596" t="s">
        <v>685</v>
      </c>
      <c r="H123" s="596">
        <v>1000</v>
      </c>
      <c r="I123" s="596" t="s">
        <v>684</v>
      </c>
      <c r="J123" s="548">
        <f>C123*F123/H123</f>
        <v>100.16025641025642</v>
      </c>
      <c r="K123" s="534"/>
      <c r="L123" s="574"/>
    </row>
    <row r="124" spans="1:12" ht="15" thickBot="1">
      <c r="A124" s="574"/>
      <c r="B124" s="535"/>
      <c r="C124" s="549"/>
      <c r="D124" s="549"/>
      <c r="E124" s="550"/>
      <c r="F124" s="551"/>
      <c r="G124" s="550"/>
      <c r="H124" s="550"/>
      <c r="I124" s="550"/>
      <c r="J124" s="552"/>
      <c r="K124" s="537"/>
      <c r="L124" s="574"/>
    </row>
    <row r="125" spans="1:12" ht="40.5" customHeight="1">
      <c r="A125" s="574"/>
      <c r="B125" s="863" t="s">
        <v>676</v>
      </c>
      <c r="C125" s="863"/>
      <c r="D125" s="863"/>
      <c r="E125" s="863"/>
      <c r="F125" s="863"/>
      <c r="G125" s="863"/>
      <c r="H125" s="863"/>
      <c r="I125" s="863"/>
      <c r="J125" s="863"/>
      <c r="K125" s="863"/>
      <c r="L125" s="577"/>
    </row>
    <row r="126" spans="1:12">
      <c r="A126" s="574"/>
      <c r="B126" s="873" t="s">
        <v>718</v>
      </c>
      <c r="C126" s="873"/>
      <c r="D126" s="873"/>
      <c r="E126" s="873"/>
      <c r="F126" s="873"/>
      <c r="G126" s="873"/>
      <c r="H126" s="873"/>
      <c r="I126" s="873"/>
      <c r="J126" s="873"/>
      <c r="K126" s="873"/>
      <c r="L126" s="577"/>
    </row>
    <row r="127" spans="1:12">
      <c r="A127" s="574"/>
      <c r="B127" s="591"/>
      <c r="C127" s="591"/>
      <c r="D127" s="591"/>
      <c r="E127" s="591"/>
      <c r="F127" s="591"/>
      <c r="G127" s="591"/>
      <c r="H127" s="591"/>
      <c r="I127" s="591"/>
      <c r="J127" s="591"/>
      <c r="K127" s="591"/>
      <c r="L127" s="577"/>
    </row>
    <row r="128" spans="1:12">
      <c r="A128" s="574"/>
      <c r="B128" s="873" t="s">
        <v>719</v>
      </c>
      <c r="C128" s="873"/>
      <c r="D128" s="873"/>
      <c r="E128" s="873"/>
      <c r="F128" s="873"/>
      <c r="G128" s="873"/>
      <c r="H128" s="873"/>
      <c r="I128" s="873"/>
      <c r="J128" s="873"/>
      <c r="K128" s="873"/>
      <c r="L128" s="577"/>
    </row>
    <row r="129" spans="1:12">
      <c r="A129" s="574"/>
      <c r="B129" s="590"/>
      <c r="C129" s="590"/>
      <c r="D129" s="590"/>
      <c r="E129" s="590"/>
      <c r="F129" s="590"/>
      <c r="G129" s="590"/>
      <c r="H129" s="590"/>
      <c r="I129" s="590"/>
      <c r="J129" s="590"/>
      <c r="K129" s="590"/>
      <c r="L129" s="577"/>
    </row>
    <row r="130" spans="1:12" ht="74.25" customHeight="1">
      <c r="A130" s="574"/>
      <c r="B130" s="876" t="s">
        <v>786</v>
      </c>
      <c r="C130" s="876"/>
      <c r="D130" s="876"/>
      <c r="E130" s="876"/>
      <c r="F130" s="876"/>
      <c r="G130" s="876"/>
      <c r="H130" s="876"/>
      <c r="I130" s="876"/>
      <c r="J130" s="876"/>
      <c r="K130" s="876"/>
      <c r="L130" s="577"/>
    </row>
    <row r="131" spans="1:12" ht="15" thickBot="1">
      <c r="A131" s="574"/>
      <c r="L131" s="574"/>
    </row>
    <row r="132" spans="1:12">
      <c r="A132" s="574"/>
      <c r="B132" s="522" t="s">
        <v>680</v>
      </c>
      <c r="C132" s="529"/>
      <c r="D132" s="529"/>
      <c r="E132" s="529"/>
      <c r="F132" s="529"/>
      <c r="G132" s="529"/>
      <c r="H132" s="529"/>
      <c r="I132" s="529"/>
      <c r="J132" s="529"/>
      <c r="K132" s="530"/>
      <c r="L132" s="574"/>
    </row>
    <row r="133" spans="1:12">
      <c r="A133" s="574"/>
      <c r="B133" s="540"/>
      <c r="C133" s="860" t="s">
        <v>720</v>
      </c>
      <c r="D133" s="860"/>
      <c r="E133" s="532"/>
      <c r="F133" s="596" t="s">
        <v>721</v>
      </c>
      <c r="G133" s="532"/>
      <c r="H133" s="860" t="s">
        <v>708</v>
      </c>
      <c r="I133" s="860"/>
      <c r="J133" s="532"/>
      <c r="K133" s="534"/>
      <c r="L133" s="574"/>
    </row>
    <row r="134" spans="1:12">
      <c r="A134" s="574"/>
      <c r="B134" s="540" t="s">
        <v>702</v>
      </c>
      <c r="C134" s="861">
        <v>100000</v>
      </c>
      <c r="D134" s="861"/>
      <c r="E134" s="596" t="s">
        <v>153</v>
      </c>
      <c r="F134" s="596">
        <v>0.115</v>
      </c>
      <c r="G134" s="596" t="s">
        <v>684</v>
      </c>
      <c r="H134" s="862">
        <f>C134*F134</f>
        <v>11500</v>
      </c>
      <c r="I134" s="862"/>
      <c r="J134" s="532"/>
      <c r="K134" s="534"/>
      <c r="L134" s="574"/>
    </row>
    <row r="135" spans="1:12">
      <c r="A135" s="574"/>
      <c r="B135" s="540"/>
      <c r="C135" s="532"/>
      <c r="D135" s="532"/>
      <c r="E135" s="532"/>
      <c r="F135" s="532"/>
      <c r="G135" s="532"/>
      <c r="H135" s="532"/>
      <c r="I135" s="532"/>
      <c r="J135" s="532"/>
      <c r="K135" s="534"/>
      <c r="L135" s="574"/>
    </row>
    <row r="136" spans="1:12">
      <c r="A136" s="574"/>
      <c r="B136" s="545"/>
      <c r="C136" s="874" t="s">
        <v>708</v>
      </c>
      <c r="D136" s="874"/>
      <c r="E136" s="546"/>
      <c r="F136" s="598" t="s">
        <v>722</v>
      </c>
      <c r="G136" s="598"/>
      <c r="H136" s="546"/>
      <c r="I136" s="546"/>
      <c r="J136" s="546" t="s">
        <v>723</v>
      </c>
      <c r="K136" s="547"/>
      <c r="L136" s="574"/>
    </row>
    <row r="137" spans="1:12">
      <c r="A137" s="574"/>
      <c r="B137" s="540" t="s">
        <v>707</v>
      </c>
      <c r="C137" s="862">
        <f>H134</f>
        <v>11500</v>
      </c>
      <c r="D137" s="862"/>
      <c r="E137" s="596" t="s">
        <v>153</v>
      </c>
      <c r="F137" s="564">
        <v>52.869</v>
      </c>
      <c r="G137" s="596" t="s">
        <v>685</v>
      </c>
      <c r="H137" s="596">
        <v>1000</v>
      </c>
      <c r="I137" s="596" t="s">
        <v>684</v>
      </c>
      <c r="J137" s="565">
        <f>C137*F137/H137</f>
        <v>607.99350000000004</v>
      </c>
      <c r="K137" s="534"/>
      <c r="L137" s="574"/>
    </row>
    <row r="138" spans="1:12" ht="15" thickBot="1">
      <c r="A138" s="574"/>
      <c r="B138" s="535"/>
      <c r="C138" s="612"/>
      <c r="D138" s="612"/>
      <c r="E138" s="550"/>
      <c r="F138" s="613"/>
      <c r="G138" s="550"/>
      <c r="H138" s="550"/>
      <c r="I138" s="550"/>
      <c r="J138" s="614"/>
      <c r="K138" s="537"/>
      <c r="L138" s="574"/>
    </row>
    <row r="139" spans="1:12" ht="40.5" customHeight="1">
      <c r="A139" s="574"/>
      <c r="B139" s="599" t="s">
        <v>676</v>
      </c>
      <c r="C139" s="600"/>
      <c r="D139" s="600"/>
      <c r="E139" s="601"/>
      <c r="F139" s="602"/>
      <c r="G139" s="601"/>
      <c r="H139" s="601"/>
      <c r="I139" s="601"/>
      <c r="J139" s="603"/>
      <c r="K139" s="604"/>
      <c r="L139" s="574"/>
    </row>
    <row r="140" spans="1:12">
      <c r="A140" s="574"/>
      <c r="B140" s="605" t="s">
        <v>787</v>
      </c>
      <c r="C140" s="606"/>
      <c r="D140" s="606"/>
      <c r="E140" s="607"/>
      <c r="F140" s="608"/>
      <c r="G140" s="607"/>
      <c r="H140" s="607"/>
      <c r="I140" s="607"/>
      <c r="J140" s="609"/>
      <c r="K140" s="610"/>
      <c r="L140" s="574"/>
    </row>
    <row r="141" spans="1:12">
      <c r="A141" s="574"/>
      <c r="B141" s="540"/>
      <c r="C141" s="597"/>
      <c r="D141" s="597"/>
      <c r="E141" s="596"/>
      <c r="F141" s="615"/>
      <c r="G141" s="596"/>
      <c r="H141" s="596"/>
      <c r="I141" s="596"/>
      <c r="J141" s="565"/>
      <c r="K141" s="534"/>
      <c r="L141" s="574"/>
    </row>
    <row r="142" spans="1:12">
      <c r="A142" s="574"/>
      <c r="B142" s="605" t="s">
        <v>788</v>
      </c>
      <c r="C142" s="606"/>
      <c r="D142" s="606"/>
      <c r="E142" s="607"/>
      <c r="F142" s="608"/>
      <c r="G142" s="607"/>
      <c r="H142" s="607"/>
      <c r="I142" s="607"/>
      <c r="J142" s="609"/>
      <c r="K142" s="610"/>
      <c r="L142" s="574"/>
    </row>
    <row r="143" spans="1:12">
      <c r="A143" s="574"/>
      <c r="B143" s="540"/>
      <c r="C143" s="597"/>
      <c r="D143" s="597"/>
      <c r="E143" s="596"/>
      <c r="F143" s="615"/>
      <c r="G143" s="596"/>
      <c r="H143" s="596"/>
      <c r="I143" s="596"/>
      <c r="J143" s="565"/>
      <c r="K143" s="534"/>
      <c r="L143" s="574"/>
    </row>
    <row r="144" spans="1:12" ht="76.5" customHeight="1">
      <c r="A144" s="574"/>
      <c r="B144" s="868" t="s">
        <v>789</v>
      </c>
      <c r="C144" s="869"/>
      <c r="D144" s="869"/>
      <c r="E144" s="869"/>
      <c r="F144" s="869"/>
      <c r="G144" s="869"/>
      <c r="H144" s="869"/>
      <c r="I144" s="869"/>
      <c r="J144" s="869"/>
      <c r="K144" s="870"/>
      <c r="L144" s="574"/>
    </row>
    <row r="145" spans="1:12" ht="15" thickBot="1">
      <c r="A145" s="574"/>
      <c r="B145" s="540"/>
      <c r="C145" s="597"/>
      <c r="D145" s="597"/>
      <c r="E145" s="596"/>
      <c r="F145" s="615"/>
      <c r="G145" s="596"/>
      <c r="H145" s="596"/>
      <c r="I145" s="596"/>
      <c r="J145" s="565"/>
      <c r="K145" s="534"/>
      <c r="L145" s="574"/>
    </row>
    <row r="146" spans="1:12">
      <c r="A146" s="574"/>
      <c r="B146" s="522" t="s">
        <v>680</v>
      </c>
      <c r="C146" s="616"/>
      <c r="D146" s="616"/>
      <c r="E146" s="617"/>
      <c r="F146" s="618"/>
      <c r="G146" s="617"/>
      <c r="H146" s="617"/>
      <c r="I146" s="617"/>
      <c r="J146" s="619"/>
      <c r="K146" s="530"/>
      <c r="L146" s="574"/>
    </row>
    <row r="147" spans="1:12">
      <c r="A147" s="574"/>
      <c r="B147" s="540"/>
      <c r="C147" s="862" t="s">
        <v>790</v>
      </c>
      <c r="D147" s="862"/>
      <c r="E147" s="596"/>
      <c r="F147" s="615" t="s">
        <v>791</v>
      </c>
      <c r="G147" s="596"/>
      <c r="H147" s="596"/>
      <c r="I147" s="596"/>
      <c r="J147" s="857" t="s">
        <v>792</v>
      </c>
      <c r="K147" s="866"/>
      <c r="L147" s="574"/>
    </row>
    <row r="148" spans="1:12">
      <c r="A148" s="574"/>
      <c r="B148" s="540"/>
      <c r="C148" s="856">
        <v>52.869</v>
      </c>
      <c r="D148" s="856"/>
      <c r="E148" s="596" t="s">
        <v>153</v>
      </c>
      <c r="F148" s="593">
        <v>312000000</v>
      </c>
      <c r="G148" s="620" t="s">
        <v>685</v>
      </c>
      <c r="H148" s="596">
        <v>1000</v>
      </c>
      <c r="I148" s="596" t="s">
        <v>684</v>
      </c>
      <c r="J148" s="857">
        <f>C148*(F148/1000)</f>
        <v>16495128</v>
      </c>
      <c r="K148" s="858"/>
      <c r="L148" s="574"/>
    </row>
    <row r="149" spans="1:12" ht="15" thickBot="1">
      <c r="A149" s="574"/>
      <c r="B149" s="535"/>
      <c r="C149" s="612"/>
      <c r="D149" s="612"/>
      <c r="E149" s="550"/>
      <c r="F149" s="613"/>
      <c r="G149" s="550"/>
      <c r="H149" s="550"/>
      <c r="I149" s="550"/>
      <c r="J149" s="614"/>
      <c r="K149" s="537"/>
      <c r="L149" s="574"/>
    </row>
    <row r="150" spans="1:12" ht="15" thickBot="1">
      <c r="A150" s="574"/>
      <c r="B150" s="535"/>
      <c r="C150" s="536"/>
      <c r="D150" s="536"/>
      <c r="E150" s="536"/>
      <c r="F150" s="536"/>
      <c r="G150" s="536"/>
      <c r="H150" s="536"/>
      <c r="I150" s="536"/>
      <c r="J150" s="536"/>
      <c r="K150" s="537"/>
      <c r="L150" s="574"/>
    </row>
    <row r="151" spans="1:12">
      <c r="A151" s="574"/>
      <c r="B151" s="574"/>
      <c r="C151" s="574"/>
      <c r="D151" s="574"/>
      <c r="E151" s="574"/>
      <c r="F151" s="574"/>
      <c r="G151" s="574"/>
      <c r="H151" s="574"/>
      <c r="I151" s="574"/>
      <c r="J151" s="574"/>
      <c r="K151" s="574"/>
      <c r="L151" s="574"/>
    </row>
    <row r="152" spans="1:12">
      <c r="A152" s="574"/>
      <c r="B152" s="574"/>
      <c r="C152" s="574"/>
      <c r="D152" s="574"/>
      <c r="E152" s="574"/>
      <c r="F152" s="574"/>
      <c r="G152" s="574"/>
      <c r="H152" s="574"/>
      <c r="I152" s="574"/>
      <c r="J152" s="574"/>
      <c r="K152" s="574"/>
      <c r="L152" s="574"/>
    </row>
    <row r="153" spans="1:12">
      <c r="A153" s="574"/>
      <c r="B153" s="574"/>
      <c r="C153" s="574"/>
      <c r="D153" s="574"/>
      <c r="E153" s="574"/>
      <c r="F153" s="574"/>
      <c r="G153" s="574"/>
      <c r="H153" s="574"/>
      <c r="I153" s="574"/>
      <c r="J153" s="574"/>
      <c r="K153" s="574"/>
      <c r="L153" s="574"/>
    </row>
    <row r="154" spans="1:12">
      <c r="A154" s="566"/>
      <c r="B154" s="566"/>
      <c r="C154" s="566"/>
      <c r="D154" s="566"/>
      <c r="E154" s="566"/>
      <c r="F154" s="566"/>
      <c r="G154" s="566"/>
      <c r="H154" s="566"/>
      <c r="I154" s="566"/>
      <c r="J154" s="566"/>
      <c r="K154" s="566"/>
      <c r="L154" s="566"/>
    </row>
    <row r="155" spans="1:12">
      <c r="A155" s="566"/>
      <c r="B155" s="566"/>
      <c r="C155" s="566"/>
      <c r="D155" s="566"/>
      <c r="E155" s="566"/>
      <c r="F155" s="566"/>
      <c r="G155" s="566"/>
      <c r="H155" s="566"/>
      <c r="I155" s="566"/>
      <c r="J155" s="566"/>
      <c r="K155" s="566"/>
      <c r="L155" s="566"/>
    </row>
    <row r="156" spans="1:12">
      <c r="A156" s="566"/>
      <c r="B156" s="566"/>
      <c r="C156" s="566"/>
      <c r="D156" s="566"/>
      <c r="E156" s="566"/>
      <c r="F156" s="566"/>
      <c r="G156" s="566"/>
      <c r="H156" s="566"/>
      <c r="I156" s="566"/>
      <c r="J156" s="566"/>
      <c r="K156" s="566"/>
      <c r="L156" s="566"/>
    </row>
    <row r="157" spans="1:12">
      <c r="A157" s="566"/>
      <c r="B157" s="566"/>
      <c r="C157" s="566"/>
      <c r="D157" s="566"/>
      <c r="E157" s="566"/>
      <c r="F157" s="566"/>
      <c r="G157" s="566"/>
      <c r="H157" s="566"/>
      <c r="I157" s="566"/>
      <c r="J157" s="566"/>
      <c r="K157" s="566"/>
      <c r="L157" s="566"/>
    </row>
    <row r="158" spans="1:12">
      <c r="A158" s="566"/>
      <c r="B158" s="566"/>
      <c r="C158" s="566"/>
      <c r="D158" s="566"/>
      <c r="E158" s="566"/>
      <c r="F158" s="566"/>
      <c r="G158" s="566"/>
      <c r="H158" s="566"/>
      <c r="I158" s="566"/>
      <c r="J158" s="566"/>
      <c r="K158" s="566"/>
      <c r="L158" s="566"/>
    </row>
    <row r="159" spans="1:12">
      <c r="A159" s="566"/>
      <c r="B159" s="566"/>
      <c r="C159" s="566"/>
      <c r="D159" s="566"/>
      <c r="E159" s="566"/>
      <c r="F159" s="566"/>
      <c r="G159" s="566"/>
      <c r="H159" s="566"/>
      <c r="I159" s="566"/>
      <c r="J159" s="566"/>
      <c r="K159" s="566"/>
      <c r="L159" s="566"/>
    </row>
    <row r="160" spans="1:12">
      <c r="A160" s="566"/>
      <c r="B160" s="566"/>
      <c r="C160" s="566"/>
      <c r="D160" s="566"/>
      <c r="E160" s="566"/>
      <c r="F160" s="566"/>
      <c r="G160" s="566"/>
      <c r="H160" s="566"/>
      <c r="I160" s="566"/>
      <c r="J160" s="566"/>
      <c r="K160" s="566"/>
      <c r="L160" s="566"/>
    </row>
    <row r="161" spans="1:12">
      <c r="A161" s="566"/>
      <c r="B161" s="566"/>
      <c r="C161" s="566"/>
      <c r="D161" s="566"/>
      <c r="E161" s="566"/>
      <c r="F161" s="566"/>
      <c r="G161" s="566"/>
      <c r="H161" s="566"/>
      <c r="I161" s="566"/>
      <c r="J161" s="566"/>
      <c r="K161" s="566"/>
      <c r="L161" s="566"/>
    </row>
    <row r="162" spans="1:12">
      <c r="A162" s="566"/>
      <c r="B162" s="566"/>
      <c r="C162" s="566"/>
      <c r="D162" s="566"/>
      <c r="E162" s="566"/>
      <c r="F162" s="566"/>
      <c r="G162" s="566"/>
      <c r="H162" s="566"/>
      <c r="I162" s="566"/>
      <c r="J162" s="566"/>
      <c r="K162" s="566"/>
      <c r="L162" s="566"/>
    </row>
    <row r="163" spans="1:12">
      <c r="A163" s="566"/>
      <c r="B163" s="566"/>
      <c r="C163" s="566"/>
      <c r="D163" s="566"/>
      <c r="E163" s="566"/>
      <c r="F163" s="566"/>
      <c r="G163" s="566"/>
      <c r="H163" s="566"/>
      <c r="I163" s="566"/>
      <c r="J163" s="566"/>
      <c r="K163" s="566"/>
      <c r="L163" s="566"/>
    </row>
    <row r="164" spans="1:12">
      <c r="A164" s="566"/>
      <c r="B164" s="566"/>
      <c r="C164" s="566"/>
      <c r="D164" s="566"/>
      <c r="E164" s="566"/>
      <c r="F164" s="566"/>
      <c r="G164" s="566"/>
      <c r="H164" s="566"/>
      <c r="I164" s="566"/>
      <c r="J164" s="566"/>
      <c r="K164" s="566"/>
      <c r="L164" s="566"/>
    </row>
    <row r="165" spans="1:12">
      <c r="A165" s="566"/>
      <c r="B165" s="566"/>
      <c r="C165" s="566"/>
      <c r="D165" s="566"/>
      <c r="E165" s="566"/>
      <c r="F165" s="566"/>
      <c r="G165" s="566"/>
      <c r="H165" s="566"/>
      <c r="I165" s="566"/>
      <c r="J165" s="566"/>
      <c r="K165" s="566"/>
      <c r="L165" s="566"/>
    </row>
    <row r="166" spans="1:12">
      <c r="A166" s="566"/>
      <c r="B166" s="566"/>
      <c r="C166" s="566"/>
      <c r="D166" s="566"/>
      <c r="E166" s="566"/>
      <c r="F166" s="566"/>
      <c r="G166" s="566"/>
      <c r="H166" s="566"/>
      <c r="I166" s="566"/>
      <c r="J166" s="566"/>
      <c r="K166" s="566"/>
      <c r="L166" s="566"/>
    </row>
    <row r="167" spans="1:12">
      <c r="A167" s="566"/>
      <c r="B167" s="566"/>
      <c r="C167" s="566"/>
      <c r="D167" s="566"/>
      <c r="E167" s="566"/>
      <c r="F167" s="566"/>
      <c r="G167" s="566"/>
      <c r="H167" s="566"/>
      <c r="I167" s="566"/>
      <c r="J167" s="566"/>
      <c r="K167" s="566"/>
      <c r="L167" s="566"/>
    </row>
    <row r="168" spans="1:12">
      <c r="A168" s="566"/>
      <c r="B168" s="566"/>
      <c r="C168" s="566"/>
      <c r="D168" s="566"/>
      <c r="E168" s="566"/>
      <c r="F168" s="566"/>
      <c r="G168" s="566"/>
      <c r="H168" s="566"/>
      <c r="I168" s="566"/>
      <c r="J168" s="566"/>
      <c r="K168" s="566"/>
      <c r="L168" s="566"/>
    </row>
    <row r="169" spans="1:12">
      <c r="A169" s="566"/>
      <c r="B169" s="566"/>
      <c r="C169" s="566"/>
      <c r="D169" s="566"/>
      <c r="E169" s="566"/>
      <c r="F169" s="566"/>
      <c r="G169" s="566"/>
      <c r="H169" s="566"/>
      <c r="I169" s="566"/>
      <c r="J169" s="566"/>
      <c r="K169" s="566"/>
      <c r="L169" s="566"/>
    </row>
    <row r="170" spans="1:12">
      <c r="A170" s="566"/>
      <c r="B170" s="566"/>
      <c r="C170" s="566"/>
      <c r="D170" s="566"/>
      <c r="E170" s="566"/>
      <c r="F170" s="566"/>
      <c r="G170" s="566"/>
      <c r="H170" s="566"/>
      <c r="I170" s="566"/>
      <c r="J170" s="566"/>
      <c r="K170" s="566"/>
      <c r="L170" s="566"/>
    </row>
    <row r="171" spans="1:12">
      <c r="A171" s="566"/>
      <c r="B171" s="566"/>
      <c r="C171" s="566"/>
      <c r="D171" s="566"/>
      <c r="E171" s="566"/>
      <c r="F171" s="566"/>
      <c r="G171" s="566"/>
      <c r="H171" s="566"/>
      <c r="I171" s="566"/>
      <c r="J171" s="566"/>
      <c r="K171" s="566"/>
      <c r="L171" s="566"/>
    </row>
    <row r="172" spans="1:12">
      <c r="A172" s="566"/>
      <c r="B172" s="566"/>
      <c r="C172" s="566"/>
      <c r="D172" s="566"/>
      <c r="E172" s="566"/>
      <c r="F172" s="566"/>
      <c r="G172" s="566"/>
      <c r="H172" s="566"/>
      <c r="I172" s="566"/>
      <c r="J172" s="566"/>
      <c r="K172" s="566"/>
      <c r="L172" s="566"/>
    </row>
    <row r="173" spans="1:12">
      <c r="A173" s="566"/>
      <c r="B173" s="566"/>
      <c r="C173" s="566"/>
      <c r="D173" s="566"/>
      <c r="E173" s="566"/>
      <c r="F173" s="566"/>
      <c r="G173" s="566"/>
      <c r="H173" s="566"/>
      <c r="I173" s="566"/>
      <c r="J173" s="566"/>
      <c r="K173" s="566"/>
      <c r="L173" s="566"/>
    </row>
    <row r="174" spans="1:12">
      <c r="A174" s="566"/>
      <c r="B174" s="566"/>
      <c r="C174" s="566"/>
      <c r="D174" s="566"/>
      <c r="E174" s="566"/>
      <c r="F174" s="566"/>
      <c r="G174" s="566"/>
      <c r="H174" s="566"/>
      <c r="I174" s="566"/>
      <c r="J174" s="566"/>
      <c r="K174" s="566"/>
      <c r="L174" s="566"/>
    </row>
    <row r="175" spans="1:12">
      <c r="A175" s="566"/>
      <c r="B175" s="566"/>
      <c r="C175" s="566"/>
      <c r="D175" s="566"/>
      <c r="E175" s="566"/>
      <c r="F175" s="566"/>
      <c r="G175" s="566"/>
      <c r="H175" s="566"/>
      <c r="I175" s="566"/>
      <c r="J175" s="566"/>
      <c r="K175" s="566"/>
      <c r="L175" s="566"/>
    </row>
    <row r="176" spans="1:12">
      <c r="A176" s="566"/>
      <c r="B176" s="566"/>
      <c r="C176" s="566"/>
      <c r="D176" s="566"/>
      <c r="E176" s="566"/>
      <c r="F176" s="566"/>
      <c r="G176" s="566"/>
      <c r="H176" s="566"/>
      <c r="I176" s="566"/>
      <c r="J176" s="566"/>
      <c r="K176" s="566"/>
      <c r="L176" s="566"/>
    </row>
    <row r="177" spans="1:12">
      <c r="A177" s="566"/>
      <c r="B177" s="566"/>
      <c r="C177" s="566"/>
      <c r="D177" s="566"/>
      <c r="E177" s="566"/>
      <c r="F177" s="566"/>
      <c r="G177" s="566"/>
      <c r="H177" s="566"/>
      <c r="I177" s="566"/>
      <c r="J177" s="566"/>
      <c r="K177" s="566"/>
      <c r="L177" s="566"/>
    </row>
    <row r="178" spans="1:12">
      <c r="A178" s="566"/>
      <c r="B178" s="566"/>
      <c r="C178" s="566"/>
      <c r="D178" s="566"/>
      <c r="E178" s="566"/>
      <c r="F178" s="566"/>
      <c r="G178" s="566"/>
      <c r="H178" s="566"/>
      <c r="I178" s="566"/>
      <c r="J178" s="566"/>
      <c r="K178" s="566"/>
      <c r="L178" s="566"/>
    </row>
    <row r="179" spans="1:12">
      <c r="A179" s="566"/>
      <c r="B179" s="566"/>
      <c r="C179" s="566"/>
      <c r="D179" s="566"/>
      <c r="E179" s="566"/>
      <c r="F179" s="566"/>
      <c r="G179" s="566"/>
      <c r="H179" s="566"/>
      <c r="I179" s="566"/>
      <c r="J179" s="566"/>
      <c r="K179" s="566"/>
      <c r="L179" s="566"/>
    </row>
    <row r="180" spans="1:12">
      <c r="A180" s="566"/>
      <c r="B180" s="566"/>
      <c r="C180" s="566"/>
      <c r="D180" s="566"/>
      <c r="E180" s="566"/>
      <c r="F180" s="566"/>
      <c r="G180" s="566"/>
      <c r="H180" s="566"/>
      <c r="I180" s="566"/>
      <c r="J180" s="566"/>
      <c r="K180" s="566"/>
      <c r="L180" s="566"/>
    </row>
    <row r="181" spans="1:12">
      <c r="A181" s="566"/>
      <c r="B181" s="566"/>
      <c r="C181" s="566"/>
      <c r="D181" s="566"/>
      <c r="E181" s="566"/>
      <c r="F181" s="566"/>
      <c r="G181" s="566"/>
      <c r="H181" s="566"/>
      <c r="I181" s="566"/>
      <c r="J181" s="566"/>
      <c r="K181" s="566"/>
      <c r="L181" s="566"/>
    </row>
    <row r="182" spans="1:12">
      <c r="A182" s="566"/>
      <c r="B182" s="566"/>
      <c r="C182" s="566"/>
      <c r="D182" s="566"/>
      <c r="E182" s="566"/>
      <c r="F182" s="566"/>
      <c r="G182" s="566"/>
      <c r="H182" s="566"/>
      <c r="I182" s="566"/>
      <c r="J182" s="566"/>
      <c r="K182" s="566"/>
      <c r="L182" s="566"/>
    </row>
    <row r="183" spans="1:12">
      <c r="A183" s="566"/>
      <c r="B183" s="566"/>
      <c r="C183" s="566"/>
      <c r="D183" s="566"/>
      <c r="E183" s="566"/>
      <c r="F183" s="566"/>
      <c r="G183" s="566"/>
      <c r="H183" s="566"/>
      <c r="I183" s="566"/>
      <c r="J183" s="566"/>
      <c r="K183" s="566"/>
      <c r="L183" s="566"/>
    </row>
    <row r="184" spans="1:12">
      <c r="A184" s="566"/>
      <c r="B184" s="566"/>
      <c r="C184" s="566"/>
      <c r="D184" s="566"/>
      <c r="E184" s="566"/>
      <c r="F184" s="566"/>
      <c r="G184" s="566"/>
      <c r="H184" s="566"/>
      <c r="I184" s="566"/>
      <c r="J184" s="566"/>
      <c r="K184" s="566"/>
      <c r="L184" s="566"/>
    </row>
    <row r="185" spans="1:12">
      <c r="A185" s="566"/>
      <c r="B185" s="566"/>
      <c r="C185" s="566"/>
      <c r="D185" s="566"/>
      <c r="E185" s="566"/>
      <c r="F185" s="566"/>
      <c r="G185" s="566"/>
      <c r="H185" s="566"/>
      <c r="I185" s="566"/>
      <c r="J185" s="566"/>
      <c r="K185" s="566"/>
      <c r="L185" s="566"/>
    </row>
    <row r="186" spans="1:12">
      <c r="A186" s="566"/>
      <c r="B186" s="566"/>
      <c r="C186" s="566"/>
      <c r="D186" s="566"/>
      <c r="E186" s="566"/>
      <c r="F186" s="566"/>
      <c r="G186" s="566"/>
      <c r="H186" s="566"/>
      <c r="I186" s="566"/>
      <c r="J186" s="566"/>
      <c r="K186" s="566"/>
      <c r="L186" s="566"/>
    </row>
    <row r="187" spans="1:12">
      <c r="A187" s="566"/>
      <c r="B187" s="566"/>
      <c r="C187" s="566"/>
      <c r="D187" s="566"/>
      <c r="E187" s="566"/>
      <c r="F187" s="566"/>
      <c r="G187" s="566"/>
      <c r="H187" s="566"/>
      <c r="I187" s="566"/>
      <c r="J187" s="566"/>
      <c r="K187" s="566"/>
      <c r="L187" s="566"/>
    </row>
    <row r="188" spans="1:12">
      <c r="A188" s="566"/>
      <c r="B188" s="566"/>
      <c r="C188" s="566"/>
      <c r="D188" s="566"/>
      <c r="E188" s="566"/>
      <c r="F188" s="566"/>
      <c r="G188" s="566"/>
      <c r="H188" s="566"/>
      <c r="I188" s="566"/>
      <c r="J188" s="566"/>
      <c r="K188" s="566"/>
      <c r="L188" s="566"/>
    </row>
    <row r="189" spans="1:12">
      <c r="A189" s="566"/>
      <c r="B189" s="566"/>
      <c r="C189" s="566"/>
      <c r="D189" s="566"/>
      <c r="E189" s="566"/>
      <c r="F189" s="566"/>
      <c r="G189" s="566"/>
      <c r="H189" s="566"/>
      <c r="I189" s="566"/>
      <c r="J189" s="566"/>
      <c r="K189" s="566"/>
      <c r="L189" s="566"/>
    </row>
    <row r="190" spans="1:12">
      <c r="A190" s="566"/>
      <c r="B190" s="566"/>
      <c r="C190" s="566"/>
      <c r="D190" s="566"/>
      <c r="E190" s="566"/>
      <c r="F190" s="566"/>
      <c r="G190" s="566"/>
      <c r="H190" s="566"/>
      <c r="I190" s="566"/>
      <c r="J190" s="566"/>
      <c r="K190" s="566"/>
      <c r="L190" s="566"/>
    </row>
    <row r="191" spans="1:12">
      <c r="A191" s="566"/>
      <c r="B191" s="566"/>
      <c r="C191" s="566"/>
      <c r="D191" s="566"/>
      <c r="E191" s="566"/>
      <c r="F191" s="566"/>
      <c r="G191" s="566"/>
      <c r="H191" s="566"/>
      <c r="I191" s="566"/>
      <c r="J191" s="566"/>
      <c r="K191" s="566"/>
      <c r="L191" s="566"/>
    </row>
    <row r="192" spans="1:12">
      <c r="A192" s="566"/>
      <c r="B192" s="566"/>
      <c r="C192" s="566"/>
      <c r="D192" s="566"/>
      <c r="E192" s="566"/>
      <c r="F192" s="566"/>
      <c r="G192" s="566"/>
      <c r="H192" s="566"/>
      <c r="I192" s="566"/>
      <c r="J192" s="566"/>
      <c r="K192" s="566"/>
      <c r="L192" s="566"/>
    </row>
    <row r="193" spans="1:12">
      <c r="A193" s="566"/>
      <c r="B193" s="566"/>
      <c r="C193" s="566"/>
      <c r="D193" s="566"/>
      <c r="E193" s="566"/>
      <c r="F193" s="566"/>
      <c r="G193" s="566"/>
      <c r="H193" s="566"/>
      <c r="I193" s="566"/>
      <c r="J193" s="566"/>
      <c r="K193" s="566"/>
      <c r="L193" s="566"/>
    </row>
    <row r="194" spans="1:12">
      <c r="A194" s="566"/>
      <c r="B194" s="566"/>
      <c r="C194" s="566"/>
      <c r="D194" s="566"/>
      <c r="E194" s="566"/>
      <c r="F194" s="566"/>
      <c r="G194" s="566"/>
      <c r="H194" s="566"/>
      <c r="I194" s="566"/>
      <c r="J194" s="566"/>
      <c r="K194" s="566"/>
      <c r="L194" s="566"/>
    </row>
    <row r="195" spans="1:12">
      <c r="A195" s="566"/>
      <c r="B195" s="566"/>
      <c r="C195" s="566"/>
      <c r="D195" s="566"/>
      <c r="E195" s="566"/>
      <c r="F195" s="566"/>
      <c r="G195" s="566"/>
      <c r="H195" s="566"/>
      <c r="I195" s="566"/>
      <c r="J195" s="566"/>
      <c r="K195" s="566"/>
      <c r="L195" s="566"/>
    </row>
    <row r="196" spans="1:12">
      <c r="A196" s="566"/>
      <c r="B196" s="566"/>
      <c r="C196" s="566"/>
      <c r="D196" s="566"/>
      <c r="E196" s="566"/>
      <c r="F196" s="566"/>
      <c r="G196" s="566"/>
      <c r="H196" s="566"/>
      <c r="I196" s="566"/>
      <c r="J196" s="566"/>
      <c r="K196" s="566"/>
      <c r="L196" s="566"/>
    </row>
    <row r="197" spans="1:12">
      <c r="A197" s="566"/>
      <c r="B197" s="566"/>
      <c r="C197" s="566"/>
      <c r="D197" s="566"/>
      <c r="E197" s="566"/>
      <c r="F197" s="566"/>
      <c r="G197" s="566"/>
      <c r="H197" s="566"/>
      <c r="I197" s="566"/>
      <c r="J197" s="566"/>
      <c r="K197" s="566"/>
      <c r="L197" s="566"/>
    </row>
    <row r="198" spans="1:12">
      <c r="A198" s="566"/>
      <c r="B198" s="566"/>
      <c r="C198" s="566"/>
      <c r="D198" s="566"/>
      <c r="E198" s="566"/>
      <c r="F198" s="566"/>
      <c r="G198" s="566"/>
      <c r="H198" s="566"/>
      <c r="I198" s="566"/>
      <c r="J198" s="566"/>
      <c r="K198" s="566"/>
      <c r="L198" s="566"/>
    </row>
    <row r="199" spans="1:12">
      <c r="A199" s="566"/>
      <c r="B199" s="566"/>
      <c r="C199" s="566"/>
      <c r="D199" s="566"/>
      <c r="E199" s="566"/>
      <c r="F199" s="566"/>
      <c r="G199" s="566"/>
      <c r="H199" s="566"/>
      <c r="I199" s="566"/>
      <c r="J199" s="566"/>
      <c r="K199" s="566"/>
      <c r="L199" s="566"/>
    </row>
    <row r="200" spans="1:12">
      <c r="A200" s="566"/>
      <c r="B200" s="566"/>
      <c r="C200" s="566"/>
      <c r="D200" s="566"/>
      <c r="E200" s="566"/>
      <c r="F200" s="566"/>
      <c r="G200" s="566"/>
      <c r="H200" s="566"/>
      <c r="I200" s="566"/>
      <c r="J200" s="566"/>
      <c r="K200" s="566"/>
      <c r="L200" s="566"/>
    </row>
    <row r="201" spans="1:12">
      <c r="A201" s="566"/>
      <c r="B201" s="566"/>
      <c r="C201" s="566"/>
      <c r="D201" s="566"/>
      <c r="E201" s="566"/>
      <c r="F201" s="566"/>
      <c r="G201" s="566"/>
      <c r="H201" s="566"/>
      <c r="I201" s="566"/>
      <c r="J201" s="566"/>
      <c r="K201" s="566"/>
      <c r="L201" s="566"/>
    </row>
    <row r="202" spans="1:12">
      <c r="A202" s="566"/>
      <c r="B202" s="566"/>
      <c r="C202" s="566"/>
      <c r="D202" s="566"/>
      <c r="E202" s="566"/>
      <c r="F202" s="566"/>
      <c r="G202" s="566"/>
      <c r="H202" s="566"/>
      <c r="I202" s="566"/>
      <c r="J202" s="566"/>
      <c r="K202" s="566"/>
      <c r="L202" s="566"/>
    </row>
    <row r="203" spans="1:12">
      <c r="A203" s="566"/>
      <c r="B203" s="566"/>
      <c r="C203" s="566"/>
      <c r="D203" s="566"/>
      <c r="E203" s="566"/>
      <c r="F203" s="566"/>
      <c r="G203" s="566"/>
      <c r="H203" s="566"/>
      <c r="I203" s="566"/>
      <c r="J203" s="566"/>
      <c r="K203" s="566"/>
      <c r="L203" s="566"/>
    </row>
    <row r="204" spans="1:12">
      <c r="A204" s="566"/>
      <c r="B204" s="566"/>
      <c r="C204" s="566"/>
      <c r="D204" s="566"/>
      <c r="E204" s="566"/>
      <c r="F204" s="566"/>
      <c r="G204" s="566"/>
      <c r="H204" s="566"/>
      <c r="I204" s="566"/>
      <c r="J204" s="566"/>
      <c r="K204" s="566"/>
      <c r="L204" s="566"/>
    </row>
    <row r="205" spans="1:12">
      <c r="A205" s="566"/>
      <c r="B205" s="566"/>
      <c r="C205" s="566"/>
      <c r="D205" s="566"/>
      <c r="E205" s="566"/>
      <c r="F205" s="566"/>
      <c r="G205" s="566"/>
      <c r="H205" s="566"/>
      <c r="I205" s="566"/>
      <c r="J205" s="566"/>
      <c r="K205" s="566"/>
      <c r="L205" s="566"/>
    </row>
    <row r="206" spans="1:12">
      <c r="A206" s="566"/>
      <c r="B206" s="566"/>
      <c r="C206" s="566"/>
      <c r="D206" s="566"/>
      <c r="E206" s="566"/>
      <c r="F206" s="566"/>
      <c r="G206" s="566"/>
      <c r="H206" s="566"/>
      <c r="I206" s="566"/>
      <c r="J206" s="566"/>
      <c r="K206" s="566"/>
      <c r="L206" s="566"/>
    </row>
    <row r="207" spans="1:12">
      <c r="A207" s="566"/>
      <c r="B207" s="566"/>
      <c r="C207" s="566"/>
      <c r="D207" s="566"/>
      <c r="E207" s="566"/>
      <c r="F207" s="566"/>
      <c r="G207" s="566"/>
      <c r="H207" s="566"/>
      <c r="I207" s="566"/>
      <c r="J207" s="566"/>
      <c r="K207" s="566"/>
      <c r="L207" s="566"/>
    </row>
    <row r="208" spans="1:12">
      <c r="A208" s="566"/>
      <c r="B208" s="566"/>
      <c r="C208" s="566"/>
      <c r="D208" s="566"/>
      <c r="E208" s="566"/>
      <c r="F208" s="566"/>
      <c r="G208" s="566"/>
      <c r="H208" s="566"/>
      <c r="I208" s="566"/>
      <c r="J208" s="566"/>
      <c r="K208" s="566"/>
      <c r="L208" s="566"/>
    </row>
    <row r="209" spans="1:12">
      <c r="A209" s="566"/>
      <c r="B209" s="566"/>
      <c r="C209" s="566"/>
      <c r="D209" s="566"/>
      <c r="E209" s="566"/>
      <c r="F209" s="566"/>
      <c r="G209" s="566"/>
      <c r="H209" s="566"/>
      <c r="I209" s="566"/>
      <c r="J209" s="566"/>
      <c r="K209" s="566"/>
      <c r="L209" s="566"/>
    </row>
    <row r="210" spans="1:12">
      <c r="A210" s="566"/>
      <c r="B210" s="566"/>
      <c r="C210" s="566"/>
      <c r="D210" s="566"/>
      <c r="E210" s="566"/>
      <c r="F210" s="566"/>
      <c r="G210" s="566"/>
      <c r="H210" s="566"/>
      <c r="I210" s="566"/>
      <c r="J210" s="566"/>
      <c r="K210" s="566"/>
      <c r="L210" s="566"/>
    </row>
    <row r="211" spans="1:12">
      <c r="A211" s="566"/>
      <c r="B211" s="566"/>
      <c r="C211" s="566"/>
      <c r="D211" s="566"/>
      <c r="E211" s="566"/>
      <c r="F211" s="566"/>
      <c r="G211" s="566"/>
      <c r="H211" s="566"/>
      <c r="I211" s="566"/>
      <c r="J211" s="566"/>
      <c r="K211" s="566"/>
      <c r="L211" s="566"/>
    </row>
    <row r="212" spans="1:12">
      <c r="A212" s="566"/>
      <c r="B212" s="566"/>
      <c r="C212" s="566"/>
      <c r="D212" s="566"/>
      <c r="E212" s="566"/>
      <c r="F212" s="566"/>
      <c r="G212" s="566"/>
      <c r="H212" s="566"/>
      <c r="I212" s="566"/>
      <c r="J212" s="566"/>
      <c r="K212" s="566"/>
      <c r="L212" s="566"/>
    </row>
    <row r="213" spans="1:12">
      <c r="A213" s="566"/>
      <c r="B213" s="566"/>
      <c r="C213" s="566"/>
      <c r="D213" s="566"/>
      <c r="E213" s="566"/>
      <c r="F213" s="566"/>
      <c r="G213" s="566"/>
      <c r="H213" s="566"/>
      <c r="I213" s="566"/>
      <c r="J213" s="566"/>
      <c r="K213" s="566"/>
      <c r="L213" s="566"/>
    </row>
    <row r="214" spans="1:12">
      <c r="A214" s="566"/>
      <c r="B214" s="566"/>
      <c r="C214" s="566"/>
      <c r="D214" s="566"/>
      <c r="E214" s="566"/>
      <c r="F214" s="566"/>
      <c r="G214" s="566"/>
      <c r="H214" s="566"/>
      <c r="I214" s="566"/>
      <c r="J214" s="566"/>
      <c r="K214" s="566"/>
      <c r="L214" s="566"/>
    </row>
    <row r="215" spans="1:12">
      <c r="A215" s="566"/>
      <c r="B215" s="566"/>
      <c r="C215" s="566"/>
      <c r="D215" s="566"/>
      <c r="E215" s="566"/>
      <c r="F215" s="566"/>
      <c r="G215" s="566"/>
      <c r="H215" s="566"/>
      <c r="I215" s="566"/>
      <c r="J215" s="566"/>
      <c r="K215" s="566"/>
      <c r="L215" s="566"/>
    </row>
    <row r="216" spans="1:12">
      <c r="A216" s="566"/>
      <c r="B216" s="566"/>
      <c r="C216" s="566"/>
      <c r="D216" s="566"/>
      <c r="E216" s="566"/>
      <c r="F216" s="566"/>
      <c r="G216" s="566"/>
      <c r="H216" s="566"/>
      <c r="I216" s="566"/>
      <c r="J216" s="566"/>
      <c r="K216" s="566"/>
      <c r="L216" s="566"/>
    </row>
    <row r="217" spans="1:12">
      <c r="A217" s="566"/>
      <c r="B217" s="566"/>
      <c r="C217" s="566"/>
      <c r="D217" s="566"/>
      <c r="E217" s="566"/>
      <c r="F217" s="566"/>
      <c r="G217" s="566"/>
      <c r="H217" s="566"/>
      <c r="I217" s="566"/>
      <c r="J217" s="566"/>
      <c r="K217" s="566"/>
      <c r="L217" s="566"/>
    </row>
    <row r="218" spans="1:12">
      <c r="A218" s="566"/>
      <c r="B218" s="566"/>
      <c r="C218" s="566"/>
      <c r="D218" s="566"/>
      <c r="E218" s="566"/>
      <c r="F218" s="566"/>
      <c r="G218" s="566"/>
      <c r="H218" s="566"/>
      <c r="I218" s="566"/>
      <c r="J218" s="566"/>
      <c r="K218" s="566"/>
      <c r="L218" s="566"/>
    </row>
    <row r="219" spans="1:12">
      <c r="A219" s="566"/>
      <c r="B219" s="566"/>
      <c r="C219" s="566"/>
      <c r="D219" s="566"/>
      <c r="E219" s="566"/>
      <c r="F219" s="566"/>
      <c r="G219" s="566"/>
      <c r="H219" s="566"/>
      <c r="I219" s="566"/>
      <c r="J219" s="566"/>
      <c r="K219" s="566"/>
      <c r="L219" s="566"/>
    </row>
    <row r="220" spans="1:12">
      <c r="A220" s="566"/>
      <c r="B220" s="566"/>
      <c r="C220" s="566"/>
      <c r="D220" s="566"/>
      <c r="E220" s="566"/>
      <c r="F220" s="566"/>
      <c r="G220" s="566"/>
      <c r="H220" s="566"/>
      <c r="I220" s="566"/>
      <c r="J220" s="566"/>
      <c r="K220" s="566"/>
      <c r="L220" s="566"/>
    </row>
    <row r="221" spans="1:12">
      <c r="A221" s="566"/>
      <c r="B221" s="566"/>
      <c r="C221" s="566"/>
      <c r="D221" s="566"/>
      <c r="E221" s="566"/>
      <c r="F221" s="566"/>
      <c r="G221" s="566"/>
      <c r="H221" s="566"/>
      <c r="I221" s="566"/>
      <c r="J221" s="566"/>
      <c r="K221" s="566"/>
      <c r="L221" s="566"/>
    </row>
    <row r="222" spans="1:12">
      <c r="A222" s="566"/>
      <c r="B222" s="566"/>
      <c r="C222" s="566"/>
      <c r="D222" s="566"/>
      <c r="E222" s="566"/>
      <c r="F222" s="566"/>
      <c r="G222" s="566"/>
      <c r="H222" s="566"/>
      <c r="I222" s="566"/>
      <c r="J222" s="566"/>
      <c r="K222" s="566"/>
      <c r="L222" s="566"/>
    </row>
    <row r="223" spans="1:12">
      <c r="A223" s="566"/>
      <c r="B223" s="566"/>
      <c r="C223" s="566"/>
      <c r="D223" s="566"/>
      <c r="E223" s="566"/>
      <c r="F223" s="566"/>
      <c r="G223" s="566"/>
      <c r="H223" s="566"/>
      <c r="I223" s="566"/>
      <c r="J223" s="566"/>
      <c r="K223" s="566"/>
      <c r="L223" s="566"/>
    </row>
    <row r="224" spans="1:12">
      <c r="A224" s="566"/>
      <c r="B224" s="566"/>
      <c r="C224" s="566"/>
      <c r="D224" s="566"/>
      <c r="E224" s="566"/>
      <c r="F224" s="566"/>
      <c r="G224" s="566"/>
      <c r="H224" s="566"/>
      <c r="I224" s="566"/>
      <c r="J224" s="566"/>
      <c r="K224" s="566"/>
      <c r="L224" s="566"/>
    </row>
    <row r="225" spans="1:12">
      <c r="A225" s="566"/>
      <c r="B225" s="566"/>
      <c r="C225" s="566"/>
      <c r="D225" s="566"/>
      <c r="E225" s="566"/>
      <c r="F225" s="566"/>
      <c r="G225" s="566"/>
      <c r="H225" s="566"/>
      <c r="I225" s="566"/>
      <c r="J225" s="566"/>
      <c r="K225" s="566"/>
      <c r="L225" s="566"/>
    </row>
    <row r="226" spans="1:12">
      <c r="A226" s="566"/>
      <c r="B226" s="566"/>
      <c r="C226" s="566"/>
      <c r="D226" s="566"/>
      <c r="E226" s="566"/>
      <c r="F226" s="566"/>
      <c r="G226" s="566"/>
      <c r="H226" s="566"/>
      <c r="I226" s="566"/>
      <c r="J226" s="566"/>
      <c r="K226" s="566"/>
      <c r="L226" s="566"/>
    </row>
    <row r="227" spans="1:12">
      <c r="A227" s="566"/>
      <c r="B227" s="566"/>
      <c r="C227" s="566"/>
      <c r="D227" s="566"/>
      <c r="E227" s="566"/>
      <c r="F227" s="566"/>
      <c r="G227" s="566"/>
      <c r="H227" s="566"/>
      <c r="I227" s="566"/>
      <c r="J227" s="566"/>
      <c r="K227" s="566"/>
      <c r="L227" s="566"/>
    </row>
    <row r="228" spans="1:12">
      <c r="A228" s="566"/>
      <c r="B228" s="566"/>
      <c r="C228" s="566"/>
      <c r="D228" s="566"/>
      <c r="E228" s="566"/>
      <c r="F228" s="566"/>
      <c r="G228" s="566"/>
      <c r="H228" s="566"/>
      <c r="I228" s="566"/>
      <c r="J228" s="566"/>
      <c r="K228" s="566"/>
      <c r="L228" s="566"/>
    </row>
    <row r="229" spans="1:12">
      <c r="A229" s="566"/>
      <c r="B229" s="566"/>
      <c r="C229" s="566"/>
      <c r="D229" s="566"/>
      <c r="E229" s="566"/>
      <c r="F229" s="566"/>
      <c r="G229" s="566"/>
      <c r="H229" s="566"/>
      <c r="I229" s="566"/>
      <c r="J229" s="566"/>
      <c r="K229" s="566"/>
      <c r="L229" s="566"/>
    </row>
    <row r="230" spans="1:12">
      <c r="A230" s="566"/>
      <c r="B230" s="566"/>
      <c r="C230" s="566"/>
      <c r="D230" s="566"/>
      <c r="E230" s="566"/>
      <c r="F230" s="566"/>
      <c r="G230" s="566"/>
      <c r="H230" s="566"/>
      <c r="I230" s="566"/>
      <c r="J230" s="566"/>
      <c r="K230" s="566"/>
      <c r="L230" s="566"/>
    </row>
    <row r="231" spans="1:12">
      <c r="A231" s="566"/>
      <c r="B231" s="566"/>
      <c r="C231" s="566"/>
      <c r="D231" s="566"/>
      <c r="E231" s="566"/>
      <c r="F231" s="566"/>
      <c r="G231" s="566"/>
      <c r="H231" s="566"/>
      <c r="I231" s="566"/>
      <c r="J231" s="566"/>
      <c r="K231" s="566"/>
      <c r="L231" s="566"/>
    </row>
    <row r="232" spans="1:12">
      <c r="A232" s="566"/>
      <c r="B232" s="566"/>
      <c r="C232" s="566"/>
      <c r="D232" s="566"/>
      <c r="E232" s="566"/>
      <c r="F232" s="566"/>
      <c r="G232" s="566"/>
      <c r="H232" s="566"/>
      <c r="I232" s="566"/>
      <c r="J232" s="566"/>
      <c r="K232" s="566"/>
      <c r="L232" s="566"/>
    </row>
    <row r="233" spans="1:12">
      <c r="A233" s="566"/>
      <c r="B233" s="566"/>
      <c r="C233" s="566"/>
      <c r="D233" s="566"/>
      <c r="E233" s="566"/>
      <c r="F233" s="566"/>
      <c r="G233" s="566"/>
      <c r="H233" s="566"/>
      <c r="I233" s="566"/>
      <c r="J233" s="566"/>
      <c r="K233" s="566"/>
      <c r="L233" s="566"/>
    </row>
    <row r="234" spans="1:12">
      <c r="A234" s="566"/>
      <c r="B234" s="566"/>
      <c r="C234" s="566"/>
      <c r="D234" s="566"/>
      <c r="E234" s="566"/>
      <c r="F234" s="566"/>
      <c r="G234" s="566"/>
      <c r="H234" s="566"/>
      <c r="I234" s="566"/>
      <c r="J234" s="566"/>
      <c r="K234" s="566"/>
      <c r="L234" s="566"/>
    </row>
    <row r="235" spans="1:12">
      <c r="A235" s="566"/>
      <c r="B235" s="566"/>
      <c r="C235" s="566"/>
      <c r="D235" s="566"/>
      <c r="E235" s="566"/>
      <c r="F235" s="566"/>
      <c r="G235" s="566"/>
      <c r="H235" s="566"/>
      <c r="I235" s="566"/>
      <c r="J235" s="566"/>
      <c r="K235" s="566"/>
      <c r="L235" s="566"/>
    </row>
    <row r="236" spans="1:12">
      <c r="A236" s="566"/>
      <c r="B236" s="566"/>
      <c r="C236" s="566"/>
      <c r="D236" s="566"/>
      <c r="E236" s="566"/>
      <c r="F236" s="566"/>
      <c r="G236" s="566"/>
      <c r="H236" s="566"/>
      <c r="I236" s="566"/>
      <c r="J236" s="566"/>
      <c r="K236" s="566"/>
      <c r="L236" s="566"/>
    </row>
    <row r="237" spans="1:12">
      <c r="A237" s="566"/>
      <c r="B237" s="566"/>
      <c r="C237" s="566"/>
      <c r="D237" s="566"/>
      <c r="E237" s="566"/>
      <c r="F237" s="566"/>
      <c r="G237" s="566"/>
      <c r="H237" s="566"/>
      <c r="I237" s="566"/>
      <c r="J237" s="566"/>
      <c r="K237" s="566"/>
      <c r="L237" s="566"/>
    </row>
    <row r="238" spans="1:12">
      <c r="A238" s="566"/>
      <c r="B238" s="566"/>
      <c r="C238" s="566"/>
      <c r="D238" s="566"/>
      <c r="E238" s="566"/>
      <c r="F238" s="566"/>
      <c r="G238" s="566"/>
      <c r="H238" s="566"/>
      <c r="I238" s="566"/>
      <c r="J238" s="566"/>
      <c r="K238" s="566"/>
      <c r="L238" s="566"/>
    </row>
    <row r="239" spans="1:12">
      <c r="A239" s="566"/>
      <c r="B239" s="566"/>
      <c r="C239" s="566"/>
      <c r="D239" s="566"/>
      <c r="E239" s="566"/>
      <c r="F239" s="566"/>
      <c r="G239" s="566"/>
      <c r="H239" s="566"/>
      <c r="I239" s="566"/>
      <c r="J239" s="566"/>
      <c r="K239" s="566"/>
      <c r="L239" s="566"/>
    </row>
    <row r="240" spans="1:12">
      <c r="A240" s="566"/>
      <c r="B240" s="566"/>
      <c r="C240" s="566"/>
      <c r="D240" s="566"/>
      <c r="E240" s="566"/>
      <c r="F240" s="566"/>
      <c r="G240" s="566"/>
      <c r="H240" s="566"/>
      <c r="I240" s="566"/>
      <c r="J240" s="566"/>
      <c r="K240" s="566"/>
      <c r="L240" s="566"/>
    </row>
    <row r="241" spans="1:12">
      <c r="A241" s="566"/>
      <c r="B241" s="566"/>
      <c r="C241" s="566"/>
      <c r="D241" s="566"/>
      <c r="E241" s="566"/>
      <c r="F241" s="566"/>
      <c r="G241" s="566"/>
      <c r="H241" s="566"/>
      <c r="I241" s="566"/>
      <c r="J241" s="566"/>
      <c r="K241" s="566"/>
      <c r="L241" s="566"/>
    </row>
    <row r="242" spans="1:12">
      <c r="A242" s="566"/>
      <c r="B242" s="566"/>
      <c r="C242" s="566"/>
      <c r="D242" s="566"/>
      <c r="E242" s="566"/>
      <c r="F242" s="566"/>
      <c r="G242" s="566"/>
      <c r="H242" s="566"/>
      <c r="I242" s="566"/>
      <c r="J242" s="566"/>
      <c r="K242" s="566"/>
      <c r="L242" s="566"/>
    </row>
    <row r="243" spans="1:12">
      <c r="A243" s="566"/>
      <c r="B243" s="566"/>
      <c r="C243" s="566"/>
      <c r="D243" s="566"/>
      <c r="E243" s="566"/>
      <c r="F243" s="566"/>
      <c r="G243" s="566"/>
      <c r="H243" s="566"/>
      <c r="I243" s="566"/>
      <c r="J243" s="566"/>
      <c r="K243" s="566"/>
      <c r="L243" s="566"/>
    </row>
    <row r="244" spans="1:12">
      <c r="A244" s="566"/>
      <c r="B244" s="566"/>
      <c r="C244" s="566"/>
      <c r="D244" s="566"/>
      <c r="E244" s="566"/>
      <c r="F244" s="566"/>
      <c r="G244" s="566"/>
      <c r="H244" s="566"/>
      <c r="I244" s="566"/>
      <c r="J244" s="566"/>
      <c r="K244" s="566"/>
      <c r="L244" s="566"/>
    </row>
    <row r="245" spans="1:12">
      <c r="A245" s="566"/>
      <c r="B245" s="566"/>
      <c r="C245" s="566"/>
      <c r="D245" s="566"/>
      <c r="E245" s="566"/>
      <c r="F245" s="566"/>
      <c r="G245" s="566"/>
      <c r="H245" s="566"/>
      <c r="I245" s="566"/>
      <c r="J245" s="566"/>
      <c r="K245" s="566"/>
      <c r="L245" s="566"/>
    </row>
    <row r="246" spans="1:12">
      <c r="A246" s="566"/>
      <c r="B246" s="566"/>
      <c r="C246" s="566"/>
      <c r="D246" s="566"/>
      <c r="E246" s="566"/>
      <c r="F246" s="566"/>
      <c r="G246" s="566"/>
      <c r="H246" s="566"/>
      <c r="I246" s="566"/>
      <c r="J246" s="566"/>
      <c r="K246" s="566"/>
      <c r="L246" s="566"/>
    </row>
    <row r="247" spans="1:12">
      <c r="A247" s="566"/>
      <c r="B247" s="566"/>
      <c r="C247" s="566"/>
      <c r="D247" s="566"/>
      <c r="E247" s="566"/>
      <c r="F247" s="566"/>
      <c r="G247" s="566"/>
      <c r="H247" s="566"/>
      <c r="I247" s="566"/>
      <c r="J247" s="566"/>
      <c r="K247" s="566"/>
      <c r="L247" s="566"/>
    </row>
    <row r="248" spans="1:12">
      <c r="A248" s="566"/>
      <c r="B248" s="566"/>
      <c r="C248" s="566"/>
      <c r="D248" s="566"/>
      <c r="E248" s="566"/>
      <c r="F248" s="566"/>
      <c r="G248" s="566"/>
      <c r="H248" s="566"/>
      <c r="I248" s="566"/>
      <c r="J248" s="566"/>
      <c r="K248" s="566"/>
      <c r="L248" s="566"/>
    </row>
    <row r="249" spans="1:12">
      <c r="A249" s="566"/>
      <c r="B249" s="566"/>
      <c r="C249" s="566"/>
      <c r="D249" s="566"/>
      <c r="E249" s="566"/>
      <c r="F249" s="566"/>
      <c r="G249" s="566"/>
      <c r="H249" s="566"/>
      <c r="I249" s="566"/>
      <c r="J249" s="566"/>
      <c r="K249" s="566"/>
      <c r="L249" s="566"/>
    </row>
    <row r="250" spans="1:12">
      <c r="A250" s="566"/>
      <c r="B250" s="566"/>
      <c r="C250" s="566"/>
      <c r="D250" s="566"/>
      <c r="E250" s="566"/>
      <c r="F250" s="566"/>
      <c r="G250" s="566"/>
      <c r="H250" s="566"/>
      <c r="I250" s="566"/>
      <c r="J250" s="566"/>
      <c r="K250" s="566"/>
      <c r="L250" s="566"/>
    </row>
    <row r="251" spans="1:12">
      <c r="A251" s="566"/>
      <c r="B251" s="566"/>
      <c r="C251" s="566"/>
      <c r="D251" s="566"/>
      <c r="E251" s="566"/>
      <c r="F251" s="566"/>
      <c r="G251" s="566"/>
      <c r="H251" s="566"/>
      <c r="I251" s="566"/>
      <c r="J251" s="566"/>
      <c r="K251" s="566"/>
      <c r="L251" s="566"/>
    </row>
    <row r="252" spans="1:12">
      <c r="A252" s="566"/>
      <c r="B252" s="566"/>
      <c r="C252" s="566"/>
      <c r="D252" s="566"/>
      <c r="E252" s="566"/>
      <c r="F252" s="566"/>
      <c r="G252" s="566"/>
      <c r="H252" s="566"/>
      <c r="I252" s="566"/>
      <c r="J252" s="566"/>
      <c r="K252" s="566"/>
      <c r="L252" s="566"/>
    </row>
    <row r="253" spans="1:12">
      <c r="A253" s="566"/>
      <c r="B253" s="566"/>
      <c r="C253" s="566"/>
      <c r="D253" s="566"/>
      <c r="E253" s="566"/>
      <c r="F253" s="566"/>
      <c r="G253" s="566"/>
      <c r="H253" s="566"/>
      <c r="I253" s="566"/>
      <c r="J253" s="566"/>
      <c r="K253" s="566"/>
      <c r="L253" s="566"/>
    </row>
    <row r="254" spans="1:12">
      <c r="A254" s="566"/>
      <c r="B254" s="566"/>
      <c r="C254" s="566"/>
      <c r="D254" s="566"/>
      <c r="E254" s="566"/>
      <c r="F254" s="566"/>
      <c r="G254" s="566"/>
      <c r="H254" s="566"/>
      <c r="I254" s="566"/>
      <c r="J254" s="566"/>
      <c r="K254" s="566"/>
      <c r="L254" s="566"/>
    </row>
    <row r="255" spans="1:12">
      <c r="A255" s="566"/>
      <c r="B255" s="566"/>
      <c r="C255" s="566"/>
      <c r="D255" s="566"/>
      <c r="E255" s="566"/>
      <c r="F255" s="566"/>
      <c r="G255" s="566"/>
      <c r="H255" s="566"/>
      <c r="I255" s="566"/>
      <c r="J255" s="566"/>
      <c r="K255" s="566"/>
      <c r="L255" s="566"/>
    </row>
    <row r="256" spans="1:12">
      <c r="A256" s="566"/>
      <c r="B256" s="566"/>
      <c r="C256" s="566"/>
      <c r="D256" s="566"/>
      <c r="E256" s="566"/>
      <c r="F256" s="566"/>
      <c r="G256" s="566"/>
      <c r="H256" s="566"/>
      <c r="I256" s="566"/>
      <c r="J256" s="566"/>
      <c r="K256" s="566"/>
      <c r="L256" s="566"/>
    </row>
    <row r="257" spans="1:12">
      <c r="A257" s="566"/>
      <c r="B257" s="566"/>
      <c r="C257" s="566"/>
      <c r="D257" s="566"/>
      <c r="E257" s="566"/>
      <c r="F257" s="566"/>
      <c r="G257" s="566"/>
      <c r="H257" s="566"/>
      <c r="I257" s="566"/>
      <c r="J257" s="566"/>
      <c r="K257" s="566"/>
      <c r="L257" s="566"/>
    </row>
    <row r="258" spans="1:12">
      <c r="A258" s="566"/>
      <c r="B258" s="566"/>
      <c r="C258" s="566"/>
      <c r="D258" s="566"/>
      <c r="E258" s="566"/>
      <c r="F258" s="566"/>
      <c r="G258" s="566"/>
      <c r="H258" s="566"/>
      <c r="I258" s="566"/>
      <c r="J258" s="566"/>
      <c r="K258" s="566"/>
      <c r="L258" s="566"/>
    </row>
    <row r="259" spans="1:12">
      <c r="A259" s="566"/>
      <c r="B259" s="566"/>
      <c r="C259" s="566"/>
      <c r="D259" s="566"/>
      <c r="E259" s="566"/>
      <c r="F259" s="566"/>
      <c r="G259" s="566"/>
      <c r="H259" s="566"/>
      <c r="I259" s="566"/>
      <c r="J259" s="566"/>
      <c r="K259" s="566"/>
      <c r="L259" s="566"/>
    </row>
    <row r="260" spans="1:12">
      <c r="A260" s="566"/>
      <c r="B260" s="566"/>
      <c r="C260" s="566"/>
      <c r="D260" s="566"/>
      <c r="E260" s="566"/>
      <c r="F260" s="566"/>
      <c r="G260" s="566"/>
      <c r="H260" s="566"/>
      <c r="I260" s="566"/>
      <c r="J260" s="566"/>
      <c r="K260" s="566"/>
      <c r="L260" s="566"/>
    </row>
    <row r="261" spans="1:12">
      <c r="A261" s="566"/>
      <c r="B261" s="566"/>
      <c r="C261" s="566"/>
      <c r="D261" s="566"/>
      <c r="E261" s="566"/>
      <c r="F261" s="566"/>
      <c r="G261" s="566"/>
      <c r="H261" s="566"/>
      <c r="I261" s="566"/>
      <c r="J261" s="566"/>
      <c r="K261" s="566"/>
      <c r="L261" s="566"/>
    </row>
    <row r="262" spans="1:12">
      <c r="A262" s="566"/>
      <c r="B262" s="566"/>
      <c r="C262" s="566"/>
      <c r="D262" s="566"/>
      <c r="E262" s="566"/>
      <c r="F262" s="566"/>
      <c r="G262" s="566"/>
      <c r="H262" s="566"/>
      <c r="I262" s="566"/>
      <c r="J262" s="566"/>
      <c r="K262" s="566"/>
      <c r="L262" s="566"/>
    </row>
    <row r="263" spans="1:12">
      <c r="A263" s="566"/>
      <c r="B263" s="566"/>
      <c r="C263" s="566"/>
      <c r="D263" s="566"/>
      <c r="E263" s="566"/>
      <c r="F263" s="566"/>
      <c r="G263" s="566"/>
      <c r="H263" s="566"/>
      <c r="I263" s="566"/>
      <c r="J263" s="566"/>
      <c r="K263" s="566"/>
      <c r="L263" s="566"/>
    </row>
    <row r="264" spans="1:12">
      <c r="A264" s="566"/>
      <c r="B264" s="566"/>
      <c r="C264" s="566"/>
      <c r="D264" s="566"/>
      <c r="E264" s="566"/>
      <c r="F264" s="566"/>
      <c r="G264" s="566"/>
      <c r="H264" s="566"/>
      <c r="I264" s="566"/>
      <c r="J264" s="566"/>
      <c r="K264" s="566"/>
      <c r="L264" s="566"/>
    </row>
    <row r="265" spans="1:12">
      <c r="A265" s="566"/>
      <c r="B265" s="566"/>
      <c r="C265" s="566"/>
      <c r="D265" s="566"/>
      <c r="E265" s="566"/>
      <c r="F265" s="566"/>
      <c r="G265" s="566"/>
      <c r="H265" s="566"/>
      <c r="I265" s="566"/>
      <c r="J265" s="566"/>
      <c r="K265" s="566"/>
      <c r="L265" s="566"/>
    </row>
    <row r="266" spans="1:12">
      <c r="A266" s="566"/>
      <c r="B266" s="566"/>
      <c r="C266" s="566"/>
      <c r="D266" s="566"/>
      <c r="E266" s="566"/>
      <c r="F266" s="566"/>
      <c r="G266" s="566"/>
      <c r="H266" s="566"/>
      <c r="I266" s="566"/>
      <c r="J266" s="566"/>
      <c r="K266" s="566"/>
      <c r="L266" s="566"/>
    </row>
    <row r="267" spans="1:12">
      <c r="A267" s="566"/>
      <c r="B267" s="566"/>
      <c r="C267" s="566"/>
      <c r="D267" s="566"/>
      <c r="E267" s="566"/>
      <c r="F267" s="566"/>
      <c r="G267" s="566"/>
      <c r="H267" s="566"/>
      <c r="I267" s="566"/>
      <c r="J267" s="566"/>
      <c r="K267" s="566"/>
      <c r="L267" s="566"/>
    </row>
    <row r="268" spans="1:12">
      <c r="A268" s="566"/>
      <c r="B268" s="566"/>
      <c r="C268" s="566"/>
      <c r="D268" s="566"/>
      <c r="E268" s="566"/>
      <c r="F268" s="566"/>
      <c r="G268" s="566"/>
      <c r="H268" s="566"/>
      <c r="I268" s="566"/>
      <c r="J268" s="566"/>
      <c r="K268" s="566"/>
      <c r="L268" s="566"/>
    </row>
    <row r="269" spans="1:12">
      <c r="A269" s="566"/>
      <c r="B269" s="566"/>
      <c r="C269" s="566"/>
      <c r="D269" s="566"/>
      <c r="E269" s="566"/>
      <c r="F269" s="566"/>
      <c r="G269" s="566"/>
      <c r="H269" s="566"/>
      <c r="I269" s="566"/>
      <c r="J269" s="566"/>
      <c r="K269" s="566"/>
      <c r="L269" s="566"/>
    </row>
    <row r="270" spans="1:12">
      <c r="A270" s="566"/>
      <c r="B270" s="566"/>
      <c r="C270" s="566"/>
      <c r="D270" s="566"/>
      <c r="E270" s="566"/>
      <c r="F270" s="566"/>
      <c r="G270" s="566"/>
      <c r="H270" s="566"/>
      <c r="I270" s="566"/>
      <c r="J270" s="566"/>
      <c r="K270" s="566"/>
      <c r="L270" s="566"/>
    </row>
    <row r="271" spans="1:12">
      <c r="A271" s="566"/>
      <c r="B271" s="566"/>
      <c r="C271" s="566"/>
      <c r="D271" s="566"/>
      <c r="E271" s="566"/>
      <c r="F271" s="566"/>
      <c r="G271" s="566"/>
      <c r="H271" s="566"/>
      <c r="I271" s="566"/>
      <c r="J271" s="566"/>
      <c r="K271" s="566"/>
      <c r="L271" s="566"/>
    </row>
    <row r="272" spans="1:12">
      <c r="A272" s="566"/>
      <c r="B272" s="566"/>
      <c r="C272" s="566"/>
      <c r="D272" s="566"/>
      <c r="E272" s="566"/>
      <c r="F272" s="566"/>
      <c r="G272" s="566"/>
      <c r="H272" s="566"/>
      <c r="I272" s="566"/>
      <c r="J272" s="566"/>
      <c r="K272" s="566"/>
      <c r="L272" s="566"/>
    </row>
    <row r="273" spans="1:12">
      <c r="A273" s="566"/>
      <c r="B273" s="566"/>
      <c r="C273" s="566"/>
      <c r="D273" s="566"/>
      <c r="E273" s="566"/>
      <c r="F273" s="566"/>
      <c r="G273" s="566"/>
      <c r="H273" s="566"/>
      <c r="I273" s="566"/>
      <c r="J273" s="566"/>
      <c r="K273" s="566"/>
      <c r="L273" s="566"/>
    </row>
    <row r="274" spans="1:12">
      <c r="A274" s="566"/>
      <c r="B274" s="566"/>
      <c r="C274" s="566"/>
      <c r="D274" s="566"/>
      <c r="E274" s="566"/>
      <c r="F274" s="566"/>
      <c r="G274" s="566"/>
      <c r="H274" s="566"/>
      <c r="I274" s="566"/>
      <c r="J274" s="566"/>
      <c r="K274" s="566"/>
      <c r="L274" s="566"/>
    </row>
    <row r="275" spans="1:12">
      <c r="A275" s="566"/>
      <c r="B275" s="566"/>
      <c r="C275" s="566"/>
      <c r="D275" s="566"/>
      <c r="E275" s="566"/>
      <c r="F275" s="566"/>
      <c r="G275" s="566"/>
      <c r="H275" s="566"/>
      <c r="I275" s="566"/>
      <c r="J275" s="566"/>
      <c r="K275" s="566"/>
      <c r="L275" s="566"/>
    </row>
    <row r="276" spans="1:12">
      <c r="A276" s="566"/>
      <c r="B276" s="566"/>
      <c r="C276" s="566"/>
      <c r="D276" s="566"/>
      <c r="E276" s="566"/>
      <c r="F276" s="566"/>
      <c r="G276" s="566"/>
      <c r="H276" s="566"/>
      <c r="I276" s="566"/>
      <c r="J276" s="566"/>
      <c r="K276" s="566"/>
      <c r="L276" s="566"/>
    </row>
    <row r="277" spans="1:12">
      <c r="A277" s="566"/>
      <c r="B277" s="566"/>
      <c r="C277" s="566"/>
      <c r="D277" s="566"/>
      <c r="E277" s="566"/>
      <c r="F277" s="566"/>
      <c r="G277" s="566"/>
      <c r="H277" s="566"/>
      <c r="I277" s="566"/>
      <c r="J277" s="566"/>
      <c r="K277" s="566"/>
      <c r="L277" s="566"/>
    </row>
    <row r="278" spans="1:12">
      <c r="A278" s="566"/>
      <c r="B278" s="566"/>
      <c r="C278" s="566"/>
      <c r="D278" s="566"/>
      <c r="E278" s="566"/>
      <c r="F278" s="566"/>
      <c r="G278" s="566"/>
      <c r="H278" s="566"/>
      <c r="I278" s="566"/>
      <c r="J278" s="566"/>
      <c r="K278" s="566"/>
      <c r="L278" s="566"/>
    </row>
    <row r="279" spans="1:12">
      <c r="A279" s="566"/>
      <c r="B279" s="566"/>
      <c r="C279" s="566"/>
      <c r="D279" s="566"/>
      <c r="E279" s="566"/>
      <c r="F279" s="566"/>
      <c r="G279" s="566"/>
      <c r="H279" s="566"/>
      <c r="I279" s="566"/>
      <c r="J279" s="566"/>
      <c r="K279" s="566"/>
      <c r="L279" s="566"/>
    </row>
    <row r="280" spans="1:12">
      <c r="A280" s="566"/>
      <c r="B280" s="566"/>
      <c r="C280" s="566"/>
      <c r="D280" s="566"/>
      <c r="E280" s="566"/>
      <c r="F280" s="566"/>
      <c r="G280" s="566"/>
      <c r="H280" s="566"/>
      <c r="I280" s="566"/>
      <c r="J280" s="566"/>
      <c r="K280" s="566"/>
      <c r="L280" s="566"/>
    </row>
    <row r="281" spans="1:12">
      <c r="A281" s="566"/>
      <c r="B281" s="566"/>
      <c r="C281" s="566"/>
      <c r="D281" s="566"/>
      <c r="E281" s="566"/>
      <c r="F281" s="566"/>
      <c r="G281" s="566"/>
      <c r="H281" s="566"/>
      <c r="I281" s="566"/>
      <c r="J281" s="566"/>
      <c r="K281" s="566"/>
      <c r="L281" s="566"/>
    </row>
    <row r="282" spans="1:12">
      <c r="A282" s="566"/>
      <c r="B282" s="566"/>
      <c r="C282" s="566"/>
      <c r="D282" s="566"/>
      <c r="E282" s="566"/>
      <c r="F282" s="566"/>
      <c r="G282" s="566"/>
      <c r="H282" s="566"/>
      <c r="I282" s="566"/>
      <c r="J282" s="566"/>
      <c r="K282" s="566"/>
      <c r="L282" s="566"/>
    </row>
    <row r="283" spans="1:12">
      <c r="A283" s="566"/>
      <c r="B283" s="566"/>
      <c r="C283" s="566"/>
      <c r="D283" s="566"/>
      <c r="E283" s="566"/>
      <c r="F283" s="566"/>
      <c r="G283" s="566"/>
      <c r="H283" s="566"/>
      <c r="I283" s="566"/>
      <c r="J283" s="566"/>
      <c r="K283" s="566"/>
      <c r="L283" s="566"/>
    </row>
    <row r="284" spans="1:12">
      <c r="A284" s="566"/>
      <c r="B284" s="566"/>
      <c r="C284" s="566"/>
      <c r="D284" s="566"/>
      <c r="E284" s="566"/>
      <c r="F284" s="566"/>
      <c r="G284" s="566"/>
      <c r="H284" s="566"/>
      <c r="I284" s="566"/>
      <c r="J284" s="566"/>
      <c r="K284" s="566"/>
      <c r="L284" s="566"/>
    </row>
    <row r="285" spans="1:12">
      <c r="A285" s="566"/>
      <c r="B285" s="566"/>
      <c r="C285" s="566"/>
      <c r="D285" s="566"/>
      <c r="E285" s="566"/>
      <c r="F285" s="566"/>
      <c r="G285" s="566"/>
      <c r="H285" s="566"/>
      <c r="I285" s="566"/>
      <c r="J285" s="566"/>
      <c r="K285" s="566"/>
      <c r="L285" s="566"/>
    </row>
    <row r="286" spans="1:12">
      <c r="A286" s="566"/>
      <c r="B286" s="566"/>
      <c r="C286" s="566"/>
      <c r="D286" s="566"/>
      <c r="E286" s="566"/>
      <c r="F286" s="566"/>
      <c r="G286" s="566"/>
      <c r="H286" s="566"/>
      <c r="I286" s="566"/>
      <c r="J286" s="566"/>
      <c r="K286" s="566"/>
      <c r="L286" s="566"/>
    </row>
    <row r="287" spans="1:12">
      <c r="A287" s="566"/>
      <c r="B287" s="566"/>
      <c r="C287" s="566"/>
      <c r="D287" s="566"/>
      <c r="E287" s="566"/>
      <c r="F287" s="566"/>
      <c r="G287" s="566"/>
      <c r="H287" s="566"/>
      <c r="I287" s="566"/>
      <c r="J287" s="566"/>
      <c r="K287" s="566"/>
      <c r="L287" s="566"/>
    </row>
    <row r="288" spans="1:12">
      <c r="A288" s="566"/>
      <c r="B288" s="566"/>
      <c r="C288" s="566"/>
      <c r="D288" s="566"/>
      <c r="E288" s="566"/>
      <c r="F288" s="566"/>
      <c r="G288" s="566"/>
      <c r="H288" s="566"/>
      <c r="I288" s="566"/>
      <c r="J288" s="566"/>
      <c r="K288" s="566"/>
      <c r="L288" s="566"/>
    </row>
    <row r="289" spans="1:12">
      <c r="A289" s="566"/>
      <c r="B289" s="566"/>
      <c r="C289" s="566"/>
      <c r="D289" s="566"/>
      <c r="E289" s="566"/>
      <c r="F289" s="566"/>
      <c r="G289" s="566"/>
      <c r="H289" s="566"/>
      <c r="I289" s="566"/>
      <c r="J289" s="566"/>
      <c r="K289" s="566"/>
      <c r="L289" s="566"/>
    </row>
    <row r="290" spans="1:12">
      <c r="A290" s="566"/>
      <c r="B290" s="566"/>
      <c r="C290" s="566"/>
      <c r="D290" s="566"/>
      <c r="E290" s="566"/>
      <c r="F290" s="566"/>
      <c r="G290" s="566"/>
      <c r="H290" s="566"/>
      <c r="I290" s="566"/>
      <c r="J290" s="566"/>
      <c r="K290" s="566"/>
      <c r="L290" s="566"/>
    </row>
    <row r="291" spans="1:12">
      <c r="A291" s="566"/>
      <c r="B291" s="566"/>
      <c r="C291" s="566"/>
      <c r="D291" s="566"/>
      <c r="E291" s="566"/>
      <c r="F291" s="566"/>
      <c r="G291" s="566"/>
      <c r="H291" s="566"/>
      <c r="I291" s="566"/>
      <c r="J291" s="566"/>
      <c r="K291" s="566"/>
      <c r="L291" s="566"/>
    </row>
    <row r="292" spans="1:12">
      <c r="A292" s="566"/>
      <c r="B292" s="566"/>
      <c r="C292" s="566"/>
      <c r="D292" s="566"/>
      <c r="E292" s="566"/>
      <c r="F292" s="566"/>
      <c r="G292" s="566"/>
      <c r="H292" s="566"/>
      <c r="I292" s="566"/>
      <c r="J292" s="566"/>
      <c r="K292" s="566"/>
      <c r="L292" s="566"/>
    </row>
    <row r="293" spans="1:12">
      <c r="A293" s="566"/>
      <c r="B293" s="566"/>
      <c r="C293" s="566"/>
      <c r="D293" s="566"/>
      <c r="E293" s="566"/>
      <c r="F293" s="566"/>
      <c r="G293" s="566"/>
      <c r="H293" s="566"/>
      <c r="I293" s="566"/>
      <c r="J293" s="566"/>
      <c r="K293" s="566"/>
      <c r="L293" s="566"/>
    </row>
    <row r="294" spans="1:12">
      <c r="A294" s="566"/>
      <c r="B294" s="566"/>
      <c r="C294" s="566"/>
      <c r="D294" s="566"/>
      <c r="E294" s="566"/>
      <c r="F294" s="566"/>
      <c r="G294" s="566"/>
      <c r="H294" s="566"/>
      <c r="I294" s="566"/>
      <c r="J294" s="566"/>
      <c r="K294" s="566"/>
      <c r="L294" s="566"/>
    </row>
    <row r="295" spans="1:12">
      <c r="A295" s="566"/>
      <c r="B295" s="566"/>
      <c r="C295" s="566"/>
      <c r="D295" s="566"/>
      <c r="E295" s="566"/>
      <c r="F295" s="566"/>
      <c r="G295" s="566"/>
      <c r="H295" s="566"/>
      <c r="I295" s="566"/>
      <c r="J295" s="566"/>
      <c r="K295" s="566"/>
      <c r="L295" s="566"/>
    </row>
    <row r="296" spans="1:12">
      <c r="A296" s="566"/>
      <c r="B296" s="566"/>
      <c r="C296" s="566"/>
      <c r="D296" s="566"/>
      <c r="E296" s="566"/>
      <c r="F296" s="566"/>
      <c r="G296" s="566"/>
      <c r="H296" s="566"/>
      <c r="I296" s="566"/>
      <c r="J296" s="566"/>
      <c r="K296" s="566"/>
      <c r="L296" s="566"/>
    </row>
    <row r="297" spans="1:12">
      <c r="A297" s="566"/>
      <c r="B297" s="566"/>
      <c r="C297" s="566"/>
      <c r="D297" s="566"/>
      <c r="E297" s="566"/>
      <c r="F297" s="566"/>
      <c r="G297" s="566"/>
      <c r="H297" s="566"/>
      <c r="I297" s="566"/>
      <c r="J297" s="566"/>
      <c r="K297" s="566"/>
      <c r="L297" s="566"/>
    </row>
    <row r="298" spans="1:12">
      <c r="A298" s="566"/>
      <c r="B298" s="566"/>
      <c r="C298" s="566"/>
      <c r="D298" s="566"/>
      <c r="E298" s="566"/>
      <c r="F298" s="566"/>
      <c r="G298" s="566"/>
      <c r="H298" s="566"/>
      <c r="I298" s="566"/>
      <c r="J298" s="566"/>
      <c r="K298" s="566"/>
      <c r="L298" s="566"/>
    </row>
    <row r="299" spans="1:12">
      <c r="A299" s="566"/>
      <c r="B299" s="566"/>
      <c r="C299" s="566"/>
      <c r="D299" s="566"/>
      <c r="E299" s="566"/>
      <c r="F299" s="566"/>
      <c r="G299" s="566"/>
      <c r="H299" s="566"/>
      <c r="I299" s="566"/>
      <c r="J299" s="566"/>
      <c r="K299" s="566"/>
      <c r="L299" s="566"/>
    </row>
    <row r="300" spans="1:12">
      <c r="A300" s="566"/>
      <c r="B300" s="566"/>
      <c r="C300" s="566"/>
      <c r="D300" s="566"/>
      <c r="E300" s="566"/>
      <c r="F300" s="566"/>
      <c r="G300" s="566"/>
      <c r="H300" s="566"/>
      <c r="I300" s="566"/>
      <c r="J300" s="566"/>
      <c r="K300" s="566"/>
      <c r="L300" s="566"/>
    </row>
    <row r="301" spans="1:12">
      <c r="A301" s="566"/>
      <c r="B301" s="566"/>
      <c r="C301" s="566"/>
      <c r="D301" s="566"/>
      <c r="E301" s="566"/>
      <c r="F301" s="566"/>
      <c r="G301" s="566"/>
      <c r="H301" s="566"/>
      <c r="I301" s="566"/>
      <c r="J301" s="566"/>
      <c r="K301" s="566"/>
      <c r="L301" s="566"/>
    </row>
    <row r="302" spans="1:12">
      <c r="A302" s="566"/>
      <c r="B302" s="566"/>
      <c r="C302" s="566"/>
      <c r="D302" s="566"/>
      <c r="E302" s="566"/>
      <c r="F302" s="566"/>
      <c r="G302" s="566"/>
      <c r="H302" s="566"/>
      <c r="I302" s="566"/>
      <c r="J302" s="566"/>
      <c r="K302" s="566"/>
      <c r="L302" s="566"/>
    </row>
    <row r="303" spans="1:12">
      <c r="A303" s="566"/>
      <c r="B303" s="566"/>
      <c r="C303" s="566"/>
      <c r="D303" s="566"/>
      <c r="E303" s="566"/>
      <c r="F303" s="566"/>
      <c r="G303" s="566"/>
      <c r="H303" s="566"/>
      <c r="I303" s="566"/>
      <c r="J303" s="566"/>
      <c r="K303" s="566"/>
      <c r="L303" s="566"/>
    </row>
    <row r="304" spans="1:12">
      <c r="A304" s="566"/>
      <c r="B304" s="566"/>
      <c r="C304" s="566"/>
      <c r="D304" s="566"/>
      <c r="E304" s="566"/>
      <c r="F304" s="566"/>
      <c r="G304" s="566"/>
      <c r="H304" s="566"/>
      <c r="I304" s="566"/>
      <c r="J304" s="566"/>
      <c r="K304" s="566"/>
      <c r="L304" s="566"/>
    </row>
    <row r="305" spans="1:12">
      <c r="A305" s="566"/>
      <c r="B305" s="566"/>
      <c r="C305" s="566"/>
      <c r="D305" s="566"/>
      <c r="E305" s="566"/>
      <c r="F305" s="566"/>
      <c r="G305" s="566"/>
      <c r="H305" s="566"/>
      <c r="I305" s="566"/>
      <c r="J305" s="566"/>
      <c r="K305" s="566"/>
      <c r="L305" s="566"/>
    </row>
    <row r="306" spans="1:12">
      <c r="A306" s="566"/>
      <c r="B306" s="566"/>
      <c r="C306" s="566"/>
      <c r="D306" s="566"/>
      <c r="E306" s="566"/>
      <c r="F306" s="566"/>
      <c r="G306" s="566"/>
      <c r="H306" s="566"/>
      <c r="I306" s="566"/>
      <c r="J306" s="566"/>
      <c r="K306" s="566"/>
      <c r="L306" s="566"/>
    </row>
    <row r="307" spans="1:12">
      <c r="A307" s="566"/>
      <c r="B307" s="566"/>
      <c r="C307" s="566"/>
      <c r="D307" s="566"/>
      <c r="E307" s="566"/>
      <c r="F307" s="566"/>
      <c r="G307" s="566"/>
      <c r="H307" s="566"/>
      <c r="I307" s="566"/>
      <c r="J307" s="566"/>
      <c r="K307" s="566"/>
      <c r="L307" s="566"/>
    </row>
    <row r="308" spans="1:12">
      <c r="A308" s="566"/>
      <c r="B308" s="566"/>
      <c r="C308" s="566"/>
      <c r="D308" s="566"/>
      <c r="E308" s="566"/>
      <c r="F308" s="566"/>
      <c r="G308" s="566"/>
      <c r="H308" s="566"/>
      <c r="I308" s="566"/>
      <c r="J308" s="566"/>
      <c r="K308" s="566"/>
      <c r="L308" s="566"/>
    </row>
    <row r="309" spans="1:12">
      <c r="A309" s="566"/>
      <c r="B309" s="566"/>
      <c r="C309" s="566"/>
      <c r="D309" s="566"/>
      <c r="E309" s="566"/>
      <c r="F309" s="566"/>
      <c r="G309" s="566"/>
      <c r="H309" s="566"/>
      <c r="I309" s="566"/>
      <c r="J309" s="566"/>
      <c r="K309" s="566"/>
      <c r="L309" s="566"/>
    </row>
    <row r="310" spans="1:12">
      <c r="A310" s="566"/>
      <c r="B310" s="566"/>
      <c r="C310" s="566"/>
      <c r="D310" s="566"/>
      <c r="E310" s="566"/>
      <c r="F310" s="566"/>
      <c r="G310" s="566"/>
      <c r="H310" s="566"/>
      <c r="I310" s="566"/>
      <c r="J310" s="566"/>
      <c r="K310" s="566"/>
      <c r="L310" s="566"/>
    </row>
    <row r="311" spans="1:12">
      <c r="A311" s="566"/>
      <c r="B311" s="566"/>
      <c r="C311" s="566"/>
      <c r="D311" s="566"/>
      <c r="E311" s="566"/>
      <c r="F311" s="566"/>
      <c r="G311" s="566"/>
      <c r="H311" s="566"/>
      <c r="I311" s="566"/>
      <c r="J311" s="566"/>
      <c r="K311" s="566"/>
      <c r="L311" s="566"/>
    </row>
    <row r="312" spans="1:12">
      <c r="A312" s="566"/>
      <c r="B312" s="566"/>
      <c r="C312" s="566"/>
      <c r="D312" s="566"/>
      <c r="E312" s="566"/>
      <c r="F312" s="566"/>
      <c r="G312" s="566"/>
      <c r="H312" s="566"/>
      <c r="I312" s="566"/>
      <c r="J312" s="566"/>
      <c r="K312" s="566"/>
      <c r="L312" s="566"/>
    </row>
    <row r="313" spans="1:12">
      <c r="A313" s="566"/>
      <c r="B313" s="566"/>
      <c r="C313" s="566"/>
      <c r="D313" s="566"/>
      <c r="E313" s="566"/>
      <c r="F313" s="566"/>
      <c r="G313" s="566"/>
      <c r="H313" s="566"/>
      <c r="I313" s="566"/>
      <c r="J313" s="566"/>
      <c r="K313" s="566"/>
      <c r="L313" s="566"/>
    </row>
    <row r="314" spans="1:12">
      <c r="A314" s="566"/>
      <c r="B314" s="566"/>
      <c r="C314" s="566"/>
      <c r="D314" s="566"/>
      <c r="E314" s="566"/>
      <c r="F314" s="566"/>
      <c r="G314" s="566"/>
      <c r="H314" s="566"/>
      <c r="I314" s="566"/>
      <c r="J314" s="566"/>
      <c r="K314" s="566"/>
      <c r="L314" s="566"/>
    </row>
    <row r="315" spans="1:12">
      <c r="A315" s="566"/>
      <c r="B315" s="566"/>
      <c r="C315" s="566"/>
      <c r="D315" s="566"/>
      <c r="E315" s="566"/>
      <c r="F315" s="566"/>
      <c r="G315" s="566"/>
      <c r="H315" s="566"/>
      <c r="I315" s="566"/>
      <c r="J315" s="566"/>
      <c r="K315" s="566"/>
      <c r="L315" s="566"/>
    </row>
    <row r="316" spans="1:12">
      <c r="A316" s="566"/>
      <c r="B316" s="566"/>
      <c r="C316" s="566"/>
      <c r="D316" s="566"/>
      <c r="E316" s="566"/>
      <c r="F316" s="566"/>
      <c r="G316" s="566"/>
      <c r="H316" s="566"/>
      <c r="I316" s="566"/>
      <c r="J316" s="566"/>
      <c r="K316" s="566"/>
      <c r="L316" s="566"/>
    </row>
    <row r="317" spans="1:12">
      <c r="A317" s="566"/>
      <c r="B317" s="566"/>
      <c r="C317" s="566"/>
      <c r="D317" s="566"/>
      <c r="E317" s="566"/>
      <c r="F317" s="566"/>
      <c r="G317" s="566"/>
      <c r="H317" s="566"/>
      <c r="I317" s="566"/>
      <c r="J317" s="566"/>
      <c r="K317" s="566"/>
      <c r="L317" s="566"/>
    </row>
    <row r="318" spans="1:12">
      <c r="A318" s="566"/>
      <c r="B318" s="566"/>
      <c r="C318" s="566"/>
      <c r="D318" s="566"/>
      <c r="E318" s="566"/>
      <c r="F318" s="566"/>
      <c r="G318" s="566"/>
      <c r="H318" s="566"/>
      <c r="I318" s="566"/>
      <c r="J318" s="566"/>
      <c r="K318" s="566"/>
      <c r="L318" s="566"/>
    </row>
    <row r="319" spans="1:12">
      <c r="A319" s="566"/>
      <c r="B319" s="566"/>
      <c r="C319" s="566"/>
      <c r="D319" s="566"/>
      <c r="E319" s="566"/>
      <c r="F319" s="566"/>
      <c r="G319" s="566"/>
      <c r="H319" s="566"/>
      <c r="I319" s="566"/>
      <c r="J319" s="566"/>
      <c r="K319" s="566"/>
      <c r="L319" s="566"/>
    </row>
    <row r="320" spans="1:12">
      <c r="A320" s="566"/>
      <c r="B320" s="566"/>
      <c r="C320" s="566"/>
      <c r="D320" s="566"/>
      <c r="E320" s="566"/>
      <c r="F320" s="566"/>
      <c r="G320" s="566"/>
      <c r="H320" s="566"/>
      <c r="I320" s="566"/>
      <c r="J320" s="566"/>
      <c r="K320" s="566"/>
      <c r="L320" s="566"/>
    </row>
    <row r="321" spans="1:12">
      <c r="A321" s="566"/>
      <c r="B321" s="566"/>
      <c r="C321" s="566"/>
      <c r="D321" s="566"/>
      <c r="E321" s="566"/>
      <c r="F321" s="566"/>
      <c r="G321" s="566"/>
      <c r="H321" s="566"/>
      <c r="I321" s="566"/>
      <c r="J321" s="566"/>
      <c r="K321" s="566"/>
      <c r="L321" s="566"/>
    </row>
    <row r="322" spans="1:12">
      <c r="A322" s="566"/>
      <c r="B322" s="566"/>
      <c r="C322" s="566"/>
      <c r="D322" s="566"/>
      <c r="E322" s="566"/>
      <c r="F322" s="566"/>
      <c r="G322" s="566"/>
      <c r="H322" s="566"/>
      <c r="I322" s="566"/>
      <c r="J322" s="566"/>
      <c r="K322" s="566"/>
      <c r="L322" s="566"/>
    </row>
    <row r="323" spans="1:12">
      <c r="A323" s="566"/>
      <c r="B323" s="566"/>
      <c r="C323" s="566"/>
      <c r="D323" s="566"/>
      <c r="E323" s="566"/>
      <c r="F323" s="566"/>
      <c r="G323" s="566"/>
      <c r="H323" s="566"/>
      <c r="I323" s="566"/>
      <c r="J323" s="566"/>
      <c r="K323" s="566"/>
      <c r="L323" s="566"/>
    </row>
    <row r="324" spans="1:12">
      <c r="A324" s="566"/>
      <c r="B324" s="566"/>
      <c r="C324" s="566"/>
      <c r="D324" s="566"/>
      <c r="E324" s="566"/>
      <c r="F324" s="566"/>
      <c r="G324" s="566"/>
      <c r="H324" s="566"/>
      <c r="I324" s="566"/>
      <c r="J324" s="566"/>
      <c r="K324" s="566"/>
      <c r="L324" s="566"/>
    </row>
    <row r="325" spans="1:12">
      <c r="A325" s="566"/>
      <c r="B325" s="566"/>
      <c r="C325" s="566"/>
      <c r="D325" s="566"/>
      <c r="E325" s="566"/>
      <c r="F325" s="566"/>
      <c r="G325" s="566"/>
      <c r="H325" s="566"/>
      <c r="I325" s="566"/>
      <c r="J325" s="566"/>
      <c r="K325" s="566"/>
      <c r="L325" s="566"/>
    </row>
    <row r="326" spans="1:12">
      <c r="A326" s="566"/>
      <c r="B326" s="566"/>
      <c r="C326" s="566"/>
      <c r="D326" s="566"/>
      <c r="E326" s="566"/>
      <c r="F326" s="566"/>
      <c r="G326" s="566"/>
      <c r="H326" s="566"/>
      <c r="I326" s="566"/>
      <c r="J326" s="566"/>
      <c r="K326" s="566"/>
      <c r="L326" s="566"/>
    </row>
    <row r="327" spans="1:12">
      <c r="A327" s="566"/>
      <c r="B327" s="566"/>
      <c r="C327" s="566"/>
      <c r="D327" s="566"/>
      <c r="E327" s="566"/>
      <c r="F327" s="566"/>
      <c r="G327" s="566"/>
      <c r="H327" s="566"/>
      <c r="I327" s="566"/>
      <c r="J327" s="566"/>
      <c r="K327" s="566"/>
      <c r="L327" s="566"/>
    </row>
    <row r="328" spans="1:12">
      <c r="A328" s="566"/>
      <c r="B328" s="566"/>
      <c r="C328" s="566"/>
      <c r="D328" s="566"/>
      <c r="E328" s="566"/>
      <c r="F328" s="566"/>
      <c r="G328" s="566"/>
      <c r="H328" s="566"/>
      <c r="I328" s="566"/>
      <c r="J328" s="566"/>
      <c r="K328" s="566"/>
      <c r="L328" s="566"/>
    </row>
    <row r="329" spans="1:12">
      <c r="A329" s="566"/>
      <c r="B329" s="566"/>
      <c r="C329" s="566"/>
      <c r="D329" s="566"/>
      <c r="E329" s="566"/>
      <c r="F329" s="566"/>
      <c r="G329" s="566"/>
      <c r="H329" s="566"/>
      <c r="I329" s="566"/>
      <c r="J329" s="566"/>
      <c r="K329" s="566"/>
      <c r="L329" s="566"/>
    </row>
    <row r="330" spans="1:12">
      <c r="A330" s="566"/>
      <c r="B330" s="566"/>
      <c r="C330" s="566"/>
      <c r="D330" s="566"/>
      <c r="E330" s="566"/>
      <c r="F330" s="566"/>
      <c r="G330" s="566"/>
      <c r="H330" s="566"/>
      <c r="I330" s="566"/>
      <c r="J330" s="566"/>
      <c r="K330" s="566"/>
      <c r="L330" s="566"/>
    </row>
    <row r="331" spans="1:12">
      <c r="A331" s="566"/>
      <c r="B331" s="566"/>
      <c r="C331" s="566"/>
      <c r="D331" s="566"/>
      <c r="E331" s="566"/>
      <c r="F331" s="566"/>
      <c r="G331" s="566"/>
      <c r="H331" s="566"/>
      <c r="I331" s="566"/>
      <c r="J331" s="566"/>
      <c r="K331" s="566"/>
      <c r="L331" s="566"/>
    </row>
    <row r="332" spans="1:12">
      <c r="A332" s="566"/>
      <c r="B332" s="566"/>
      <c r="C332" s="566"/>
      <c r="D332" s="566"/>
      <c r="E332" s="566"/>
      <c r="F332" s="566"/>
      <c r="G332" s="566"/>
      <c r="H332" s="566"/>
      <c r="I332" s="566"/>
      <c r="J332" s="566"/>
      <c r="K332" s="566"/>
      <c r="L332" s="566"/>
    </row>
    <row r="333" spans="1:12">
      <c r="A333" s="566"/>
      <c r="B333" s="566"/>
      <c r="C333" s="566"/>
      <c r="D333" s="566"/>
      <c r="E333" s="566"/>
      <c r="F333" s="566"/>
      <c r="G333" s="566"/>
      <c r="H333" s="566"/>
      <c r="I333" s="566"/>
      <c r="J333" s="566"/>
      <c r="K333" s="566"/>
      <c r="L333" s="566"/>
    </row>
    <row r="334" spans="1:12">
      <c r="A334" s="566"/>
      <c r="B334" s="566"/>
      <c r="C334" s="566"/>
      <c r="D334" s="566"/>
      <c r="E334" s="566"/>
      <c r="F334" s="566"/>
      <c r="G334" s="566"/>
      <c r="H334" s="566"/>
      <c r="I334" s="566"/>
      <c r="J334" s="566"/>
      <c r="K334" s="566"/>
      <c r="L334" s="566"/>
    </row>
    <row r="335" spans="1:12">
      <c r="A335" s="566"/>
      <c r="B335" s="566"/>
      <c r="C335" s="566"/>
      <c r="D335" s="566"/>
      <c r="E335" s="566"/>
      <c r="F335" s="566"/>
      <c r="G335" s="566"/>
      <c r="H335" s="566"/>
      <c r="I335" s="566"/>
      <c r="J335" s="566"/>
      <c r="K335" s="566"/>
      <c r="L335" s="566"/>
    </row>
    <row r="336" spans="1:12">
      <c r="A336" s="566"/>
      <c r="B336" s="566"/>
      <c r="C336" s="566"/>
      <c r="D336" s="566"/>
      <c r="E336" s="566"/>
      <c r="F336" s="566"/>
      <c r="G336" s="566"/>
      <c r="H336" s="566"/>
      <c r="I336" s="566"/>
      <c r="J336" s="566"/>
      <c r="K336" s="566"/>
      <c r="L336" s="566"/>
    </row>
    <row r="337" spans="1:12">
      <c r="A337" s="566"/>
      <c r="B337" s="566"/>
      <c r="C337" s="566"/>
      <c r="D337" s="566"/>
      <c r="E337" s="566"/>
      <c r="F337" s="566"/>
      <c r="G337" s="566"/>
      <c r="H337" s="566"/>
      <c r="I337" s="566"/>
      <c r="J337" s="566"/>
      <c r="K337" s="566"/>
      <c r="L337" s="566"/>
    </row>
    <row r="338" spans="1:12">
      <c r="A338" s="566"/>
      <c r="B338" s="566"/>
      <c r="C338" s="566"/>
      <c r="D338" s="566"/>
      <c r="E338" s="566"/>
      <c r="F338" s="566"/>
      <c r="G338" s="566"/>
      <c r="H338" s="566"/>
      <c r="I338" s="566"/>
      <c r="J338" s="566"/>
      <c r="K338" s="566"/>
      <c r="L338" s="566"/>
    </row>
    <row r="339" spans="1:12">
      <c r="A339" s="566"/>
      <c r="B339" s="566"/>
      <c r="C339" s="566"/>
      <c r="D339" s="566"/>
      <c r="E339" s="566"/>
      <c r="F339" s="566"/>
      <c r="G339" s="566"/>
      <c r="H339" s="566"/>
      <c r="I339" s="566"/>
      <c r="J339" s="566"/>
      <c r="K339" s="566"/>
      <c r="L339" s="566"/>
    </row>
    <row r="340" spans="1:12">
      <c r="A340" s="566"/>
      <c r="B340" s="566"/>
      <c r="C340" s="566"/>
      <c r="D340" s="566"/>
      <c r="E340" s="566"/>
      <c r="F340" s="566"/>
      <c r="G340" s="566"/>
      <c r="H340" s="566"/>
      <c r="I340" s="566"/>
      <c r="J340" s="566"/>
      <c r="K340" s="566"/>
      <c r="L340" s="566"/>
    </row>
    <row r="341" spans="1:12">
      <c r="A341" s="566"/>
      <c r="B341" s="566"/>
      <c r="C341" s="566"/>
      <c r="D341" s="566"/>
      <c r="E341" s="566"/>
      <c r="F341" s="566"/>
      <c r="G341" s="566"/>
      <c r="H341" s="566"/>
      <c r="I341" s="566"/>
      <c r="J341" s="566"/>
      <c r="K341" s="566"/>
      <c r="L341" s="566"/>
    </row>
    <row r="342" spans="1:12">
      <c r="A342" s="566"/>
      <c r="B342" s="566"/>
      <c r="C342" s="566"/>
      <c r="D342" s="566"/>
      <c r="E342" s="566"/>
      <c r="F342" s="566"/>
      <c r="G342" s="566"/>
      <c r="H342" s="566"/>
      <c r="I342" s="566"/>
      <c r="J342" s="566"/>
      <c r="K342" s="566"/>
      <c r="L342" s="566"/>
    </row>
    <row r="343" spans="1:12">
      <c r="A343" s="566"/>
      <c r="B343" s="566"/>
      <c r="C343" s="566"/>
      <c r="D343" s="566"/>
      <c r="E343" s="566"/>
      <c r="F343" s="566"/>
      <c r="G343" s="566"/>
      <c r="H343" s="566"/>
      <c r="I343" s="566"/>
      <c r="J343" s="566"/>
      <c r="K343" s="566"/>
      <c r="L343" s="566"/>
    </row>
    <row r="344" spans="1:12">
      <c r="A344" s="566"/>
      <c r="B344" s="566"/>
      <c r="C344" s="566"/>
      <c r="D344" s="566"/>
      <c r="E344" s="566"/>
      <c r="F344" s="566"/>
      <c r="G344" s="566"/>
      <c r="H344" s="566"/>
      <c r="I344" s="566"/>
      <c r="J344" s="566"/>
      <c r="K344" s="566"/>
      <c r="L344" s="566"/>
    </row>
    <row r="345" spans="1:12">
      <c r="A345" s="566"/>
      <c r="B345" s="566"/>
      <c r="C345" s="566"/>
      <c r="D345" s="566"/>
      <c r="E345" s="566"/>
      <c r="F345" s="566"/>
      <c r="G345" s="566"/>
      <c r="H345" s="566"/>
      <c r="I345" s="566"/>
      <c r="J345" s="566"/>
      <c r="K345" s="566"/>
      <c r="L345" s="566"/>
    </row>
    <row r="346" spans="1:12">
      <c r="A346" s="566"/>
      <c r="B346" s="566"/>
      <c r="C346" s="566"/>
      <c r="D346" s="566"/>
      <c r="E346" s="566"/>
      <c r="F346" s="566"/>
      <c r="G346" s="566"/>
      <c r="H346" s="566"/>
      <c r="I346" s="566"/>
      <c r="J346" s="566"/>
      <c r="K346" s="566"/>
      <c r="L346" s="566"/>
    </row>
    <row r="347" spans="1:12">
      <c r="A347" s="566"/>
      <c r="B347" s="566"/>
      <c r="C347" s="566"/>
      <c r="D347" s="566"/>
      <c r="E347" s="566"/>
      <c r="F347" s="566"/>
      <c r="G347" s="566"/>
      <c r="H347" s="566"/>
      <c r="I347" s="566"/>
      <c r="J347" s="566"/>
      <c r="K347" s="566"/>
      <c r="L347" s="566"/>
    </row>
    <row r="348" spans="1:12">
      <c r="A348" s="566"/>
      <c r="B348" s="566"/>
      <c r="C348" s="566"/>
      <c r="D348" s="566"/>
      <c r="E348" s="566"/>
      <c r="F348" s="566"/>
      <c r="G348" s="566"/>
      <c r="H348" s="566"/>
      <c r="I348" s="566"/>
      <c r="J348" s="566"/>
      <c r="K348" s="566"/>
      <c r="L348" s="566"/>
    </row>
    <row r="349" spans="1:12">
      <c r="A349" s="566"/>
      <c r="B349" s="566"/>
      <c r="C349" s="566"/>
      <c r="D349" s="566"/>
      <c r="E349" s="566"/>
      <c r="F349" s="566"/>
      <c r="G349" s="566"/>
      <c r="H349" s="566"/>
      <c r="I349" s="566"/>
      <c r="J349" s="566"/>
      <c r="K349" s="566"/>
      <c r="L349" s="566"/>
    </row>
    <row r="350" spans="1:12">
      <c r="A350" s="566"/>
      <c r="B350" s="566"/>
      <c r="C350" s="566"/>
      <c r="D350" s="566"/>
      <c r="E350" s="566"/>
      <c r="F350" s="566"/>
      <c r="G350" s="566"/>
      <c r="H350" s="566"/>
      <c r="I350" s="566"/>
      <c r="J350" s="566"/>
      <c r="K350" s="566"/>
      <c r="L350" s="566"/>
    </row>
    <row r="351" spans="1:12">
      <c r="A351" s="566"/>
      <c r="B351" s="566"/>
      <c r="C351" s="566"/>
      <c r="D351" s="566"/>
      <c r="E351" s="566"/>
      <c r="F351" s="566"/>
      <c r="G351" s="566"/>
      <c r="H351" s="566"/>
      <c r="I351" s="566"/>
      <c r="J351" s="566"/>
      <c r="K351" s="566"/>
      <c r="L351" s="566"/>
    </row>
    <row r="352" spans="1:12">
      <c r="A352" s="566"/>
      <c r="B352" s="566"/>
      <c r="C352" s="566"/>
      <c r="D352" s="566"/>
      <c r="E352" s="566"/>
      <c r="F352" s="566"/>
      <c r="G352" s="566"/>
      <c r="H352" s="566"/>
      <c r="I352" s="566"/>
      <c r="J352" s="566"/>
      <c r="K352" s="566"/>
      <c r="L352" s="566"/>
    </row>
    <row r="353" spans="1:12">
      <c r="A353" s="566"/>
      <c r="B353" s="566"/>
      <c r="C353" s="566"/>
      <c r="D353" s="566"/>
      <c r="E353" s="566"/>
      <c r="F353" s="566"/>
      <c r="G353" s="566"/>
      <c r="H353" s="566"/>
      <c r="I353" s="566"/>
      <c r="J353" s="566"/>
      <c r="K353" s="566"/>
      <c r="L353" s="566"/>
    </row>
    <row r="354" spans="1:12">
      <c r="A354" s="566"/>
      <c r="B354" s="566"/>
      <c r="C354" s="566"/>
      <c r="D354" s="566"/>
      <c r="E354" s="566"/>
      <c r="F354" s="566"/>
      <c r="G354" s="566"/>
      <c r="H354" s="566"/>
      <c r="I354" s="566"/>
      <c r="J354" s="566"/>
      <c r="K354" s="566"/>
      <c r="L354" s="566"/>
    </row>
  </sheetData>
  <sheetProtection sheet="1"/>
  <mergeCells count="55">
    <mergeCell ref="C77:D77"/>
    <mergeCell ref="C80:D80"/>
    <mergeCell ref="C83:D83"/>
    <mergeCell ref="B88:K88"/>
    <mergeCell ref="B90:K90"/>
    <mergeCell ref="B85:K85"/>
    <mergeCell ref="B86:K86"/>
    <mergeCell ref="B55:K55"/>
    <mergeCell ref="B57:K57"/>
    <mergeCell ref="B52:K52"/>
    <mergeCell ref="B53:K53"/>
    <mergeCell ref="B58:K58"/>
    <mergeCell ref="C74:D74"/>
    <mergeCell ref="B33:K33"/>
    <mergeCell ref="B35:K35"/>
    <mergeCell ref="B6:K6"/>
    <mergeCell ref="B7:K7"/>
    <mergeCell ref="B8:K8"/>
    <mergeCell ref="B10:K10"/>
    <mergeCell ref="B12:K12"/>
    <mergeCell ref="C25:D25"/>
    <mergeCell ref="F23:G23"/>
    <mergeCell ref="B30:K30"/>
    <mergeCell ref="B31:K31"/>
    <mergeCell ref="C41:D41"/>
    <mergeCell ref="B48:C48"/>
    <mergeCell ref="G50:H50"/>
    <mergeCell ref="I51:K51"/>
    <mergeCell ref="C94:D94"/>
    <mergeCell ref="C97:D97"/>
    <mergeCell ref="C100:D100"/>
    <mergeCell ref="B105:K105"/>
    <mergeCell ref="B144:K144"/>
    <mergeCell ref="B106:K106"/>
    <mergeCell ref="B126:K126"/>
    <mergeCell ref="C136:D136"/>
    <mergeCell ref="B108:K108"/>
    <mergeCell ref="C114:D114"/>
    <mergeCell ref="C117:D117"/>
    <mergeCell ref="C120:D120"/>
    <mergeCell ref="C123:D123"/>
    <mergeCell ref="B128:K128"/>
    <mergeCell ref="B130:K130"/>
    <mergeCell ref="C148:D148"/>
    <mergeCell ref="J148:K148"/>
    <mergeCell ref="C103:D103"/>
    <mergeCell ref="C133:D133"/>
    <mergeCell ref="H133:I133"/>
    <mergeCell ref="C134:D134"/>
    <mergeCell ref="H134:I134"/>
    <mergeCell ref="C137:D137"/>
    <mergeCell ref="B125:K125"/>
    <mergeCell ref="B110:K110"/>
    <mergeCell ref="C147:D147"/>
    <mergeCell ref="J147:K147"/>
  </mergeCells>
  <pageMargins left="0.7" right="0.7" top="0.75" bottom="0.75" header="0.3" footer="0.3"/>
  <pageSetup scale="80" orientation="portrait" blackAndWhite="1" r:id="rId1"/>
  <rowBreaks count="4" manualBreakCount="4">
    <brk id="32" min="1" max="10" man="1"/>
    <brk id="54" min="1" max="10" man="1"/>
    <brk id="85" min="1" max="10" man="1"/>
    <brk id="125" min="1"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27" sqref="A27"/>
    </sheetView>
  </sheetViews>
  <sheetFormatPr defaultRowHeight="15.75"/>
  <cols>
    <col min="1" max="1" width="71.21875" style="1" customWidth="1"/>
    <col min="2" max="16384" width="8.88671875" style="1"/>
  </cols>
  <sheetData>
    <row r="1" spans="1:1" ht="16.5">
      <c r="A1" s="578" t="s">
        <v>735</v>
      </c>
    </row>
    <row r="3" spans="1:1" ht="31.5">
      <c r="A3" s="579" t="s">
        <v>736</v>
      </c>
    </row>
    <row r="4" spans="1:1">
      <c r="A4" s="580" t="s">
        <v>737</v>
      </c>
    </row>
    <row r="7" spans="1:1" ht="31.5">
      <c r="A7" s="579" t="s">
        <v>738</v>
      </c>
    </row>
    <row r="8" spans="1:1">
      <c r="A8" s="580" t="s">
        <v>739</v>
      </c>
    </row>
    <row r="11" spans="1:1">
      <c r="A11" s="1" t="s">
        <v>740</v>
      </c>
    </row>
    <row r="12" spans="1:1">
      <c r="A12" s="580" t="s">
        <v>741</v>
      </c>
    </row>
    <row r="15" spans="1:1">
      <c r="A15" s="1" t="s">
        <v>742</v>
      </c>
    </row>
    <row r="16" spans="1:1">
      <c r="A16" s="580" t="s">
        <v>743</v>
      </c>
    </row>
    <row r="19" spans="1:1">
      <c r="A19" s="1" t="s">
        <v>744</v>
      </c>
    </row>
    <row r="20" spans="1:1">
      <c r="A20" s="580" t="s">
        <v>745</v>
      </c>
    </row>
    <row r="23" spans="1:1">
      <c r="A23" s="1" t="s">
        <v>746</v>
      </c>
    </row>
    <row r="24" spans="1:1">
      <c r="A24" s="580" t="s">
        <v>747</v>
      </c>
    </row>
    <row r="27" spans="1:1">
      <c r="A27" s="1" t="s">
        <v>748</v>
      </c>
    </row>
    <row r="28" spans="1:1">
      <c r="A28" s="580" t="s">
        <v>749</v>
      </c>
    </row>
    <row r="31" spans="1:1">
      <c r="A31" s="1" t="s">
        <v>750</v>
      </c>
    </row>
    <row r="32" spans="1:1">
      <c r="A32" s="580" t="s">
        <v>751</v>
      </c>
    </row>
    <row r="35" spans="1:1">
      <c r="A35" s="1" t="s">
        <v>752</v>
      </c>
    </row>
    <row r="36" spans="1:1">
      <c r="A36" s="580" t="s">
        <v>753</v>
      </c>
    </row>
    <row r="39" spans="1:1">
      <c r="A39" s="1" t="s">
        <v>754</v>
      </c>
    </row>
    <row r="40" spans="1:1">
      <c r="A40" s="580" t="s">
        <v>755</v>
      </c>
    </row>
  </sheetData>
  <sheetProtection sheet="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7"/>
  <sheetViews>
    <sheetView workbookViewId="0">
      <selection activeCell="G29" sqref="G29"/>
    </sheetView>
  </sheetViews>
  <sheetFormatPr defaultRowHeight="15.75"/>
  <cols>
    <col min="1" max="1" width="83.6640625" style="51" customWidth="1"/>
    <col min="2" max="16384" width="8.88671875" style="51"/>
  </cols>
  <sheetData>
    <row r="1" spans="1:1">
      <c r="A1" s="623" t="s">
        <v>993</v>
      </c>
    </row>
    <row r="2" spans="1:1">
      <c r="A2" s="51" t="s">
        <v>994</v>
      </c>
    </row>
    <row r="4" spans="1:1">
      <c r="A4" s="623" t="s">
        <v>990</v>
      </c>
    </row>
    <row r="5" spans="1:1">
      <c r="A5" s="51" t="s">
        <v>991</v>
      </c>
    </row>
    <row r="7" spans="1:1">
      <c r="A7" s="623" t="s">
        <v>988</v>
      </c>
    </row>
    <row r="8" spans="1:1">
      <c r="A8" s="742" t="s">
        <v>989</v>
      </c>
    </row>
    <row r="10" spans="1:1">
      <c r="A10" s="623" t="s">
        <v>985</v>
      </c>
    </row>
    <row r="11" spans="1:1">
      <c r="A11" s="51" t="s">
        <v>986</v>
      </c>
    </row>
    <row r="13" spans="1:1">
      <c r="A13" s="623" t="s">
        <v>982</v>
      </c>
    </row>
    <row r="14" spans="1:1">
      <c r="A14" s="51" t="s">
        <v>983</v>
      </c>
    </row>
    <row r="15" spans="1:1">
      <c r="A15" s="51" t="s">
        <v>984</v>
      </c>
    </row>
    <row r="17" spans="1:1">
      <c r="A17" s="623" t="s">
        <v>980</v>
      </c>
    </row>
    <row r="18" spans="1:1">
      <c r="A18" s="747" t="s">
        <v>981</v>
      </c>
    </row>
    <row r="20" spans="1:1">
      <c r="A20" s="623" t="s">
        <v>904</v>
      </c>
    </row>
    <row r="21" spans="1:1">
      <c r="A21" s="742" t="s">
        <v>924</v>
      </c>
    </row>
    <row r="22" spans="1:1">
      <c r="A22" s="51" t="s">
        <v>925</v>
      </c>
    </row>
    <row r="23" spans="1:1">
      <c r="A23" s="51" t="s">
        <v>926</v>
      </c>
    </row>
    <row r="24" spans="1:1">
      <c r="A24" s="51" t="s">
        <v>927</v>
      </c>
    </row>
    <row r="25" spans="1:1">
      <c r="A25" s="51" t="s">
        <v>928</v>
      </c>
    </row>
    <row r="26" spans="1:1">
      <c r="A26" s="51" t="s">
        <v>929</v>
      </c>
    </row>
    <row r="27" spans="1:1">
      <c r="A27" s="51" t="s">
        <v>930</v>
      </c>
    </row>
    <row r="28" spans="1:1">
      <c r="A28" s="51" t="s">
        <v>931</v>
      </c>
    </row>
    <row r="29" spans="1:1">
      <c r="A29" s="51" t="s">
        <v>932</v>
      </c>
    </row>
    <row r="30" spans="1:1">
      <c r="A30" s="51" t="s">
        <v>933</v>
      </c>
    </row>
    <row r="31" spans="1:1">
      <c r="A31" s="51" t="s">
        <v>934</v>
      </c>
    </row>
    <row r="32" spans="1:1">
      <c r="A32" s="51" t="s">
        <v>935</v>
      </c>
    </row>
    <row r="33" spans="1:1">
      <c r="A33" s="51" t="s">
        <v>936</v>
      </c>
    </row>
    <row r="34" spans="1:1">
      <c r="A34" s="51" t="s">
        <v>937</v>
      </c>
    </row>
    <row r="35" spans="1:1">
      <c r="A35" s="51" t="s">
        <v>938</v>
      </c>
    </row>
    <row r="36" spans="1:1">
      <c r="A36" s="51" t="s">
        <v>939</v>
      </c>
    </row>
    <row r="37" spans="1:1" ht="48.75" customHeight="1">
      <c r="A37" s="53" t="s">
        <v>940</v>
      </c>
    </row>
    <row r="38" spans="1:1">
      <c r="A38" s="52" t="s">
        <v>941</v>
      </c>
    </row>
    <row r="39" spans="1:1" ht="36" customHeight="1">
      <c r="A39" s="53" t="s">
        <v>942</v>
      </c>
    </row>
    <row r="40" spans="1:1">
      <c r="A40" s="51" t="s">
        <v>943</v>
      </c>
    </row>
    <row r="41" spans="1:1">
      <c r="A41" s="51" t="s">
        <v>944</v>
      </c>
    </row>
    <row r="42" spans="1:1">
      <c r="A42" s="51" t="s">
        <v>945</v>
      </c>
    </row>
    <row r="43" spans="1:1">
      <c r="A43" s="51" t="s">
        <v>946</v>
      </c>
    </row>
    <row r="44" spans="1:1">
      <c r="A44" s="51" t="s">
        <v>947</v>
      </c>
    </row>
    <row r="45" spans="1:1">
      <c r="A45" s="51" t="s">
        <v>948</v>
      </c>
    </row>
    <row r="46" spans="1:1">
      <c r="A46" s="51" t="s">
        <v>949</v>
      </c>
    </row>
    <row r="47" spans="1:1">
      <c r="A47" s="51" t="s">
        <v>950</v>
      </c>
    </row>
    <row r="48" spans="1:1">
      <c r="A48" s="51" t="s">
        <v>951</v>
      </c>
    </row>
    <row r="49" spans="1:1">
      <c r="A49" s="51" t="s">
        <v>956</v>
      </c>
    </row>
    <row r="50" spans="1:1">
      <c r="A50" s="51" t="s">
        <v>960</v>
      </c>
    </row>
    <row r="51" spans="1:1">
      <c r="A51" s="51" t="s">
        <v>962</v>
      </c>
    </row>
    <row r="52" spans="1:1">
      <c r="A52" s="51" t="s">
        <v>961</v>
      </c>
    </row>
    <row r="53" spans="1:1">
      <c r="A53" s="51" t="s">
        <v>963</v>
      </c>
    </row>
    <row r="54" spans="1:1">
      <c r="A54" s="51" t="s">
        <v>969</v>
      </c>
    </row>
    <row r="55" spans="1:1">
      <c r="A55" s="51" t="s">
        <v>970</v>
      </c>
    </row>
    <row r="57" spans="1:1">
      <c r="A57" s="623" t="s">
        <v>810</v>
      </c>
    </row>
    <row r="58" spans="1:1">
      <c r="A58" s="51" t="s">
        <v>811</v>
      </c>
    </row>
    <row r="60" spans="1:1">
      <c r="A60" s="623" t="s">
        <v>807</v>
      </c>
    </row>
    <row r="61" spans="1:1">
      <c r="A61" s="51" t="s">
        <v>808</v>
      </c>
    </row>
    <row r="62" spans="1:1">
      <c r="A62" s="51" t="s">
        <v>809</v>
      </c>
    </row>
    <row r="64" spans="1:1">
      <c r="A64" s="623" t="s">
        <v>805</v>
      </c>
    </row>
    <row r="65" spans="1:1">
      <c r="A65" s="51" t="s">
        <v>806</v>
      </c>
    </row>
    <row r="67" spans="1:1">
      <c r="A67" s="623" t="s">
        <v>803</v>
      </c>
    </row>
    <row r="68" spans="1:1">
      <c r="A68" s="51" t="s">
        <v>804</v>
      </c>
    </row>
    <row r="70" spans="1:1">
      <c r="A70" s="623" t="s">
        <v>800</v>
      </c>
    </row>
    <row r="71" spans="1:1">
      <c r="A71" s="493" t="s">
        <v>801</v>
      </c>
    </row>
    <row r="72" spans="1:1">
      <c r="A72" s="493" t="s">
        <v>802</v>
      </c>
    </row>
    <row r="74" spans="1:1">
      <c r="A74" s="398" t="s">
        <v>796</v>
      </c>
    </row>
    <row r="75" spans="1:1">
      <c r="A75" s="51" t="s">
        <v>797</v>
      </c>
    </row>
    <row r="76" spans="1:1">
      <c r="A76" s="51" t="s">
        <v>798</v>
      </c>
    </row>
    <row r="77" spans="1:1">
      <c r="A77" s="51" t="s">
        <v>799</v>
      </c>
    </row>
    <row r="79" spans="1:1">
      <c r="A79" s="398" t="s">
        <v>663</v>
      </c>
    </row>
    <row r="80" spans="1:1">
      <c r="A80" s="493" t="s">
        <v>667</v>
      </c>
    </row>
    <row r="81" spans="1:1">
      <c r="A81" s="493" t="s">
        <v>668</v>
      </c>
    </row>
    <row r="82" spans="1:1" ht="31.5">
      <c r="A82" s="492" t="s">
        <v>793</v>
      </c>
    </row>
    <row r="83" spans="1:1">
      <c r="A83" s="493" t="s">
        <v>759</v>
      </c>
    </row>
    <row r="84" spans="1:1">
      <c r="A84" s="493" t="s">
        <v>760</v>
      </c>
    </row>
    <row r="85" spans="1:1">
      <c r="A85" s="493" t="s">
        <v>761</v>
      </c>
    </row>
    <row r="86" spans="1:1">
      <c r="A86" s="493" t="s">
        <v>762</v>
      </c>
    </row>
    <row r="87" spans="1:1">
      <c r="A87" s="493" t="s">
        <v>763</v>
      </c>
    </row>
    <row r="88" spans="1:1">
      <c r="A88" s="493" t="s">
        <v>764</v>
      </c>
    </row>
    <row r="89" spans="1:1">
      <c r="A89" s="493" t="s">
        <v>765</v>
      </c>
    </row>
    <row r="90" spans="1:1">
      <c r="A90" s="493" t="s">
        <v>766</v>
      </c>
    </row>
    <row r="91" spans="1:1">
      <c r="A91" s="493" t="s">
        <v>767</v>
      </c>
    </row>
    <row r="92" spans="1:1">
      <c r="A92" s="493" t="s">
        <v>768</v>
      </c>
    </row>
    <row r="93" spans="1:1">
      <c r="A93" s="493" t="s">
        <v>769</v>
      </c>
    </row>
    <row r="94" spans="1:1">
      <c r="A94" s="493" t="s">
        <v>770</v>
      </c>
    </row>
    <row r="95" spans="1:1">
      <c r="A95" s="493" t="s">
        <v>771</v>
      </c>
    </row>
    <row r="96" spans="1:1">
      <c r="A96" s="493" t="s">
        <v>772</v>
      </c>
    </row>
    <row r="97" spans="1:1">
      <c r="A97" s="493" t="s">
        <v>773</v>
      </c>
    </row>
    <row r="98" spans="1:1">
      <c r="A98" s="493" t="s">
        <v>774</v>
      </c>
    </row>
    <row r="99" spans="1:1">
      <c r="A99" s="493" t="s">
        <v>775</v>
      </c>
    </row>
    <row r="100" spans="1:1">
      <c r="A100" s="493" t="s">
        <v>776</v>
      </c>
    </row>
    <row r="101" spans="1:1">
      <c r="A101" s="493" t="s">
        <v>777</v>
      </c>
    </row>
    <row r="102" spans="1:1">
      <c r="A102" s="493" t="s">
        <v>778</v>
      </c>
    </row>
    <row r="103" spans="1:1">
      <c r="A103" s="493" t="s">
        <v>779</v>
      </c>
    </row>
    <row r="104" spans="1:1">
      <c r="A104" s="493" t="s">
        <v>780</v>
      </c>
    </row>
    <row r="105" spans="1:1">
      <c r="A105" s="493" t="s">
        <v>781</v>
      </c>
    </row>
    <row r="106" spans="1:1">
      <c r="A106" s="493" t="s">
        <v>782</v>
      </c>
    </row>
    <row r="107" spans="1:1">
      <c r="A107" s="493" t="s">
        <v>783</v>
      </c>
    </row>
    <row r="109" spans="1:1">
      <c r="A109" s="398" t="s">
        <v>644</v>
      </c>
    </row>
    <row r="110" spans="1:1">
      <c r="A110" s="51" t="s">
        <v>645</v>
      </c>
    </row>
    <row r="111" spans="1:1">
      <c r="A111" s="51" t="s">
        <v>646</v>
      </c>
    </row>
    <row r="112" spans="1:1">
      <c r="A112" s="51" t="s">
        <v>647</v>
      </c>
    </row>
    <row r="114" spans="1:1">
      <c r="A114" s="398" t="s">
        <v>633</v>
      </c>
    </row>
    <row r="115" spans="1:1">
      <c r="A115" s="51" t="s">
        <v>634</v>
      </c>
    </row>
    <row r="116" spans="1:1">
      <c r="A116" s="51" t="s">
        <v>635</v>
      </c>
    </row>
    <row r="118" spans="1:1">
      <c r="A118" s="398" t="s">
        <v>626</v>
      </c>
    </row>
    <row r="119" spans="1:1">
      <c r="A119" s="397" t="s">
        <v>627</v>
      </c>
    </row>
    <row r="120" spans="1:1">
      <c r="A120" s="397" t="s">
        <v>628</v>
      </c>
    </row>
    <row r="121" spans="1:1">
      <c r="A121" s="397" t="s">
        <v>629</v>
      </c>
    </row>
    <row r="122" spans="1:1">
      <c r="A122" s="51" t="s">
        <v>631</v>
      </c>
    </row>
    <row r="124" spans="1:1">
      <c r="A124" s="330" t="s">
        <v>351</v>
      </c>
    </row>
    <row r="125" spans="1:1">
      <c r="A125" s="361" t="s">
        <v>374</v>
      </c>
    </row>
    <row r="126" spans="1:1" ht="21.75" customHeight="1">
      <c r="A126" s="51" t="s">
        <v>375</v>
      </c>
    </row>
    <row r="127" spans="1:1">
      <c r="A127" s="51" t="s">
        <v>376</v>
      </c>
    </row>
    <row r="128" spans="1:1" ht="31.5">
      <c r="A128" s="53" t="s">
        <v>377</v>
      </c>
    </row>
    <row r="129" spans="1:1">
      <c r="A129" s="51" t="s">
        <v>378</v>
      </c>
    </row>
    <row r="130" spans="1:1">
      <c r="A130" s="51" t="s">
        <v>379</v>
      </c>
    </row>
    <row r="131" spans="1:1">
      <c r="A131" s="51" t="s">
        <v>380</v>
      </c>
    </row>
    <row r="132" spans="1:1">
      <c r="A132" s="51" t="s">
        <v>381</v>
      </c>
    </row>
    <row r="133" spans="1:1">
      <c r="A133" s="51" t="s">
        <v>399</v>
      </c>
    </row>
    <row r="135" spans="1:1">
      <c r="A135" s="330" t="s">
        <v>339</v>
      </c>
    </row>
    <row r="136" spans="1:1">
      <c r="A136" s="51" t="s">
        <v>340</v>
      </c>
    </row>
    <row r="137" spans="1:1">
      <c r="A137" s="51" t="s">
        <v>341</v>
      </c>
    </row>
    <row r="138" spans="1:1">
      <c r="A138" s="51" t="s">
        <v>342</v>
      </c>
    </row>
    <row r="139" spans="1:1">
      <c r="A139" s="51" t="s">
        <v>343</v>
      </c>
    </row>
    <row r="141" spans="1:1">
      <c r="A141" s="330" t="s">
        <v>337</v>
      </c>
    </row>
    <row r="142" spans="1:1">
      <c r="A142" s="51" t="s">
        <v>338</v>
      </c>
    </row>
    <row r="144" spans="1:1">
      <c r="A144" s="330" t="s">
        <v>335</v>
      </c>
    </row>
    <row r="145" spans="1:1">
      <c r="A145" s="51" t="s">
        <v>336</v>
      </c>
    </row>
    <row r="147" spans="1:1">
      <c r="A147" s="330" t="s">
        <v>331</v>
      </c>
    </row>
    <row r="148" spans="1:1">
      <c r="A148" s="51" t="s">
        <v>332</v>
      </c>
    </row>
    <row r="149" spans="1:1">
      <c r="A149" s="51" t="s">
        <v>333</v>
      </c>
    </row>
    <row r="150" spans="1:1">
      <c r="A150" s="51" t="s">
        <v>334</v>
      </c>
    </row>
    <row r="152" spans="1:1">
      <c r="A152" s="330" t="s">
        <v>105</v>
      </c>
    </row>
    <row r="153" spans="1:1">
      <c r="A153" s="51" t="s">
        <v>109</v>
      </c>
    </row>
    <row r="154" spans="1:1" ht="32.25" customHeight="1">
      <c r="A154" s="51" t="s">
        <v>106</v>
      </c>
    </row>
    <row r="155" spans="1:1" ht="36" customHeight="1">
      <c r="A155" s="51" t="s">
        <v>110</v>
      </c>
    </row>
    <row r="156" spans="1:1" ht="35.25" customHeight="1">
      <c r="A156" s="51" t="s">
        <v>107</v>
      </c>
    </row>
    <row r="157" spans="1:1" ht="18" customHeight="1">
      <c r="A157" s="51" t="s">
        <v>114</v>
      </c>
    </row>
    <row r="158" spans="1:1" ht="36" customHeight="1">
      <c r="A158" s="51" t="s">
        <v>115</v>
      </c>
    </row>
    <row r="159" spans="1:1" ht="31.5">
      <c r="A159" s="53" t="s">
        <v>669</v>
      </c>
    </row>
    <row r="160" spans="1:1" ht="33.75" customHeight="1">
      <c r="A160" s="53" t="s">
        <v>111</v>
      </c>
    </row>
    <row r="161" spans="1:1" ht="18.75" customHeight="1">
      <c r="A161" s="53" t="s">
        <v>112</v>
      </c>
    </row>
    <row r="162" spans="1:1" ht="17.25" customHeight="1">
      <c r="A162" s="53" t="s">
        <v>99</v>
      </c>
    </row>
    <row r="163" spans="1:1" ht="17.25" customHeight="1">
      <c r="A163" s="53" t="s">
        <v>61</v>
      </c>
    </row>
    <row r="164" spans="1:1">
      <c r="A164" s="51" t="s">
        <v>60</v>
      </c>
    </row>
    <row r="165" spans="1:1" ht="31.5">
      <c r="A165" s="53" t="s">
        <v>102</v>
      </c>
    </row>
    <row r="166" spans="1:1">
      <c r="A166" s="51" t="s">
        <v>59</v>
      </c>
    </row>
    <row r="167" spans="1:1">
      <c r="A167" s="51" t="s">
        <v>100</v>
      </c>
    </row>
    <row r="168" spans="1:1">
      <c r="A168" s="51" t="s">
        <v>98</v>
      </c>
    </row>
    <row r="169" spans="1:1">
      <c r="A169" s="51" t="s">
        <v>58</v>
      </c>
    </row>
    <row r="170" spans="1:1" ht="31.5">
      <c r="A170" s="53" t="s">
        <v>56</v>
      </c>
    </row>
    <row r="171" spans="1:1">
      <c r="A171" s="51" t="s">
        <v>57</v>
      </c>
    </row>
    <row r="173" spans="1:1">
      <c r="A173" s="330" t="s">
        <v>94</v>
      </c>
    </row>
    <row r="174" spans="1:1">
      <c r="A174" s="51" t="s">
        <v>103</v>
      </c>
    </row>
    <row r="175" spans="1:1">
      <c r="A175" s="51" t="s">
        <v>95</v>
      </c>
    </row>
    <row r="176" spans="1:1">
      <c r="A176" s="51" t="s">
        <v>96</v>
      </c>
    </row>
    <row r="177" spans="1:1">
      <c r="A177" s="51" t="s">
        <v>670</v>
      </c>
    </row>
    <row r="178" spans="1:1" ht="18" customHeight="1">
      <c r="A178" s="330" t="s">
        <v>91</v>
      </c>
    </row>
    <row r="179" spans="1:1" ht="51" customHeight="1">
      <c r="A179" s="53" t="s">
        <v>92</v>
      </c>
    </row>
    <row r="180" spans="1:1">
      <c r="A180" s="51" t="s">
        <v>93</v>
      </c>
    </row>
    <row r="183" spans="1:1">
      <c r="A183" s="330" t="s">
        <v>327</v>
      </c>
    </row>
    <row r="184" spans="1:1" ht="47.25">
      <c r="A184" s="53" t="s">
        <v>671</v>
      </c>
    </row>
    <row r="185" spans="1:1">
      <c r="A185" s="51" t="s">
        <v>116</v>
      </c>
    </row>
    <row r="186" spans="1:1">
      <c r="A186" s="51" t="s">
        <v>328</v>
      </c>
    </row>
    <row r="187" spans="1:1">
      <c r="A187" s="51" t="s">
        <v>41</v>
      </c>
    </row>
    <row r="188" spans="1:1">
      <c r="A188" s="51" t="s">
        <v>329</v>
      </c>
    </row>
    <row r="189" spans="1:1">
      <c r="A189" s="51" t="s">
        <v>330</v>
      </c>
    </row>
    <row r="190" spans="1:1">
      <c r="A190" s="51" t="s">
        <v>0</v>
      </c>
    </row>
    <row r="191" spans="1:1">
      <c r="A191" s="51" t="s">
        <v>1</v>
      </c>
    </row>
    <row r="192" spans="1:1">
      <c r="A192" s="51" t="s">
        <v>2</v>
      </c>
    </row>
    <row r="193" spans="1:1" ht="31.5">
      <c r="A193" s="53" t="s">
        <v>10</v>
      </c>
    </row>
    <row r="194" spans="1:1" ht="31.5">
      <c r="A194" s="53" t="s">
        <v>124</v>
      </c>
    </row>
    <row r="195" spans="1:1">
      <c r="A195" s="51" t="s">
        <v>6</v>
      </c>
    </row>
    <row r="196" spans="1:1">
      <c r="A196" s="51" t="s">
        <v>11</v>
      </c>
    </row>
    <row r="197" spans="1:1">
      <c r="A197" s="51" t="s">
        <v>42</v>
      </c>
    </row>
    <row r="198" spans="1:1">
      <c r="A198" s="51" t="s">
        <v>8</v>
      </c>
    </row>
    <row r="199" spans="1:1">
      <c r="A199" s="51" t="s">
        <v>43</v>
      </c>
    </row>
    <row r="200" spans="1:1" ht="31.5">
      <c r="A200" s="53" t="s">
        <v>44</v>
      </c>
    </row>
    <row r="201" spans="1:1">
      <c r="A201" s="51" t="s">
        <v>19</v>
      </c>
    </row>
    <row r="202" spans="1:1">
      <c r="A202" s="51" t="s">
        <v>20</v>
      </c>
    </row>
    <row r="203" spans="1:1" ht="31.5">
      <c r="A203" s="53" t="s">
        <v>21</v>
      </c>
    </row>
    <row r="204" spans="1:1">
      <c r="A204" s="51" t="s">
        <v>77</v>
      </c>
    </row>
    <row r="205" spans="1:1">
      <c r="A205" s="51" t="s">
        <v>78</v>
      </c>
    </row>
    <row r="206" spans="1:1">
      <c r="A206" s="51" t="s">
        <v>79</v>
      </c>
    </row>
    <row r="207" spans="1:1">
      <c r="A207" s="51" t="s">
        <v>80</v>
      </c>
    </row>
    <row r="208" spans="1:1">
      <c r="A208" s="51" t="s">
        <v>81</v>
      </c>
    </row>
    <row r="209" spans="1:1">
      <c r="A209" s="51" t="s">
        <v>82</v>
      </c>
    </row>
    <row r="210" spans="1:1">
      <c r="A210" s="51" t="s">
        <v>83</v>
      </c>
    </row>
    <row r="211" spans="1:1">
      <c r="A211" s="51" t="s">
        <v>84</v>
      </c>
    </row>
    <row r="212" spans="1:1">
      <c r="A212" s="51" t="s">
        <v>85</v>
      </c>
    </row>
    <row r="213" spans="1:1" ht="31.5">
      <c r="A213" s="53" t="s">
        <v>86</v>
      </c>
    </row>
    <row r="214" spans="1:1">
      <c r="A214" s="51" t="s">
        <v>87</v>
      </c>
    </row>
    <row r="215" spans="1:1">
      <c r="A215" s="51" t="s">
        <v>88</v>
      </c>
    </row>
    <row r="216" spans="1:1">
      <c r="A216" s="51" t="s">
        <v>89</v>
      </c>
    </row>
    <row r="217" spans="1:1">
      <c r="A217" s="51" t="s">
        <v>90</v>
      </c>
    </row>
  </sheetData>
  <sheetProtection sheet="1"/>
  <phoneticPr fontId="10" type="noConversion"/>
  <pageMargins left="0.32" right="0.31"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6" workbookViewId="0">
      <selection activeCell="B23" sqref="B23"/>
    </sheetView>
  </sheetViews>
  <sheetFormatPr defaultRowHeight="15"/>
  <cols>
    <col min="1" max="1" width="13.77734375" customWidth="1"/>
    <col min="2" max="2" width="16.109375" customWidth="1"/>
  </cols>
  <sheetData>
    <row r="1" spans="1:10">
      <c r="J1" s="636" t="s">
        <v>812</v>
      </c>
    </row>
    <row r="2" spans="1:10" ht="54" customHeight="1">
      <c r="A2" s="782" t="s">
        <v>400</v>
      </c>
      <c r="B2" s="783"/>
      <c r="C2" s="783"/>
      <c r="D2" s="783"/>
      <c r="E2" s="783"/>
      <c r="F2" s="783"/>
      <c r="J2" s="636" t="s">
        <v>813</v>
      </c>
    </row>
    <row r="3" spans="1:10" ht="15.75">
      <c r="A3" s="1" t="s">
        <v>824</v>
      </c>
      <c r="B3" s="376" t="s">
        <v>1023</v>
      </c>
      <c r="C3" s="629"/>
      <c r="J3" s="636" t="s">
        <v>814</v>
      </c>
    </row>
    <row r="4" spans="1:10" ht="15.75">
      <c r="A4" s="1"/>
      <c r="B4" s="642"/>
      <c r="J4" s="636" t="s">
        <v>815</v>
      </c>
    </row>
    <row r="5" spans="1:10" ht="15.75">
      <c r="A5" s="1" t="s">
        <v>649</v>
      </c>
      <c r="B5" s="376" t="s">
        <v>303</v>
      </c>
      <c r="J5" s="636" t="s">
        <v>816</v>
      </c>
    </row>
    <row r="6" spans="1:10" ht="15.75">
      <c r="A6" s="374"/>
      <c r="B6" s="374"/>
      <c r="C6" s="374"/>
      <c r="D6" s="375" t="s">
        <v>402</v>
      </c>
      <c r="E6" s="374"/>
      <c r="F6" s="374"/>
      <c r="J6" s="636" t="s">
        <v>817</v>
      </c>
    </row>
    <row r="7" spans="1:10" ht="15.75">
      <c r="A7" s="375" t="s">
        <v>401</v>
      </c>
      <c r="B7" s="376" t="s">
        <v>1054</v>
      </c>
      <c r="C7" s="377"/>
      <c r="D7" s="628" t="str">
        <f ca="1">IF(B7="","",CONCATENATE("Latest date for notice to be published in your newspaper: ",G18," ",G22,", ",G23))</f>
        <v>Latest date for notice to be published in your newspaper: August 12, 2013</v>
      </c>
      <c r="E7" s="374"/>
      <c r="F7" s="374"/>
      <c r="J7" s="636" t="s">
        <v>818</v>
      </c>
    </row>
    <row r="8" spans="1:10" ht="15.75">
      <c r="A8" s="375"/>
      <c r="B8" s="378"/>
      <c r="C8" s="379"/>
      <c r="D8" s="628"/>
      <c r="E8" s="374"/>
      <c r="F8" s="374"/>
      <c r="J8" s="636" t="s">
        <v>819</v>
      </c>
    </row>
    <row r="9" spans="1:10" ht="15.75">
      <c r="A9" s="375" t="s">
        <v>403</v>
      </c>
      <c r="B9" s="629" t="s">
        <v>1049</v>
      </c>
      <c r="C9" s="380"/>
      <c r="D9" s="375"/>
      <c r="E9" s="374"/>
      <c r="F9" s="374"/>
      <c r="J9" s="636" t="s">
        <v>820</v>
      </c>
    </row>
    <row r="10" spans="1:10" ht="15.75">
      <c r="A10" s="375"/>
      <c r="B10" s="628"/>
      <c r="C10" s="375"/>
      <c r="D10" s="375"/>
      <c r="E10" s="374"/>
      <c r="F10" s="374"/>
      <c r="J10" s="636" t="s">
        <v>821</v>
      </c>
    </row>
    <row r="11" spans="1:10" ht="15.75">
      <c r="A11" s="375" t="s">
        <v>404</v>
      </c>
      <c r="B11" s="630" t="s">
        <v>1052</v>
      </c>
      <c r="C11" s="381"/>
      <c r="D11" s="381"/>
      <c r="E11" s="382"/>
      <c r="F11" s="374"/>
      <c r="J11" s="636" t="s">
        <v>822</v>
      </c>
    </row>
    <row r="12" spans="1:10" ht="15.75">
      <c r="A12" s="375"/>
      <c r="B12" s="628"/>
      <c r="C12" s="375"/>
      <c r="D12" s="375"/>
      <c r="E12" s="374"/>
      <c r="F12" s="374"/>
      <c r="J12" s="636" t="s">
        <v>823</v>
      </c>
    </row>
    <row r="13" spans="1:10" ht="15.75">
      <c r="A13" s="375"/>
      <c r="B13" s="628"/>
      <c r="C13" s="375"/>
      <c r="D13" s="375"/>
      <c r="E13" s="374"/>
      <c r="F13" s="374"/>
    </row>
    <row r="14" spans="1:10" ht="15.75">
      <c r="A14" s="375" t="s">
        <v>405</v>
      </c>
      <c r="B14" s="630" t="s">
        <v>409</v>
      </c>
      <c r="C14" s="381"/>
      <c r="D14" s="381"/>
      <c r="E14" s="382"/>
      <c r="F14" s="374"/>
    </row>
    <row r="17" spans="1:7" ht="15.75">
      <c r="A17" s="784" t="s">
        <v>406</v>
      </c>
      <c r="B17" s="784"/>
      <c r="C17" s="375"/>
      <c r="D17" s="375"/>
      <c r="E17" s="375"/>
      <c r="F17" s="374"/>
    </row>
    <row r="18" spans="1:7" ht="15.75">
      <c r="A18" s="375"/>
      <c r="B18" s="375"/>
      <c r="C18" s="375"/>
      <c r="D18" s="375"/>
      <c r="E18" s="375"/>
      <c r="F18" s="374"/>
      <c r="G18" s="636" t="str">
        <f ca="1">IF(B7="","",INDIRECT(G19))</f>
        <v>August</v>
      </c>
    </row>
    <row r="19" spans="1:7" ht="15.75">
      <c r="A19" s="375" t="s">
        <v>649</v>
      </c>
      <c r="B19" s="375" t="s">
        <v>650</v>
      </c>
      <c r="C19" s="375"/>
      <c r="D19" s="375"/>
      <c r="E19" s="375"/>
      <c r="F19" s="374"/>
      <c r="G19" s="637" t="str">
        <f>IF(B7="","",CONCATENATE("J",G21))</f>
        <v>J8</v>
      </c>
    </row>
    <row r="20" spans="1:7" ht="15.75">
      <c r="A20" s="375"/>
      <c r="B20" s="375"/>
      <c r="C20" s="375"/>
      <c r="D20" s="375"/>
      <c r="E20" s="375"/>
      <c r="F20" s="374"/>
      <c r="G20" s="638">
        <f>B7-10</f>
        <v>41498</v>
      </c>
    </row>
    <row r="21" spans="1:7" ht="15.75">
      <c r="A21" s="375" t="s">
        <v>401</v>
      </c>
      <c r="B21" s="378" t="s">
        <v>407</v>
      </c>
      <c r="C21" s="375"/>
      <c r="D21" s="375"/>
      <c r="E21" s="375"/>
      <c r="G21" s="639">
        <f>IF(B7="","",MONTH(G20))</f>
        <v>8</v>
      </c>
    </row>
    <row r="22" spans="1:7" ht="15.75">
      <c r="A22" s="375"/>
      <c r="B22" s="375"/>
      <c r="C22" s="375"/>
      <c r="D22" s="375"/>
      <c r="E22" s="375"/>
      <c r="G22" s="640">
        <f>IF(B7="","",DAY(G20))</f>
        <v>12</v>
      </c>
    </row>
    <row r="23" spans="1:7" ht="15.75">
      <c r="A23" s="375" t="s">
        <v>403</v>
      </c>
      <c r="B23" s="375" t="s">
        <v>408</v>
      </c>
      <c r="C23" s="375"/>
      <c r="D23" s="375"/>
      <c r="E23" s="375"/>
      <c r="G23" s="641">
        <f>IF(B7="","",YEAR(G20))</f>
        <v>2013</v>
      </c>
    </row>
    <row r="24" spans="1:7" ht="15.75">
      <c r="A24" s="375"/>
      <c r="B24" s="375"/>
      <c r="C24" s="375"/>
      <c r="D24" s="375"/>
      <c r="E24" s="375"/>
    </row>
    <row r="25" spans="1:7" ht="15.75">
      <c r="A25" s="375" t="s">
        <v>404</v>
      </c>
      <c r="B25" s="375" t="s">
        <v>409</v>
      </c>
      <c r="C25" s="375"/>
      <c r="D25" s="375"/>
      <c r="E25" s="375"/>
    </row>
    <row r="26" spans="1:7" ht="15.75">
      <c r="A26" s="375"/>
      <c r="B26" s="375"/>
      <c r="C26" s="375"/>
      <c r="D26" s="375"/>
      <c r="E26" s="375"/>
    </row>
    <row r="27" spans="1:7" ht="15.75">
      <c r="A27" s="375" t="s">
        <v>405</v>
      </c>
      <c r="B27" s="375" t="s">
        <v>409</v>
      </c>
      <c r="C27" s="375"/>
      <c r="D27" s="375"/>
      <c r="E27" s="375"/>
    </row>
  </sheetData>
  <sheetProtection sheet="1"/>
  <mergeCells count="2">
    <mergeCell ref="A2:F2"/>
    <mergeCell ref="A17:B17"/>
  </mergeCells>
  <pageMargins left="0.7" right="0.7" top="0.75" bottom="0.75" header="0.3" footer="0.3"/>
  <pageSetup scale="6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abSelected="1" workbookViewId="0">
      <selection activeCell="Q25" sqref="Q25"/>
    </sheetView>
  </sheetViews>
  <sheetFormatPr defaultRowHeight="15" customHeight="1"/>
  <cols>
    <col min="1" max="1" width="24.44140625" style="162" customWidth="1"/>
    <col min="2" max="2" width="11.33203125" style="162" customWidth="1"/>
    <col min="3" max="3" width="5.77734375" style="162" customWidth="1"/>
    <col min="4" max="4" width="13.88671875" style="162" customWidth="1"/>
    <col min="5" max="5" width="14" style="162" customWidth="1"/>
    <col min="6" max="6" width="13" style="162" customWidth="1"/>
    <col min="7" max="16384" width="8.88671875" style="162"/>
  </cols>
  <sheetData>
    <row r="1" spans="1:6" ht="15" customHeight="1">
      <c r="A1" s="160"/>
      <c r="B1" s="160"/>
      <c r="C1" s="160"/>
      <c r="D1" s="160"/>
      <c r="E1" s="160"/>
      <c r="F1" s="161">
        <f>inputPrYr!$C$5</f>
        <v>2014</v>
      </c>
    </row>
    <row r="2" spans="1:6" ht="15" customHeight="1">
      <c r="A2" s="64"/>
      <c r="B2" s="64"/>
      <c r="C2" s="66" t="s">
        <v>220</v>
      </c>
      <c r="D2" s="64"/>
      <c r="E2" s="64"/>
      <c r="F2" s="163"/>
    </row>
    <row r="3" spans="1:6" s="65" customFormat="1" ht="15" customHeight="1">
      <c r="A3" s="785" t="str">
        <f>CONCATENATE("To the Clerk of ",inputPrYr!D3,", State of Kansas")</f>
        <v>To the Clerk of Jackson County, State of Kansas</v>
      </c>
      <c r="B3" s="777"/>
      <c r="C3" s="777"/>
      <c r="D3" s="777"/>
      <c r="E3" s="777"/>
      <c r="F3" s="777"/>
    </row>
    <row r="4" spans="1:6" s="65" customFormat="1" ht="15" customHeight="1">
      <c r="A4" s="74" t="s">
        <v>648</v>
      </c>
      <c r="B4" s="73"/>
      <c r="C4" s="73"/>
      <c r="D4" s="73"/>
      <c r="E4" s="73"/>
      <c r="F4" s="73"/>
    </row>
    <row r="5" spans="1:6" s="65" customFormat="1" ht="15" customHeight="1">
      <c r="A5" s="64"/>
      <c r="B5" s="64"/>
      <c r="C5" s="432" t="str">
        <f>(inputPrYr!D2)</f>
        <v>City of Circleville</v>
      </c>
      <c r="D5" s="64"/>
      <c r="E5" s="64"/>
      <c r="F5" s="64"/>
    </row>
    <row r="6" spans="1:6" s="65" customFormat="1" ht="15" customHeight="1">
      <c r="A6" s="74" t="s">
        <v>139</v>
      </c>
      <c r="B6" s="73"/>
      <c r="C6" s="73"/>
      <c r="D6" s="73"/>
      <c r="E6" s="73"/>
      <c r="F6" s="73"/>
    </row>
    <row r="7" spans="1:6" s="65" customFormat="1" ht="15" customHeight="1">
      <c r="A7" s="74" t="s">
        <v>140</v>
      </c>
      <c r="B7" s="73"/>
      <c r="C7" s="73"/>
      <c r="D7" s="73"/>
      <c r="E7" s="73"/>
      <c r="F7" s="73"/>
    </row>
    <row r="8" spans="1:6" s="65" customFormat="1" ht="15" customHeight="1">
      <c r="A8" s="74" t="str">
        <f>CONCATENATE("maximum expenditure for the various funds for the year ",D11,"; and")</f>
        <v>maximum expenditure for the various funds for the year 2014; and</v>
      </c>
      <c r="B8" s="73"/>
      <c r="C8" s="73"/>
      <c r="D8" s="73"/>
      <c r="E8" s="73"/>
      <c r="F8" s="73"/>
    </row>
    <row r="9" spans="1:6" s="65" customFormat="1" ht="15" customHeight="1">
      <c r="A9" s="74" t="str">
        <f>CONCATENATE("(3) the Amount(s) of ",F1-1," Ad Valorem Tax are within statutory limitations.")</f>
        <v>(3) the Amount(s) of 2013 Ad Valorem Tax are within statutory limitations.</v>
      </c>
      <c r="B9" s="73"/>
      <c r="C9" s="73"/>
      <c r="D9" s="73"/>
      <c r="E9" s="73"/>
      <c r="F9" s="73"/>
    </row>
    <row r="10" spans="1:6" ht="15" customHeight="1">
      <c r="A10" s="165"/>
      <c r="B10" s="166"/>
      <c r="C10" s="166"/>
      <c r="D10" s="167"/>
      <c r="E10" s="166"/>
      <c r="F10" s="166"/>
    </row>
    <row r="11" spans="1:6" ht="15" customHeight="1">
      <c r="A11" s="64"/>
      <c r="B11" s="64"/>
      <c r="C11" s="168"/>
      <c r="D11" s="169">
        <f>inputPrYr!$C$5</f>
        <v>2014</v>
      </c>
      <c r="E11" s="170" t="s">
        <v>165</v>
      </c>
      <c r="F11" s="171"/>
    </row>
    <row r="12" spans="1:6" ht="16.5" customHeight="1">
      <c r="A12" s="166"/>
      <c r="B12" s="64"/>
      <c r="C12" s="172"/>
      <c r="D12" s="174"/>
      <c r="E12" s="786" t="str">
        <f>CONCATENATE("Amount of ",$F$1-1," Ad Valorem Tax")</f>
        <v>Amount of 2013 Ad Valorem Tax</v>
      </c>
      <c r="F12" s="174" t="s">
        <v>142</v>
      </c>
    </row>
    <row r="13" spans="1:6" ht="14.25" customHeight="1">
      <c r="A13" s="64"/>
      <c r="B13" s="64"/>
      <c r="C13" s="174" t="s">
        <v>143</v>
      </c>
      <c r="D13" s="175" t="s">
        <v>51</v>
      </c>
      <c r="E13" s="787"/>
      <c r="F13" s="175" t="s">
        <v>144</v>
      </c>
    </row>
    <row r="14" spans="1:6" ht="14.25" customHeight="1">
      <c r="A14" s="176" t="s">
        <v>145</v>
      </c>
      <c r="B14" s="103"/>
      <c r="C14" s="177" t="s">
        <v>146</v>
      </c>
      <c r="D14" s="177" t="s">
        <v>660</v>
      </c>
      <c r="E14" s="788"/>
      <c r="F14" s="177" t="s">
        <v>148</v>
      </c>
    </row>
    <row r="15" spans="1:6" ht="15" customHeight="1">
      <c r="A15" s="178" t="s">
        <v>313</v>
      </c>
      <c r="B15" s="179">
        <f>inputPrYr!$C$5</f>
        <v>2014</v>
      </c>
      <c r="C15" s="180">
        <v>2</v>
      </c>
      <c r="D15" s="96"/>
      <c r="E15" s="96"/>
      <c r="F15" s="181"/>
    </row>
    <row r="16" spans="1:6" ht="15" customHeight="1">
      <c r="A16" s="173" t="s">
        <v>965</v>
      </c>
      <c r="B16" s="182"/>
      <c r="C16" s="180">
        <v>3</v>
      </c>
      <c r="D16" s="96"/>
      <c r="E16" s="96"/>
      <c r="F16" s="168"/>
    </row>
    <row r="17" spans="1:7" ht="15" customHeight="1">
      <c r="A17" s="178" t="s">
        <v>288</v>
      </c>
      <c r="B17" s="116"/>
      <c r="C17" s="183">
        <v>4</v>
      </c>
      <c r="D17" s="96"/>
      <c r="E17" s="96"/>
      <c r="F17" s="168"/>
    </row>
    <row r="18" spans="1:7" ht="15" customHeight="1">
      <c r="A18" s="178" t="s">
        <v>149</v>
      </c>
      <c r="B18" s="116"/>
      <c r="C18" s="183">
        <v>5</v>
      </c>
      <c r="D18" s="96"/>
      <c r="E18" s="96"/>
      <c r="F18" s="168"/>
    </row>
    <row r="19" spans="1:7" ht="15" customHeight="1">
      <c r="A19" s="178" t="s">
        <v>150</v>
      </c>
      <c r="B19" s="116"/>
      <c r="C19" s="183">
        <v>6</v>
      </c>
      <c r="D19" s="96"/>
      <c r="E19" s="96"/>
      <c r="F19" s="168"/>
      <c r="G19" s="184"/>
    </row>
    <row r="20" spans="1:7" ht="15" customHeight="1">
      <c r="A20" s="278" t="str">
        <f>IF(inputPrYr!D19="","","Computation to Determine State Library Grant")</f>
        <v>Computation to Determine State Library Grant</v>
      </c>
      <c r="B20" s="103"/>
      <c r="C20" s="183">
        <f>IF(inputPrYr!D19="","",'Library Grant'!F40)</f>
        <v>7</v>
      </c>
      <c r="D20" s="96"/>
      <c r="E20" s="96"/>
      <c r="F20" s="168"/>
      <c r="G20" s="184"/>
    </row>
    <row r="21" spans="1:7" ht="15" customHeight="1">
      <c r="A21" s="185" t="s">
        <v>151</v>
      </c>
      <c r="B21" s="186" t="s">
        <v>152</v>
      </c>
      <c r="C21" s="187"/>
      <c r="D21" s="96"/>
      <c r="E21" s="96"/>
      <c r="F21" s="168"/>
    </row>
    <row r="22" spans="1:7" ht="15" customHeight="1">
      <c r="A22" s="85" t="s">
        <v>131</v>
      </c>
      <c r="B22" s="188" t="str">
        <f>inputPrYr!C17</f>
        <v>12-101a</v>
      </c>
      <c r="C22" s="180">
        <f>IF(general!C71&gt;0,general!C71,"")</f>
        <v>7</v>
      </c>
      <c r="D22" s="428">
        <f>IF((general!$E$61)&lt;&gt;0,general!$E$61,"")</f>
        <v>53075</v>
      </c>
      <c r="E22" s="650">
        <f>IF((general!$E$68)&lt;&gt;0,(general!$E$68),0)</f>
        <v>7232.0199999999895</v>
      </c>
      <c r="F22" s="654" t="str">
        <f t="shared" ref="F22:F28" si="0">IF($F$39=0,"",ROUND(E22/$F$39*1000,3))</f>
        <v/>
      </c>
    </row>
    <row r="23" spans="1:7" ht="15" customHeight="1">
      <c r="A23" s="85" t="s">
        <v>108</v>
      </c>
      <c r="B23" s="188" t="s">
        <v>312</v>
      </c>
      <c r="C23" s="180">
        <f>IF('DebtSvs-Library'!C83&gt;0,'DebtSvs-Library'!C83,"")</f>
        <v>8</v>
      </c>
      <c r="D23" s="428">
        <f>IF(('DebtSvs-Library'!$E$33)&lt;&gt;0,('DebtSvs-Library'!$E$33),"")</f>
        <v>6005</v>
      </c>
      <c r="E23" s="650">
        <f>IF(('DebtSvs-Library'!$E$40)&lt;&gt;0,('DebtSvs-Library'!$E$40),0)</f>
        <v>0</v>
      </c>
      <c r="F23" s="654" t="str">
        <f t="shared" si="0"/>
        <v/>
      </c>
    </row>
    <row r="24" spans="1:7" ht="15" customHeight="1">
      <c r="A24" s="108" t="str">
        <f>IF((inputPrYr!$B19&gt;"  "),(inputPrYr!$B19),"  ")</f>
        <v>Library</v>
      </c>
      <c r="B24" s="188" t="str">
        <f>IF((inputPrYr!$C19&gt;"  "),(inputPrYr!$C19),"  ")</f>
        <v>12-1220</v>
      </c>
      <c r="C24" s="180">
        <f>IF('DebtSvs-Library'!C83&gt;0,'DebtSvs-Library'!C83,"")</f>
        <v>8</v>
      </c>
      <c r="D24" s="428" t="str">
        <f>IF(('DebtSvs-Library'!$E$73)&lt;&gt;0,('DebtSvs-Library'!$E$73),"")</f>
        <v/>
      </c>
      <c r="E24" s="650">
        <f>IF(('DebtSvs-Library'!$E$80)&lt;&gt;0,('DebtSvs-Library'!$E$80),0)</f>
        <v>0</v>
      </c>
      <c r="F24" s="654" t="str">
        <f t="shared" si="0"/>
        <v/>
      </c>
    </row>
    <row r="25" spans="1:7" ht="15" customHeight="1">
      <c r="A25" s="108" t="str">
        <f>IF((inputPrYr!$B21&gt;"  "),(inputPrYr!$B21),"  ")</f>
        <v xml:space="preserve">  </v>
      </c>
      <c r="B25" s="188" t="str">
        <f>IF((inputPrYr!$C21&gt;"  "),(inputPrYr!$C21),"  ")</f>
        <v xml:space="preserve">  </v>
      </c>
      <c r="C25" s="180">
        <f>IF('levy page9'!C83&gt;0,'levy page9'!C83," ")</f>
        <v>9</v>
      </c>
      <c r="D25" s="428" t="str">
        <f>IF(('levy page9'!$E$33)&lt;&gt;0,('levy page9'!$E$33),"")</f>
        <v/>
      </c>
      <c r="E25" s="650">
        <f>IF(('levy page9'!$E$40)&lt;&gt;0,('levy page9'!$E$40),0)</f>
        <v>0</v>
      </c>
      <c r="F25" s="654" t="str">
        <f t="shared" si="0"/>
        <v/>
      </c>
    </row>
    <row r="26" spans="1:7" ht="15" customHeight="1">
      <c r="A26" s="108" t="str">
        <f>IF((inputPrYr!$B22&gt;"  "),(inputPrYr!$B22),"  ")</f>
        <v>Water Bond and Interest</v>
      </c>
      <c r="B26" s="188" t="str">
        <f>IF((inputPrYr!$C22&gt;"  "),(inputPrYr!$C22),"  ")</f>
        <v xml:space="preserve">  </v>
      </c>
      <c r="C26" s="180">
        <f>IF('levy page9'!C83&gt;0,'levy page9'!C83," ")</f>
        <v>9</v>
      </c>
      <c r="D26" s="428">
        <f>IF(('levy page9'!$E$73)&lt;&gt;0,('levy page9'!$E$73),"")</f>
        <v>13612</v>
      </c>
      <c r="E26" s="650">
        <f>IF(('levy page9'!$E$80)&lt;&gt;0,('levy page9'!$E$80),0)</f>
        <v>0</v>
      </c>
      <c r="F26" s="654" t="str">
        <f t="shared" si="0"/>
        <v/>
      </c>
    </row>
    <row r="27" spans="1:7" ht="15" customHeight="1">
      <c r="A27" s="108" t="str">
        <f>IF((inputPrYr!$B23&gt;"  "),(inputPrYr!$B23),"  ")</f>
        <v xml:space="preserve">  </v>
      </c>
      <c r="B27" s="188" t="str">
        <f>IF((inputPrYr!$C23&gt;"  "),(inputPrYr!$C23),"  ")</f>
        <v xml:space="preserve">  </v>
      </c>
      <c r="C27" s="180" t="str">
        <f>IF('levy page10'!C83&gt;0,'levy page10'!C83," ")</f>
        <v xml:space="preserve"> </v>
      </c>
      <c r="D27" s="428" t="str">
        <f>IF(('levy page10'!$E$33)&lt;&gt;0,('levy page10'!$E$33),"")</f>
        <v/>
      </c>
      <c r="E27" s="650">
        <f>IF(('levy page10'!$E$40)&lt;&gt;0,('levy page10'!$E$40),0)</f>
        <v>0</v>
      </c>
      <c r="F27" s="654" t="str">
        <f t="shared" si="0"/>
        <v/>
      </c>
    </row>
    <row r="28" spans="1:7" ht="15" customHeight="1">
      <c r="A28" s="108" t="str">
        <f>IF((inputPrYr!$B24&gt;"  "),(inputPrYr!$B24),"  ")</f>
        <v xml:space="preserve">  </v>
      </c>
      <c r="B28" s="188" t="str">
        <f>IF((inputPrYr!$C24&gt;"  "),(inputPrYr!$C24),"  ")</f>
        <v xml:space="preserve">  </v>
      </c>
      <c r="C28" s="180" t="str">
        <f>IF('levy page10'!C83&gt;0,'levy page10'!C83," ")</f>
        <v xml:space="preserve"> </v>
      </c>
      <c r="D28" s="428" t="str">
        <f>IF(('levy page10'!$E$73)&lt;&gt;0,('levy page10'!$E$73),"")</f>
        <v/>
      </c>
      <c r="E28" s="650">
        <f>IF(('levy page10'!$E$80)&lt;&gt;0,('levy page10'!$E$80),0)</f>
        <v>0</v>
      </c>
      <c r="F28" s="654" t="str">
        <f t="shared" si="0"/>
        <v/>
      </c>
    </row>
    <row r="29" spans="1:7" ht="15" customHeight="1">
      <c r="A29" s="190" t="str">
        <f>IF((inputPrYr!$B28&gt;"  "),(inputPrYr!$B28),"  ")</f>
        <v>Special Highway</v>
      </c>
      <c r="B29" s="116"/>
      <c r="C29" s="183">
        <f>IF(SpecHwy!C66&gt;0,SpecHwy!C66," ")</f>
        <v>10</v>
      </c>
      <c r="D29" s="428">
        <f>IF((SpecHwy!$E$24)&lt;&gt;0,(SpecHwy!$E$24),"")</f>
        <v>7400</v>
      </c>
      <c r="E29" s="237"/>
      <c r="F29" s="187"/>
    </row>
    <row r="30" spans="1:7" ht="15" customHeight="1">
      <c r="A30" s="190" t="str">
        <f>IF((inputPrYr!$B29&gt;"  "),(inputPrYr!$B29),"  ")</f>
        <v>Water</v>
      </c>
      <c r="B30" s="116"/>
      <c r="C30" s="183">
        <f>IF(SpecHwy!C66&gt;0,SpecHwy!C66," ")</f>
        <v>10</v>
      </c>
      <c r="D30" s="428">
        <f>IF((SpecHwy!$E$60)&lt;&gt;0,(SpecHwy!$E$60),"")</f>
        <v>60930</v>
      </c>
      <c r="E30" s="237"/>
      <c r="F30" s="187"/>
    </row>
    <row r="31" spans="1:7" ht="15" customHeight="1">
      <c r="A31" s="191" t="str">
        <f>IF((inputPrYr!$B30&gt;"  "),(inputPrYr!$B30),"  ")</f>
        <v>Sewer</v>
      </c>
      <c r="B31" s="116"/>
      <c r="C31" s="183">
        <f>IF('no levy page12'!C68&gt;0,'no levy page12'!C68," ")</f>
        <v>11</v>
      </c>
      <c r="D31" s="428">
        <f>IF(('no levy page12'!$E$30)&lt;&gt;0,('no levy page12'!$E$30),"")</f>
        <v>21870</v>
      </c>
      <c r="E31" s="237"/>
      <c r="F31" s="187"/>
    </row>
    <row r="32" spans="1:7" ht="15" customHeight="1">
      <c r="A32" s="191" t="str">
        <f>IF((inputPrYr!$B31&gt;"  "),(inputPrYr!$B31),"  ")</f>
        <v>Park</v>
      </c>
      <c r="B32" s="116"/>
      <c r="C32" s="183">
        <f>IF('no levy page12'!C68&gt;0,'no levy page12'!C68," ")</f>
        <v>11</v>
      </c>
      <c r="D32" s="428">
        <f>IF(('no levy page12'!$E$62)&lt;&gt;0,('no levy page12'!$E$62),"")</f>
        <v>3700</v>
      </c>
      <c r="E32" s="237"/>
      <c r="F32" s="187"/>
    </row>
    <row r="33" spans="1:6" ht="15" customHeight="1">
      <c r="A33" s="191" t="str">
        <f>IF((inputPrYr!$B32&gt;"  "),(inputPrYr!$B32),"  ")</f>
        <v>Solid Waste</v>
      </c>
      <c r="B33" s="116"/>
      <c r="C33" s="183">
        <f>IF('no levy page13'!C68&gt;0,'no levy page13'!C68," ")</f>
        <v>12</v>
      </c>
      <c r="D33" s="428">
        <f>IF(('no levy page13'!$E$30)&lt;&gt;0,('no levy page13'!$E$30),"")</f>
        <v>16350</v>
      </c>
      <c r="E33" s="237"/>
      <c r="F33" s="187"/>
    </row>
    <row r="34" spans="1:6" ht="15" customHeight="1">
      <c r="A34" s="192" t="str">
        <f>IF((inputPrYr!$B33&gt;"  "),(inputPrYr!$B33),"  ")</f>
        <v>Capital Improvements</v>
      </c>
      <c r="B34" s="116"/>
      <c r="C34" s="183">
        <f>IF('no levy page13'!C68&gt;0,'no levy page13'!C68," ")</f>
        <v>12</v>
      </c>
      <c r="D34" s="428" t="str">
        <f>IF(('no levy page13'!$E$62)&lt;&gt;0,('no levy page13'!$E$62),"")</f>
        <v/>
      </c>
      <c r="E34" s="237"/>
      <c r="F34" s="187"/>
    </row>
    <row r="35" spans="1:6" ht="15" customHeight="1">
      <c r="A35" s="191" t="str">
        <f>IF((inputPrYr!$B35&gt;"  "),(inputPrYr!$B35),"  ")</f>
        <v xml:space="preserve">  </v>
      </c>
      <c r="B35" s="116"/>
      <c r="C35" s="183" t="str">
        <f>IF(Sinnolevy14!C57&gt;0,Sinnolevy14!C57," ")</f>
        <v xml:space="preserve"> </v>
      </c>
      <c r="D35" s="428" t="str">
        <f>IF((Sinnolevy14!$E$51)&lt;&gt;0,(Sinnolevy14!$E$51),"")</f>
        <v/>
      </c>
      <c r="E35" s="237"/>
      <c r="F35" s="187"/>
    </row>
    <row r="36" spans="1:6" ht="15" customHeight="1" thickBot="1">
      <c r="A36" s="190" t="str">
        <f>IF((inputPrYr!$B38&gt;"  "),(nonbud!$A3),"  ")</f>
        <v xml:space="preserve">  </v>
      </c>
      <c r="B36" s="116"/>
      <c r="C36" s="183" t="str">
        <f>IF(nonbud!F33&gt;0,nonbud!F33," ")</f>
        <v xml:space="preserve"> </v>
      </c>
      <c r="D36" s="651"/>
      <c r="E36" s="652"/>
      <c r="F36" s="584"/>
    </row>
    <row r="37" spans="1:6" ht="16.5" customHeight="1">
      <c r="A37" s="289" t="s">
        <v>758</v>
      </c>
      <c r="B37" s="115"/>
      <c r="C37" s="431" t="s">
        <v>153</v>
      </c>
      <c r="D37" s="653">
        <f>SUM(D22:D35)</f>
        <v>182942</v>
      </c>
      <c r="E37" s="653">
        <f>SUM(E22:E35)</f>
        <v>7232.0199999999895</v>
      </c>
      <c r="F37" s="583" t="str">
        <f>IF(SUM(F22:F36)=0,"",SUM(F22:F36))</f>
        <v/>
      </c>
    </row>
    <row r="38" spans="1:6" ht="16.5" customHeight="1">
      <c r="A38" s="438" t="s">
        <v>36</v>
      </c>
      <c r="B38" s="437"/>
      <c r="C38" s="436"/>
      <c r="D38" s="435"/>
      <c r="E38" s="434" t="str">
        <f>IF(E37&gt;computation!J40,"Yes","No")</f>
        <v>No</v>
      </c>
      <c r="F38" s="430" t="s">
        <v>293</v>
      </c>
    </row>
    <row r="39" spans="1:6" ht="15" customHeight="1">
      <c r="A39" s="173" t="s">
        <v>25</v>
      </c>
      <c r="B39" s="182"/>
      <c r="C39" s="175">
        <f>summ!D51</f>
        <v>13</v>
      </c>
      <c r="D39" s="194"/>
      <c r="E39" s="64"/>
      <c r="F39" s="433"/>
    </row>
    <row r="40" spans="1:6" ht="15" customHeight="1">
      <c r="A40" s="85" t="s">
        <v>122</v>
      </c>
      <c r="B40" s="86"/>
      <c r="C40" s="180" t="str">
        <f>IF(Nhood!C32&gt;0,Nhood!C32,"")</f>
        <v/>
      </c>
      <c r="D40" s="194"/>
      <c r="E40" s="64"/>
      <c r="F40" s="791" t="str">
        <f>CONCATENATE("Nov 1, ",F1-1," Total Assessed Valuation")</f>
        <v>Nov 1, 2013 Total Assessed Valuation</v>
      </c>
    </row>
    <row r="41" spans="1:6" ht="15" customHeight="1">
      <c r="A41" s="467"/>
      <c r="B41" s="465"/>
      <c r="C41" s="468"/>
      <c r="D41" s="469"/>
      <c r="E41" s="470"/>
      <c r="F41" s="792"/>
    </row>
    <row r="42" spans="1:6" ht="15" customHeight="1">
      <c r="A42" s="69" t="s">
        <v>154</v>
      </c>
      <c r="B42" s="96"/>
      <c r="C42" s="195"/>
      <c r="D42" s="96"/>
      <c r="E42" s="64"/>
      <c r="F42" s="64"/>
    </row>
    <row r="43" spans="1:6" ht="15" customHeight="1">
      <c r="A43" s="372"/>
      <c r="B43" s="64"/>
      <c r="C43" s="64"/>
      <c r="D43" s="465"/>
      <c r="E43" s="466"/>
      <c r="F43" s="64"/>
    </row>
    <row r="44" spans="1:6" ht="15" customHeight="1">
      <c r="A44" s="196"/>
      <c r="B44" s="64"/>
      <c r="C44" s="481" t="s">
        <v>835</v>
      </c>
      <c r="D44" s="96"/>
      <c r="E44" s="481"/>
      <c r="F44" s="481"/>
    </row>
    <row r="45" spans="1:6" ht="15" customHeight="1">
      <c r="A45" s="64" t="s">
        <v>310</v>
      </c>
      <c r="B45" s="96"/>
      <c r="C45" s="96"/>
      <c r="D45" s="96"/>
      <c r="E45" s="96"/>
      <c r="F45" s="96"/>
    </row>
    <row r="46" spans="1:6" ht="15" customHeight="1">
      <c r="A46" s="372"/>
      <c r="B46" s="371"/>
      <c r="C46" s="481" t="s">
        <v>835</v>
      </c>
      <c r="D46" s="96"/>
      <c r="E46" s="96"/>
      <c r="F46" s="96"/>
    </row>
    <row r="47" spans="1:6" ht="15" customHeight="1">
      <c r="A47" s="196"/>
      <c r="B47" s="96"/>
      <c r="C47" s="99"/>
      <c r="D47" s="96"/>
      <c r="E47" s="96"/>
      <c r="F47" s="96"/>
    </row>
    <row r="48" spans="1:6" ht="15" customHeight="1">
      <c r="A48" s="96" t="s">
        <v>964</v>
      </c>
      <c r="B48" s="64"/>
      <c r="C48" s="481" t="s">
        <v>835</v>
      </c>
      <c r="D48" s="96"/>
      <c r="E48" s="655"/>
      <c r="F48" s="655"/>
    </row>
    <row r="49" spans="1:6" ht="15" customHeight="1">
      <c r="A49" s="372"/>
      <c r="B49" s="69"/>
      <c r="C49" s="96"/>
      <c r="D49" s="96"/>
      <c r="E49" s="655"/>
      <c r="F49" s="655"/>
    </row>
    <row r="50" spans="1:6" ht="15" customHeight="1">
      <c r="A50" s="371"/>
      <c r="B50" s="64"/>
      <c r="C50" s="481" t="s">
        <v>835</v>
      </c>
      <c r="D50" s="96"/>
      <c r="E50" s="655"/>
      <c r="F50" s="655"/>
    </row>
    <row r="51" spans="1:6" ht="15" customHeight="1">
      <c r="A51" s="64"/>
      <c r="B51" s="64"/>
      <c r="C51" s="96"/>
      <c r="D51" s="96"/>
      <c r="E51" s="655"/>
      <c r="F51" s="655"/>
    </row>
    <row r="52" spans="1:6" ht="15" customHeight="1">
      <c r="A52" s="70" t="s">
        <v>24</v>
      </c>
      <c r="B52" s="197">
        <f>inputPrYr!$C$5-1</f>
        <v>2013</v>
      </c>
      <c r="C52" s="481" t="s">
        <v>835</v>
      </c>
      <c r="D52" s="96"/>
      <c r="E52" s="655"/>
      <c r="F52" s="655"/>
    </row>
    <row r="53" spans="1:6" ht="15" customHeight="1">
      <c r="A53" s="64"/>
      <c r="B53" s="64"/>
      <c r="C53" s="655"/>
      <c r="D53" s="655"/>
      <c r="E53" s="656"/>
      <c r="F53" s="657"/>
    </row>
    <row r="54" spans="1:6" ht="15" customHeight="1">
      <c r="A54" s="589"/>
      <c r="B54" s="64"/>
      <c r="C54" s="481" t="s">
        <v>835</v>
      </c>
      <c r="D54" s="96"/>
      <c r="E54" s="655"/>
      <c r="F54" s="655"/>
    </row>
    <row r="55" spans="1:6" ht="15" customHeight="1">
      <c r="A55" s="83" t="s">
        <v>156</v>
      </c>
      <c r="B55" s="64"/>
      <c r="C55" s="789" t="s">
        <v>155</v>
      </c>
      <c r="D55" s="790"/>
      <c r="E55" s="790"/>
      <c r="F55" s="790"/>
    </row>
    <row r="56" spans="1:6" ht="15" customHeight="1">
      <c r="A56" s="51"/>
      <c r="B56" s="199"/>
    </row>
    <row r="58" spans="1:6" ht="15" customHeight="1">
      <c r="D58" s="200"/>
    </row>
    <row r="59" spans="1:6" ht="15" customHeight="1">
      <c r="A59" s="51"/>
      <c r="B59" s="51"/>
      <c r="C59" s="51"/>
      <c r="D59" s="51"/>
      <c r="E59" s="51"/>
      <c r="F59" s="51"/>
    </row>
    <row r="60" spans="1:6" ht="15" customHeight="1">
      <c r="A60" s="51"/>
      <c r="B60" s="51"/>
      <c r="C60" s="51"/>
      <c r="D60" s="51"/>
      <c r="E60" s="51"/>
      <c r="F60" s="51"/>
    </row>
    <row r="61" spans="1:6" ht="15" customHeight="1">
      <c r="A61" s="51"/>
    </row>
    <row r="62" spans="1:6" ht="15" customHeight="1">
      <c r="A62" s="51"/>
    </row>
    <row r="63" spans="1:6" ht="15" hidden="1" customHeight="1">
      <c r="D63" s="440" t="e">
        <f>inputOth!#REF!</f>
        <v>#REF!</v>
      </c>
    </row>
  </sheetData>
  <sheetProtection sheet="1"/>
  <mergeCells count="4">
    <mergeCell ref="A3:F3"/>
    <mergeCell ref="E12:E14"/>
    <mergeCell ref="C55:F55"/>
    <mergeCell ref="F40:F41"/>
  </mergeCells>
  <phoneticPr fontId="0" type="noConversion"/>
  <pageMargins left="1" right="0.5" top="1" bottom="0.5" header="0.5" footer="0.5"/>
  <pageSetup scale="82" orientation="portrait" blackAndWhite="1" r:id="rId1"/>
  <headerFooter alignWithMargins="0">
    <oddHeader xml:space="preserve">&amp;RState of Kansas
City
</oddHeader>
    <oddFooter>&amp;CPage No.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85" workbookViewId="0">
      <selection activeCell="J1" sqref="J1"/>
    </sheetView>
  </sheetViews>
  <sheetFormatPr defaultRowHeight="15.95" customHeight="1"/>
  <cols>
    <col min="1" max="2" width="3.33203125" style="51" customWidth="1"/>
    <col min="3" max="3" width="31.33203125" style="51" customWidth="1"/>
    <col min="4" max="4" width="2.33203125" style="51" customWidth="1"/>
    <col min="5" max="5" width="15.77734375" style="51" customWidth="1"/>
    <col min="6" max="6" width="2" style="51" customWidth="1"/>
    <col min="7" max="7" width="15.77734375" style="51" customWidth="1"/>
    <col min="8" max="8" width="1.88671875" style="51" customWidth="1"/>
    <col min="9" max="9" width="1.77734375" style="51" customWidth="1"/>
    <col min="10" max="10" width="15.77734375" style="51" customWidth="1"/>
    <col min="11" max="16384" width="8.88671875" style="51"/>
  </cols>
  <sheetData>
    <row r="1" spans="1:10" ht="15.95" customHeight="1">
      <c r="A1" s="64"/>
      <c r="B1" s="64"/>
      <c r="C1" s="201" t="str">
        <f>inputPrYr!D2</f>
        <v>City of Circleville</v>
      </c>
      <c r="D1" s="64"/>
      <c r="E1" s="64"/>
      <c r="F1" s="64"/>
      <c r="G1" s="64"/>
      <c r="H1" s="64"/>
      <c r="I1" s="64"/>
      <c r="J1" s="161">
        <f>inputPrYr!$C$5</f>
        <v>2014</v>
      </c>
    </row>
    <row r="2" spans="1:10" ht="15.95" customHeight="1">
      <c r="A2" s="64"/>
      <c r="B2" s="64"/>
      <c r="C2" s="64"/>
      <c r="D2" s="64"/>
      <c r="E2" s="64"/>
      <c r="F2" s="64"/>
      <c r="G2" s="64"/>
      <c r="H2" s="64"/>
      <c r="I2" s="64"/>
      <c r="J2" s="64"/>
    </row>
    <row r="3" spans="1:10" ht="15.75">
      <c r="A3" s="795" t="str">
        <f>CONCATENATE("Computation to Determine Limit for ",J1)</f>
        <v>Computation to Determine Limit for 2014</v>
      </c>
      <c r="B3" s="796"/>
      <c r="C3" s="796"/>
      <c r="D3" s="796"/>
      <c r="E3" s="796"/>
      <c r="F3" s="796"/>
      <c r="G3" s="796"/>
      <c r="H3" s="796"/>
      <c r="I3" s="796"/>
      <c r="J3" s="796"/>
    </row>
    <row r="4" spans="1:10" ht="15.75">
      <c r="A4" s="64"/>
      <c r="B4" s="64"/>
      <c r="C4" s="64"/>
      <c r="D4" s="64"/>
      <c r="E4" s="796"/>
      <c r="F4" s="796"/>
      <c r="G4" s="796"/>
      <c r="H4" s="202"/>
      <c r="I4" s="64"/>
      <c r="J4" s="203" t="s">
        <v>232</v>
      </c>
    </row>
    <row r="5" spans="1:10" ht="15.75">
      <c r="A5" s="204" t="s">
        <v>233</v>
      </c>
      <c r="B5" s="64" t="str">
        <f>CONCATENATE("Total Tax Levy Amount in ",J1-1," Budget")</f>
        <v>Total Tax Levy Amount in 2013 Budget</v>
      </c>
      <c r="C5" s="64"/>
      <c r="D5" s="64"/>
      <c r="E5" s="88"/>
      <c r="F5" s="88"/>
      <c r="G5" s="88"/>
      <c r="H5" s="205" t="s">
        <v>234</v>
      </c>
      <c r="I5" s="88" t="s">
        <v>235</v>
      </c>
      <c r="J5" s="206">
        <f>inputPrYr!E25</f>
        <v>7596</v>
      </c>
    </row>
    <row r="6" spans="1:10" ht="15.75">
      <c r="A6" s="204" t="s">
        <v>236</v>
      </c>
      <c r="B6" s="64" t="str">
        <f>CONCATENATE("Debt Service Levy in ",J1-1, " Budget")</f>
        <v>Debt Service Levy in 2013 Budget</v>
      </c>
      <c r="C6" s="64"/>
      <c r="D6" s="64"/>
      <c r="E6" s="88"/>
      <c r="F6" s="88"/>
      <c r="G6" s="88"/>
      <c r="H6" s="205" t="s">
        <v>237</v>
      </c>
      <c r="I6" s="88" t="s">
        <v>235</v>
      </c>
      <c r="J6" s="207">
        <f>inputPrYr!$E$18</f>
        <v>0</v>
      </c>
    </row>
    <row r="7" spans="1:10" ht="15.75">
      <c r="A7" s="204" t="s">
        <v>261</v>
      </c>
      <c r="B7" s="81" t="s">
        <v>265</v>
      </c>
      <c r="C7" s="64"/>
      <c r="D7" s="64"/>
      <c r="E7" s="88"/>
      <c r="F7" s="88"/>
      <c r="G7" s="88"/>
      <c r="H7" s="88"/>
      <c r="I7" s="88" t="s">
        <v>235</v>
      </c>
      <c r="J7" s="93">
        <f>J5-J6</f>
        <v>7596</v>
      </c>
    </row>
    <row r="8" spans="1:10" ht="15.75">
      <c r="A8" s="64"/>
      <c r="B8" s="64"/>
      <c r="C8" s="64"/>
      <c r="D8" s="64"/>
      <c r="E8" s="88"/>
      <c r="F8" s="88"/>
      <c r="G8" s="88"/>
      <c r="H8" s="88"/>
      <c r="I8" s="88"/>
      <c r="J8" s="88"/>
    </row>
    <row r="9" spans="1:10" ht="15.75">
      <c r="A9" s="64"/>
      <c r="B9" s="81" t="str">
        <f>CONCATENATE(J1-1," Valuation Information for Valuation Adjustments:")</f>
        <v>2013 Valuation Information for Valuation Adjustments:</v>
      </c>
      <c r="C9" s="64"/>
      <c r="D9" s="64"/>
      <c r="E9" s="88"/>
      <c r="F9" s="88"/>
      <c r="G9" s="88"/>
      <c r="H9" s="88"/>
      <c r="I9" s="88"/>
      <c r="J9" s="88"/>
    </row>
    <row r="10" spans="1:10" ht="15.75">
      <c r="A10" s="64"/>
      <c r="B10" s="64"/>
      <c r="C10" s="81"/>
      <c r="D10" s="64"/>
      <c r="E10" s="88"/>
      <c r="F10" s="88"/>
      <c r="G10" s="88"/>
      <c r="H10" s="88"/>
      <c r="I10" s="88"/>
      <c r="J10" s="88"/>
    </row>
    <row r="11" spans="1:10" ht="15.75">
      <c r="A11" s="204" t="s">
        <v>238</v>
      </c>
      <c r="B11" s="81" t="str">
        <f>CONCATENATE("New Improvements for ",J1-1," :")</f>
        <v>New Improvements for 2013 :</v>
      </c>
      <c r="C11" s="64"/>
      <c r="D11" s="64"/>
      <c r="E11" s="205"/>
      <c r="F11" s="205" t="s">
        <v>234</v>
      </c>
      <c r="G11" s="206">
        <f>inputOth!E8</f>
        <v>1969</v>
      </c>
      <c r="H11" s="208"/>
      <c r="I11" s="88"/>
      <c r="J11" s="88"/>
    </row>
    <row r="12" spans="1:10" ht="15.75">
      <c r="A12" s="204"/>
      <c r="B12" s="209"/>
      <c r="C12" s="64"/>
      <c r="D12" s="64"/>
      <c r="E12" s="205"/>
      <c r="F12" s="205"/>
      <c r="G12" s="208"/>
      <c r="H12" s="208"/>
      <c r="I12" s="88"/>
      <c r="J12" s="88"/>
    </row>
    <row r="13" spans="1:10" ht="15.75">
      <c r="A13" s="204" t="s">
        <v>239</v>
      </c>
      <c r="B13" s="81" t="str">
        <f>CONCATENATE("Increase in Personal Property for ",J1-1," :")</f>
        <v>Increase in Personal Property for 2013 :</v>
      </c>
      <c r="C13" s="64"/>
      <c r="D13" s="64"/>
      <c r="E13" s="205"/>
      <c r="F13" s="205"/>
      <c r="G13" s="208"/>
      <c r="H13" s="208"/>
      <c r="I13" s="88"/>
      <c r="J13" s="88"/>
    </row>
    <row r="14" spans="1:10" ht="15.75">
      <c r="A14" s="210"/>
      <c r="B14" s="64" t="s">
        <v>240</v>
      </c>
      <c r="C14" s="64" t="str">
        <f>CONCATENATE("Personal Property ",J1-1)</f>
        <v>Personal Property 2013</v>
      </c>
      <c r="D14" s="209" t="s">
        <v>234</v>
      </c>
      <c r="E14" s="206">
        <f>inputOth!E9</f>
        <v>3520</v>
      </c>
      <c r="F14" s="205"/>
      <c r="G14" s="88"/>
      <c r="H14" s="88"/>
      <c r="I14" s="208"/>
      <c r="J14" s="88"/>
    </row>
    <row r="15" spans="1:10" ht="15.75">
      <c r="A15" s="209"/>
      <c r="B15" s="64" t="s">
        <v>241</v>
      </c>
      <c r="C15" s="64" t="str">
        <f>CONCATENATE("Personal Property ",J1-2)</f>
        <v>Personal Property 2012</v>
      </c>
      <c r="D15" s="209" t="s">
        <v>237</v>
      </c>
      <c r="E15" s="93">
        <f>inputOth!E15</f>
        <v>4929</v>
      </c>
      <c r="F15" s="205"/>
      <c r="G15" s="208"/>
      <c r="H15" s="208"/>
      <c r="I15" s="88"/>
      <c r="J15" s="88"/>
    </row>
    <row r="16" spans="1:10" ht="15.75">
      <c r="A16" s="209"/>
      <c r="B16" s="64" t="s">
        <v>242</v>
      </c>
      <c r="C16" s="64" t="s">
        <v>266</v>
      </c>
      <c r="D16" s="64"/>
      <c r="E16" s="88"/>
      <c r="F16" s="88" t="s">
        <v>234</v>
      </c>
      <c r="G16" s="206">
        <f>IF(E14&gt;E15,E14-E15,0)</f>
        <v>0</v>
      </c>
      <c r="H16" s="208"/>
      <c r="I16" s="88"/>
      <c r="J16" s="88"/>
    </row>
    <row r="17" spans="1:10" ht="15.75">
      <c r="A17" s="209"/>
      <c r="B17" s="209"/>
      <c r="C17" s="64"/>
      <c r="D17" s="64"/>
      <c r="E17" s="88"/>
      <c r="F17" s="88"/>
      <c r="G17" s="208" t="s">
        <v>255</v>
      </c>
      <c r="H17" s="208"/>
      <c r="I17" s="88"/>
      <c r="J17" s="88"/>
    </row>
    <row r="18" spans="1:10" ht="15.75">
      <c r="A18" s="209" t="s">
        <v>243</v>
      </c>
      <c r="B18" s="81" t="str">
        <f>CONCATENATE("Valuation of annexed territory for ",J1-1," :")</f>
        <v>Valuation of annexed territory for 2013 :</v>
      </c>
      <c r="C18" s="64"/>
      <c r="D18" s="64"/>
      <c r="E18" s="208"/>
      <c r="F18" s="88"/>
      <c r="G18" s="88"/>
      <c r="H18" s="88"/>
      <c r="I18" s="88"/>
      <c r="J18" s="88"/>
    </row>
    <row r="19" spans="1:10" ht="15.75">
      <c r="A19" s="209"/>
      <c r="B19" s="64" t="s">
        <v>244</v>
      </c>
      <c r="C19" s="64" t="s">
        <v>267</v>
      </c>
      <c r="D19" s="209" t="s">
        <v>234</v>
      </c>
      <c r="E19" s="206">
        <f>inputOth!E11</f>
        <v>0</v>
      </c>
      <c r="F19" s="88"/>
      <c r="G19" s="88"/>
      <c r="H19" s="88"/>
      <c r="I19" s="88"/>
      <c r="J19" s="88"/>
    </row>
    <row r="20" spans="1:10" ht="15.75">
      <c r="A20" s="209"/>
      <c r="B20" s="64" t="s">
        <v>245</v>
      </c>
      <c r="C20" s="64" t="s">
        <v>268</v>
      </c>
      <c r="D20" s="209" t="s">
        <v>234</v>
      </c>
      <c r="E20" s="93">
        <f>inputOth!E12</f>
        <v>0</v>
      </c>
      <c r="F20" s="88"/>
      <c r="G20" s="208"/>
      <c r="H20" s="208"/>
      <c r="I20" s="88"/>
      <c r="J20" s="88"/>
    </row>
    <row r="21" spans="1:10" ht="15.75">
      <c r="A21" s="209"/>
      <c r="B21" s="64" t="s">
        <v>246</v>
      </c>
      <c r="C21" s="64" t="s">
        <v>269</v>
      </c>
      <c r="D21" s="209" t="s">
        <v>237</v>
      </c>
      <c r="E21" s="93">
        <f>inputOth!E13</f>
        <v>0</v>
      </c>
      <c r="F21" s="88"/>
      <c r="G21" s="208"/>
      <c r="H21" s="208"/>
      <c r="I21" s="88"/>
      <c r="J21" s="88"/>
    </row>
    <row r="22" spans="1:10" ht="15.75">
      <c r="A22" s="209"/>
      <c r="B22" s="64" t="s">
        <v>247</v>
      </c>
      <c r="C22" s="64" t="s">
        <v>270</v>
      </c>
      <c r="D22" s="209"/>
      <c r="E22" s="208"/>
      <c r="F22" s="88" t="s">
        <v>234</v>
      </c>
      <c r="G22" s="206">
        <f>E19+E20-E21</f>
        <v>0</v>
      </c>
      <c r="H22" s="208"/>
      <c r="I22" s="88"/>
      <c r="J22" s="88"/>
    </row>
    <row r="23" spans="1:10" ht="15.75">
      <c r="A23" s="209"/>
      <c r="B23" s="209"/>
      <c r="C23" s="64"/>
      <c r="D23" s="209"/>
      <c r="E23" s="208"/>
      <c r="F23" s="88"/>
      <c r="G23" s="208"/>
      <c r="H23" s="208"/>
      <c r="I23" s="88"/>
      <c r="J23" s="88"/>
    </row>
    <row r="24" spans="1:10" ht="15.75">
      <c r="A24" s="209" t="s">
        <v>248</v>
      </c>
      <c r="B24" s="81" t="str">
        <f>CONCATENATE("Valuation of Property that has Changed in Use during ",J1-1," :")</f>
        <v>Valuation of Property that has Changed in Use during 2013 :</v>
      </c>
      <c r="C24" s="64"/>
      <c r="D24" s="64"/>
      <c r="E24" s="88"/>
      <c r="F24" s="205" t="s">
        <v>234</v>
      </c>
      <c r="G24" s="206">
        <f>inputOth!E14</f>
        <v>283</v>
      </c>
      <c r="H24" s="88"/>
      <c r="I24" s="88"/>
      <c r="J24" s="88"/>
    </row>
    <row r="25" spans="1:10" ht="15.75">
      <c r="A25" s="64" t="s">
        <v>141</v>
      </c>
      <c r="B25" s="64"/>
      <c r="C25" s="64"/>
      <c r="D25" s="209"/>
      <c r="E25" s="208"/>
      <c r="F25" s="88"/>
      <c r="G25" s="88"/>
      <c r="H25" s="88"/>
      <c r="I25" s="88"/>
      <c r="J25" s="88"/>
    </row>
    <row r="26" spans="1:10" ht="15.75">
      <c r="A26" s="209" t="s">
        <v>249</v>
      </c>
      <c r="B26" s="81" t="s">
        <v>271</v>
      </c>
      <c r="C26" s="64"/>
      <c r="D26" s="64"/>
      <c r="E26" s="88"/>
      <c r="F26" s="88"/>
      <c r="G26" s="206">
        <f>G11+G16+G22+G24</f>
        <v>2252</v>
      </c>
      <c r="H26" s="208"/>
      <c r="I26" s="88"/>
      <c r="J26" s="88"/>
    </row>
    <row r="27" spans="1:10" ht="15.75">
      <c r="A27" s="209"/>
      <c r="B27" s="209"/>
      <c r="C27" s="81"/>
      <c r="D27" s="64"/>
      <c r="E27" s="88"/>
      <c r="F27" s="88"/>
      <c r="G27" s="208"/>
      <c r="H27" s="208"/>
      <c r="I27" s="88"/>
      <c r="J27" s="88"/>
    </row>
    <row r="28" spans="1:10" ht="15.75">
      <c r="A28" s="209" t="s">
        <v>250</v>
      </c>
      <c r="B28" s="64" t="str">
        <f>CONCATENATE("Total Estimated Valuation July 1, ",J1-1)</f>
        <v>Total Estimated Valuation July 1, 2013</v>
      </c>
      <c r="C28" s="64"/>
      <c r="D28" s="64"/>
      <c r="E28" s="206">
        <f>inputOth!E7</f>
        <v>554438</v>
      </c>
      <c r="F28" s="88"/>
      <c r="G28" s="88"/>
      <c r="H28" s="88"/>
      <c r="I28" s="205"/>
      <c r="J28" s="88"/>
    </row>
    <row r="29" spans="1:10" ht="15.75">
      <c r="A29" s="209"/>
      <c r="B29" s="209"/>
      <c r="C29" s="64"/>
      <c r="D29" s="64"/>
      <c r="E29" s="208"/>
      <c r="F29" s="88"/>
      <c r="G29" s="88"/>
      <c r="H29" s="88"/>
      <c r="I29" s="205"/>
      <c r="J29" s="88"/>
    </row>
    <row r="30" spans="1:10" ht="15.75">
      <c r="A30" s="209" t="s">
        <v>251</v>
      </c>
      <c r="B30" s="81" t="s">
        <v>272</v>
      </c>
      <c r="C30" s="64"/>
      <c r="D30" s="64"/>
      <c r="E30" s="88"/>
      <c r="F30" s="88"/>
      <c r="G30" s="206">
        <f>E28-G26</f>
        <v>552186</v>
      </c>
      <c r="H30" s="208"/>
      <c r="I30" s="205"/>
      <c r="J30" s="88"/>
    </row>
    <row r="31" spans="1:10" ht="15.75">
      <c r="A31" s="209"/>
      <c r="B31" s="209"/>
      <c r="C31" s="81"/>
      <c r="D31" s="64"/>
      <c r="E31" s="88"/>
      <c r="F31" s="88"/>
      <c r="G31" s="211"/>
      <c r="H31" s="208"/>
      <c r="I31" s="205"/>
      <c r="J31" s="88"/>
    </row>
    <row r="32" spans="1:10" ht="15.75">
      <c r="A32" s="209" t="s">
        <v>252</v>
      </c>
      <c r="B32" s="64" t="s">
        <v>273</v>
      </c>
      <c r="C32" s="64"/>
      <c r="D32" s="64"/>
      <c r="E32" s="64"/>
      <c r="F32" s="64"/>
      <c r="G32" s="212">
        <f>IF(G26&gt;0,G26/G30,0)</f>
        <v>4.0783359230404251E-3</v>
      </c>
      <c r="H32" s="96"/>
      <c r="I32" s="64"/>
      <c r="J32" s="64"/>
    </row>
    <row r="33" spans="1:10" ht="15.75">
      <c r="A33" s="209"/>
      <c r="B33" s="209"/>
      <c r="C33" s="64"/>
      <c r="D33" s="64"/>
      <c r="E33" s="64"/>
      <c r="F33" s="64"/>
      <c r="G33" s="96"/>
      <c r="H33" s="96"/>
      <c r="I33" s="64"/>
      <c r="J33" s="64"/>
    </row>
    <row r="34" spans="1:10" ht="15.75">
      <c r="A34" s="209" t="s">
        <v>253</v>
      </c>
      <c r="B34" s="64" t="s">
        <v>274</v>
      </c>
      <c r="C34" s="64"/>
      <c r="D34" s="64"/>
      <c r="E34" s="64"/>
      <c r="F34" s="64"/>
      <c r="G34" s="96"/>
      <c r="H34" s="213" t="s">
        <v>234</v>
      </c>
      <c r="I34" s="64" t="s">
        <v>235</v>
      </c>
      <c r="J34" s="206">
        <f>ROUND(G32*J7,0)</f>
        <v>31</v>
      </c>
    </row>
    <row r="35" spans="1:10" ht="15.75">
      <c r="A35" s="209"/>
      <c r="B35" s="209"/>
      <c r="C35" s="64"/>
      <c r="D35" s="64"/>
      <c r="E35" s="64"/>
      <c r="F35" s="64"/>
      <c r="G35" s="96"/>
      <c r="H35" s="213"/>
      <c r="I35" s="64"/>
      <c r="J35" s="208"/>
    </row>
    <row r="36" spans="1:10" ht="16.5" thickBot="1">
      <c r="A36" s="209" t="s">
        <v>254</v>
      </c>
      <c r="B36" s="81" t="s">
        <v>280</v>
      </c>
      <c r="C36" s="64"/>
      <c r="D36" s="64"/>
      <c r="E36" s="64"/>
      <c r="F36" s="64"/>
      <c r="G36" s="64"/>
      <c r="H36" s="64"/>
      <c r="I36" s="64" t="s">
        <v>235</v>
      </c>
      <c r="J36" s="214">
        <f>J7+J34</f>
        <v>7627</v>
      </c>
    </row>
    <row r="37" spans="1:10" ht="16.5" thickTop="1">
      <c r="A37" s="64"/>
      <c r="B37" s="64"/>
      <c r="C37" s="64"/>
      <c r="D37" s="64"/>
      <c r="E37" s="64"/>
      <c r="F37" s="64"/>
      <c r="G37" s="64"/>
      <c r="H37" s="64"/>
      <c r="I37" s="64"/>
      <c r="J37" s="208"/>
    </row>
    <row r="38" spans="1:10" ht="15.75">
      <c r="A38" s="209" t="s">
        <v>278</v>
      </c>
      <c r="B38" s="81" t="str">
        <f>CONCATENATE("Debt Service Levy in this ",J1," Budget")</f>
        <v>Debt Service Levy in this 2014 Budget</v>
      </c>
      <c r="C38" s="64"/>
      <c r="D38" s="64"/>
      <c r="E38" s="64"/>
      <c r="F38" s="64"/>
      <c r="G38" s="64"/>
      <c r="H38" s="64"/>
      <c r="I38" s="64"/>
      <c r="J38" s="215">
        <f>'DebtSvs-Library'!E40</f>
        <v>0</v>
      </c>
    </row>
    <row r="39" spans="1:10" ht="15.75">
      <c r="A39" s="209"/>
      <c r="B39" s="81"/>
      <c r="C39" s="64"/>
      <c r="D39" s="64"/>
      <c r="E39" s="64"/>
      <c r="F39" s="64"/>
      <c r="G39" s="64"/>
      <c r="H39" s="64"/>
      <c r="I39" s="64"/>
      <c r="J39" s="208"/>
    </row>
    <row r="40" spans="1:10" ht="16.5" thickBot="1">
      <c r="A40" s="209" t="s">
        <v>279</v>
      </c>
      <c r="B40" s="81" t="s">
        <v>281</v>
      </c>
      <c r="C40" s="64"/>
      <c r="D40" s="64"/>
      <c r="E40" s="64"/>
      <c r="F40" s="64"/>
      <c r="G40" s="64"/>
      <c r="H40" s="64"/>
      <c r="I40" s="64"/>
      <c r="J40" s="214">
        <f>J36+J38</f>
        <v>7627</v>
      </c>
    </row>
    <row r="41" spans="1:10" ht="19.5" thickTop="1">
      <c r="A41" s="794"/>
      <c r="B41" s="794"/>
      <c r="C41" s="794"/>
      <c r="D41" s="794"/>
      <c r="E41" s="794"/>
      <c r="F41" s="794"/>
      <c r="G41" s="794"/>
      <c r="H41" s="794"/>
      <c r="I41" s="794"/>
      <c r="J41" s="794"/>
    </row>
    <row r="42" spans="1:10" s="216" customFormat="1" ht="18.75">
      <c r="A42" s="794" t="str">
        <f>CONCATENATE("If the ",J1," budget includes tax levies exceeding the total on line 15, you must")</f>
        <v>If the 2014 budget includes tax levies exceeding the total on line 15, you must</v>
      </c>
      <c r="B42" s="794"/>
      <c r="C42" s="794"/>
      <c r="D42" s="794"/>
      <c r="E42" s="794"/>
      <c r="F42" s="794"/>
      <c r="G42" s="794"/>
      <c r="H42" s="794"/>
      <c r="I42" s="794"/>
      <c r="J42" s="794"/>
    </row>
    <row r="43" spans="1:10" s="216" customFormat="1" ht="18.75">
      <c r="A43" s="794" t="s">
        <v>3</v>
      </c>
      <c r="B43" s="794"/>
      <c r="C43" s="794"/>
      <c r="D43" s="794"/>
      <c r="E43" s="794"/>
      <c r="F43" s="794"/>
      <c r="G43" s="794"/>
      <c r="H43" s="794"/>
      <c r="I43" s="794"/>
      <c r="J43" s="794"/>
    </row>
    <row r="44" spans="1:10" ht="15.95" customHeight="1">
      <c r="A44" s="793" t="s">
        <v>4</v>
      </c>
      <c r="B44" s="793"/>
      <c r="C44" s="793"/>
      <c r="D44" s="793"/>
      <c r="E44" s="793"/>
      <c r="F44" s="793"/>
      <c r="G44" s="793"/>
      <c r="H44" s="793"/>
      <c r="I44" s="793"/>
      <c r="J44" s="793"/>
    </row>
  </sheetData>
  <sheetProtection sheet="1" objects="1" scenarios="1"/>
  <mergeCells count="6">
    <mergeCell ref="A44:J44"/>
    <mergeCell ref="A41:J41"/>
    <mergeCell ref="A43:J43"/>
    <mergeCell ref="A3:J3"/>
    <mergeCell ref="E4:G4"/>
    <mergeCell ref="A42:J42"/>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18" workbookViewId="0">
      <selection activeCell="D36" sqref="D36"/>
    </sheetView>
  </sheetViews>
  <sheetFormatPr defaultRowHeight="15" customHeight="1"/>
  <cols>
    <col min="1" max="1" width="10.77734375" style="65" customWidth="1"/>
    <col min="2" max="3" width="17.44140625" style="65" customWidth="1"/>
    <col min="4" max="4" width="10.77734375" style="65" customWidth="1"/>
    <col min="5" max="5" width="11" style="65" customWidth="1"/>
    <col min="6" max="7" width="10.77734375" style="65" customWidth="1"/>
    <col min="8" max="16384" width="8.88671875" style="65"/>
  </cols>
  <sheetData>
    <row r="1" spans="1:7" ht="15" customHeight="1">
      <c r="A1" s="64"/>
      <c r="B1" s="64"/>
      <c r="C1" s="64"/>
      <c r="D1" s="64"/>
      <c r="E1" s="64"/>
      <c r="F1" s="64"/>
      <c r="G1" s="64"/>
    </row>
    <row r="2" spans="1:7" ht="15" customHeight="1">
      <c r="A2" s="64"/>
      <c r="B2" s="201" t="str">
        <f>inputPrYr!D2</f>
        <v>City of Circleville</v>
      </c>
      <c r="C2" s="64"/>
      <c r="D2" s="64"/>
      <c r="E2" s="64"/>
      <c r="F2" s="218"/>
      <c r="G2" s="161"/>
    </row>
    <row r="3" spans="1:7" ht="15" customHeight="1">
      <c r="A3" s="64"/>
      <c r="B3" s="64"/>
      <c r="C3" s="64"/>
      <c r="D3" s="64"/>
      <c r="E3" s="64"/>
      <c r="F3" s="64"/>
      <c r="G3" s="161">
        <f>inputPrYr!$C$5</f>
        <v>2014</v>
      </c>
    </row>
    <row r="4" spans="1:7" ht="20.25" customHeight="1">
      <c r="A4" s="64"/>
      <c r="B4" s="795" t="s">
        <v>826</v>
      </c>
      <c r="C4" s="795"/>
      <c r="D4" s="795"/>
      <c r="E4" s="795"/>
      <c r="F4" s="795"/>
      <c r="G4" s="64"/>
    </row>
    <row r="5" spans="1:7" ht="15" customHeight="1">
      <c r="A5" s="64"/>
      <c r="B5" s="74"/>
      <c r="C5" s="73"/>
      <c r="D5" s="73"/>
      <c r="E5" s="73"/>
      <c r="F5" s="64"/>
      <c r="G5" s="64"/>
    </row>
    <row r="6" spans="1:7" ht="15" customHeight="1">
      <c r="A6" s="64"/>
      <c r="B6" s="64"/>
      <c r="C6" s="64"/>
      <c r="D6" s="64"/>
      <c r="E6" s="64"/>
      <c r="F6" s="64"/>
      <c r="G6" s="64"/>
    </row>
    <row r="7" spans="1:7" ht="15.95" customHeight="1">
      <c r="A7" s="64"/>
      <c r="B7" s="219" t="s">
        <v>827</v>
      </c>
      <c r="C7" s="174" t="s">
        <v>828</v>
      </c>
      <c r="D7" s="797" t="str">
        <f>CONCATENATE("Allocation for Proposed Year ",G3,"")</f>
        <v>Allocation for Proposed Year 2014</v>
      </c>
      <c r="E7" s="798"/>
      <c r="F7" s="799"/>
      <c r="G7" s="64"/>
    </row>
    <row r="8" spans="1:7" ht="23.25" customHeight="1">
      <c r="A8" s="64"/>
      <c r="B8" s="220" t="str">
        <f>CONCATENATE("for ",G3-1,"")</f>
        <v>for 2013</v>
      </c>
      <c r="C8" s="220" t="str">
        <f>CONCATENATE("Amount for ",G3-2,"")</f>
        <v>Amount for 2012</v>
      </c>
      <c r="D8" s="177" t="s">
        <v>231</v>
      </c>
      <c r="E8" s="177" t="s">
        <v>230</v>
      </c>
      <c r="F8" s="180" t="s">
        <v>229</v>
      </c>
      <c r="G8" s="644"/>
    </row>
    <row r="9" spans="1:7" ht="15" customHeight="1">
      <c r="A9" s="64"/>
      <c r="B9" s="85" t="s">
        <v>131</v>
      </c>
      <c r="C9" s="221">
        <f>IF((inputPrYr!E17)&gt;0,(inputPrYr!E17),"  ")</f>
        <v>7596</v>
      </c>
      <c r="D9" s="221">
        <f>IF(inputPrYr!E17&gt;0,D18-SUM(D10:D15),0)</f>
        <v>1979.68</v>
      </c>
      <c r="E9" s="221">
        <f>IF(inputPrYr!E17=0,0,E20-SUM(E10:E15))</f>
        <v>14.54</v>
      </c>
      <c r="F9" s="221">
        <f>IF(inputPrYr!E17=0,0,F22-SUM(F10:F15))</f>
        <v>79</v>
      </c>
      <c r="G9" s="645"/>
    </row>
    <row r="10" spans="1:7" ht="15" customHeight="1">
      <c r="A10" s="64"/>
      <c r="B10" s="85" t="str">
        <f>IF(inputPrYr!B18&gt;" ",inputPrYr!B18," ")</f>
        <v>Debt Service</v>
      </c>
      <c r="C10" s="221" t="str">
        <f>IF((inputPrYr!E18)&gt;0,(inputPrYr!E18),"  ")</f>
        <v xml:space="preserve">  </v>
      </c>
      <c r="D10" s="221" t="str">
        <f>IF(inputPrYr!$E18&gt;0,ROUND(C10*D$26,0),"  ")</f>
        <v xml:space="preserve">  </v>
      </c>
      <c r="E10" s="221" t="str">
        <f>IF(inputPrYr!$E18&gt;0,ROUND(+C10*E$28,0),"  ")</f>
        <v xml:space="preserve">  </v>
      </c>
      <c r="F10" s="221" t="str">
        <f>IF(inputPrYr!E18&gt;0,ROUND(C10*F$30,0),"  ")</f>
        <v xml:space="preserve">  </v>
      </c>
      <c r="G10" s="645"/>
    </row>
    <row r="11" spans="1:7" ht="15" customHeight="1">
      <c r="A11" s="64"/>
      <c r="B11" s="108" t="str">
        <f>IF((inputPrYr!$B19&gt;"  "),(inputPrYr!$B19),"  ")</f>
        <v>Library</v>
      </c>
      <c r="C11" s="221" t="str">
        <f>IF((inputPrYr!E19)&gt;0,(inputPrYr!E19),"  ")</f>
        <v xml:space="preserve">  </v>
      </c>
      <c r="D11" s="221" t="str">
        <f>IF(inputPrYr!$E19&gt;0,ROUND(C11*D$26,0),"  ")</f>
        <v xml:space="preserve">  </v>
      </c>
      <c r="E11" s="221" t="str">
        <f>IF(inputPrYr!$E19&gt;0,ROUND(+C11*E$28,0),"  ")</f>
        <v xml:space="preserve">  </v>
      </c>
      <c r="F11" s="221" t="str">
        <f>IF(inputPrYr!E19&gt;0,ROUND(C11*F$30,0),"  ")</f>
        <v xml:space="preserve">  </v>
      </c>
      <c r="G11" s="645"/>
    </row>
    <row r="12" spans="1:7" ht="15" customHeight="1">
      <c r="A12" s="64"/>
      <c r="B12" s="108" t="str">
        <f>IF((inputPrYr!$B21&gt;"  "),(inputPrYr!$B21),"  ")</f>
        <v xml:space="preserve">  </v>
      </c>
      <c r="C12" s="221" t="str">
        <f>IF((inputPrYr!E21)&gt;0,(inputPrYr!E21),"  ")</f>
        <v xml:space="preserve">  </v>
      </c>
      <c r="D12" s="221" t="str">
        <f>IF(inputPrYr!$E21&gt;0,ROUND(C12*D$26,0),"  ")</f>
        <v xml:space="preserve">  </v>
      </c>
      <c r="E12" s="221" t="str">
        <f>IF(inputPrYr!$E21&gt;0,ROUND(+C12*E$28,0),"  ")</f>
        <v xml:space="preserve">  </v>
      </c>
      <c r="F12" s="221" t="str">
        <f>IF(inputPrYr!E21&gt;0,ROUND(C12*F$30,0),"  ")</f>
        <v xml:space="preserve">  </v>
      </c>
      <c r="G12" s="645"/>
    </row>
    <row r="13" spans="1:7" ht="15" customHeight="1">
      <c r="A13" s="64"/>
      <c r="B13" s="108" t="str">
        <f>IF((inputPrYr!$B22&gt;"  "),(inputPrYr!$B22),"  ")</f>
        <v>Water Bond and Interest</v>
      </c>
      <c r="C13" s="221" t="str">
        <f>IF((inputPrYr!E22)&gt;0,(inputPrYr!E22),"  ")</f>
        <v xml:space="preserve">  </v>
      </c>
      <c r="D13" s="221" t="str">
        <f>IF(inputPrYr!$E22&gt;0,ROUND(C13*D$26,0),"  ")</f>
        <v xml:space="preserve">  </v>
      </c>
      <c r="E13" s="221" t="str">
        <f>IF(inputPrYr!$E22&gt;0,ROUND(+C13*E$28,0),"  ")</f>
        <v xml:space="preserve">  </v>
      </c>
      <c r="F13" s="221" t="str">
        <f>IF(inputPrYr!E22&gt;0,ROUND(C13*F$30,0),"  ")</f>
        <v xml:space="preserve">  </v>
      </c>
      <c r="G13" s="645"/>
    </row>
    <row r="14" spans="1:7" ht="15" customHeight="1">
      <c r="A14" s="64"/>
      <c r="B14" s="108" t="str">
        <f>IF((inputPrYr!$B23&gt;"  "),(inputPrYr!$B23),"  ")</f>
        <v xml:space="preserve">  </v>
      </c>
      <c r="C14" s="221" t="str">
        <f>IF((inputPrYr!E23)&gt;0,(inputPrYr!E23),"  ")</f>
        <v xml:space="preserve">  </v>
      </c>
      <c r="D14" s="221" t="str">
        <f>IF(inputPrYr!$E23&gt;0,ROUND(C14*D$26,0),"  ")</f>
        <v xml:space="preserve">  </v>
      </c>
      <c r="E14" s="221" t="str">
        <f>IF(inputPrYr!$E23&gt;0,ROUND(+C14*E$28,0),"  ")</f>
        <v xml:space="preserve">  </v>
      </c>
      <c r="F14" s="221" t="str">
        <f>IF(inputPrYr!E23&gt;0,ROUND(C14*F$30,0),"  ")</f>
        <v xml:space="preserve">  </v>
      </c>
      <c r="G14" s="645"/>
    </row>
    <row r="15" spans="1:7" ht="15" customHeight="1">
      <c r="A15" s="64"/>
      <c r="B15" s="108" t="str">
        <f>IF((inputPrYr!$B24&gt;"  "),(inputPrYr!$B24),"  ")</f>
        <v xml:space="preserve">  </v>
      </c>
      <c r="C15" s="221" t="str">
        <f>IF((inputPrYr!E24)&gt;0,(inputPrYr!E24),"  ")</f>
        <v xml:space="preserve">  </v>
      </c>
      <c r="D15" s="221" t="str">
        <f>IF(inputPrYr!$E24&gt;0,ROUND(C15*D$26,0),"  ")</f>
        <v xml:space="preserve">  </v>
      </c>
      <c r="E15" s="221" t="str">
        <f>IF(inputPrYr!$E24&gt;0,ROUND(+C15*E$28,0),"  ")</f>
        <v xml:space="preserve">  </v>
      </c>
      <c r="F15" s="221" t="str">
        <f>IF(inputPrYr!E24&gt;0,ROUND(C15*F$30,0),"  ")</f>
        <v xml:space="preserve">  </v>
      </c>
      <c r="G15" s="645"/>
    </row>
    <row r="16" spans="1:7" ht="16.5" customHeight="1" thickBot="1">
      <c r="A16" s="64"/>
      <c r="B16" s="86" t="s">
        <v>159</v>
      </c>
      <c r="C16" s="222">
        <f>SUM(C9:C15)</f>
        <v>7596</v>
      </c>
      <c r="D16" s="222">
        <f>SUM(D9:D15)</f>
        <v>1979.68</v>
      </c>
      <c r="E16" s="222">
        <f>SUM(E9:E15)</f>
        <v>14.54</v>
      </c>
      <c r="F16" s="222">
        <f>SUM(F9:F15)</f>
        <v>79</v>
      </c>
      <c r="G16" s="645"/>
    </row>
    <row r="17" spans="1:7" ht="15" customHeight="1" thickTop="1">
      <c r="A17" s="64"/>
      <c r="B17" s="64"/>
      <c r="C17" s="64"/>
      <c r="D17" s="64"/>
      <c r="E17" s="64"/>
      <c r="F17" s="64"/>
      <c r="G17" s="64"/>
    </row>
    <row r="18" spans="1:7" ht="15" customHeight="1">
      <c r="A18" s="64"/>
      <c r="B18" s="69" t="s">
        <v>160</v>
      </c>
      <c r="C18" s="223"/>
      <c r="D18" s="206">
        <f>(inputOth!E33)</f>
        <v>1979.68</v>
      </c>
      <c r="E18" s="223"/>
      <c r="F18" s="64"/>
      <c r="G18" s="64"/>
    </row>
    <row r="19" spans="1:7" ht="15" customHeight="1">
      <c r="A19" s="64"/>
      <c r="B19" s="64"/>
      <c r="C19" s="64"/>
      <c r="D19" s="64"/>
      <c r="E19" s="64"/>
      <c r="F19" s="64"/>
      <c r="G19" s="64"/>
    </row>
    <row r="20" spans="1:7" ht="15" customHeight="1">
      <c r="A20" s="64"/>
      <c r="B20" s="69" t="s">
        <v>161</v>
      </c>
      <c r="C20" s="64"/>
      <c r="D20" s="64"/>
      <c r="E20" s="206">
        <f>(inputOth!E34)</f>
        <v>14.54</v>
      </c>
      <c r="F20" s="64"/>
      <c r="G20" s="64"/>
    </row>
    <row r="21" spans="1:7" ht="15" customHeight="1">
      <c r="A21" s="64"/>
      <c r="B21" s="64"/>
      <c r="C21" s="64"/>
      <c r="D21" s="64"/>
      <c r="E21" s="64"/>
      <c r="F21" s="64"/>
      <c r="G21" s="64"/>
    </row>
    <row r="22" spans="1:7" ht="15.6" customHeight="1">
      <c r="A22" s="64"/>
      <c r="B22" s="69" t="s">
        <v>228</v>
      </c>
      <c r="C22" s="64"/>
      <c r="D22" s="64"/>
      <c r="E22" s="64"/>
      <c r="F22" s="206">
        <f>inputOth!E35</f>
        <v>79</v>
      </c>
      <c r="G22" s="64"/>
    </row>
    <row r="23" spans="1:7" ht="15" customHeight="1">
      <c r="A23" s="64"/>
      <c r="B23" s="64"/>
      <c r="C23" s="64"/>
      <c r="D23" s="64"/>
      <c r="E23" s="64"/>
      <c r="F23" s="64"/>
      <c r="G23" s="64"/>
    </row>
    <row r="24" spans="1:7" ht="15" customHeight="1">
      <c r="A24" s="64"/>
      <c r="B24" s="64"/>
      <c r="C24" s="64"/>
      <c r="D24" s="64"/>
      <c r="E24" s="64"/>
      <c r="F24" s="64"/>
      <c r="G24" s="208"/>
    </row>
    <row r="25" spans="1:7" ht="15" customHeight="1">
      <c r="A25" s="64"/>
      <c r="B25" s="64"/>
      <c r="C25" s="64"/>
      <c r="D25" s="64"/>
      <c r="E25" s="64"/>
      <c r="F25" s="64"/>
      <c r="G25" s="64"/>
    </row>
    <row r="26" spans="1:7" ht="15" customHeight="1">
      <c r="A26" s="64"/>
      <c r="B26" s="69" t="s">
        <v>162</v>
      </c>
      <c r="C26" s="64"/>
      <c r="D26" s="212">
        <f>IF(C16=0,0,D18/C16)</f>
        <v>0.2606213796735124</v>
      </c>
      <c r="E26" s="64"/>
      <c r="F26" s="64"/>
      <c r="G26" s="64"/>
    </row>
    <row r="27" spans="1:7" ht="15" customHeight="1">
      <c r="A27" s="64"/>
      <c r="B27" s="64"/>
      <c r="C27" s="64"/>
      <c r="D27" s="64"/>
      <c r="E27" s="64"/>
      <c r="F27" s="64"/>
      <c r="G27" s="64"/>
    </row>
    <row r="28" spans="1:7" ht="15" customHeight="1">
      <c r="A28" s="64"/>
      <c r="B28" s="69"/>
      <c r="C28" s="69" t="s">
        <v>163</v>
      </c>
      <c r="D28" s="64"/>
      <c r="E28" s="212">
        <f>IF(C16=0,0,E20/C16)</f>
        <v>1.9141653501843073E-3</v>
      </c>
      <c r="F28" s="64"/>
      <c r="G28" s="64"/>
    </row>
    <row r="29" spans="1:7" ht="15" customHeight="1">
      <c r="A29" s="64"/>
      <c r="B29" s="64"/>
      <c r="C29" s="64"/>
      <c r="D29" s="64"/>
      <c r="E29" s="64"/>
      <c r="F29" s="64"/>
      <c r="G29" s="64"/>
    </row>
    <row r="30" spans="1:7" ht="15" customHeight="1">
      <c r="A30" s="64"/>
      <c r="B30" s="64"/>
      <c r="C30" s="64"/>
      <c r="D30" s="64" t="s">
        <v>227</v>
      </c>
      <c r="E30" s="64"/>
      <c r="F30" s="212">
        <f>IF(C16=0,0,F22/C16)</f>
        <v>1.0400210637177462E-2</v>
      </c>
      <c r="G30" s="64"/>
    </row>
    <row r="31" spans="1:7" ht="15" customHeight="1">
      <c r="A31" s="64"/>
      <c r="B31" s="118"/>
      <c r="C31" s="118"/>
      <c r="D31" s="118"/>
      <c r="E31" s="118"/>
      <c r="F31" s="118"/>
      <c r="G31" s="118"/>
    </row>
    <row r="32" spans="1:7" ht="15" customHeight="1">
      <c r="A32" s="64"/>
      <c r="B32" s="118"/>
      <c r="C32" s="118"/>
      <c r="D32" s="118"/>
      <c r="E32" s="118"/>
      <c r="F32" s="118"/>
      <c r="G32" s="118"/>
    </row>
    <row r="36" ht="16.5" customHeight="1"/>
    <row r="37" ht="15.95" customHeight="1"/>
    <row r="38" s="224" customFormat="1" ht="15.95" customHeight="1"/>
    <row r="39" ht="18.75" customHeight="1"/>
    <row r="45" ht="17.25" customHeight="1"/>
  </sheetData>
  <sheetProtection sheet="1"/>
  <mergeCells count="2">
    <mergeCell ref="B4:F4"/>
    <mergeCell ref="D7:F7"/>
  </mergeCells>
  <phoneticPr fontId="0" type="noConversion"/>
  <pageMargins left="0.5" right="0.5" top="0.5" bottom="0.5" header="0.25" footer="0.5"/>
  <pageSetup scale="90" orientation="portrait" blackAndWhite="1" r:id="rId1"/>
  <headerFooter alignWithMargins="0">
    <oddHeader xml:space="preserve">&amp;RState of Kansas
City
</oddHeader>
    <oddFooter>&amp;CPage No. 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workbookViewId="0">
      <selection activeCell="F10" sqref="F10"/>
    </sheetView>
  </sheetViews>
  <sheetFormatPr defaultRowHeight="15"/>
  <cols>
    <col min="1" max="2" width="17.77734375" style="126" customWidth="1"/>
    <col min="3" max="6" width="12.77734375" style="126" customWidth="1"/>
    <col min="7" max="16384" width="8.88671875" style="126"/>
  </cols>
  <sheetData>
    <row r="1" spans="1:6" ht="15.75">
      <c r="A1" s="201" t="str">
        <f>inputPrYr!D2</f>
        <v>City of Circleville</v>
      </c>
      <c r="B1" s="64"/>
      <c r="C1" s="64"/>
      <c r="D1" s="64"/>
      <c r="E1" s="64"/>
      <c r="F1" s="64">
        <f>inputPrYr!C5</f>
        <v>2014</v>
      </c>
    </row>
    <row r="2" spans="1:6" ht="15.75">
      <c r="A2" s="64"/>
      <c r="B2" s="64"/>
      <c r="C2" s="64"/>
      <c r="D2" s="64"/>
      <c r="E2" s="64"/>
      <c r="F2" s="64"/>
    </row>
    <row r="3" spans="1:6" ht="15.75">
      <c r="A3" s="796" t="s">
        <v>288</v>
      </c>
      <c r="B3" s="796"/>
      <c r="C3" s="796"/>
      <c r="D3" s="796"/>
      <c r="E3" s="796"/>
      <c r="F3" s="796"/>
    </row>
    <row r="4" spans="1:6" ht="15.75">
      <c r="A4" s="225"/>
      <c r="B4" s="225"/>
      <c r="C4" s="225"/>
      <c r="D4" s="225"/>
      <c r="E4" s="225"/>
      <c r="F4" s="225"/>
    </row>
    <row r="5" spans="1:6" ht="15.75">
      <c r="A5" s="226" t="s">
        <v>638</v>
      </c>
      <c r="B5" s="226" t="s">
        <v>640</v>
      </c>
      <c r="C5" s="226" t="s">
        <v>179</v>
      </c>
      <c r="D5" s="226" t="s">
        <v>306</v>
      </c>
      <c r="E5" s="226" t="s">
        <v>307</v>
      </c>
      <c r="F5" s="226" t="s">
        <v>319</v>
      </c>
    </row>
    <row r="6" spans="1:6" ht="15.75">
      <c r="A6" s="227" t="s">
        <v>637</v>
      </c>
      <c r="B6" s="227" t="s">
        <v>639</v>
      </c>
      <c r="C6" s="227" t="s">
        <v>318</v>
      </c>
      <c r="D6" s="227" t="s">
        <v>318</v>
      </c>
      <c r="E6" s="227" t="s">
        <v>318</v>
      </c>
      <c r="F6" s="227" t="s">
        <v>308</v>
      </c>
    </row>
    <row r="7" spans="1:6" ht="15.75">
      <c r="A7" s="228" t="s">
        <v>316</v>
      </c>
      <c r="B7" s="228" t="s">
        <v>317</v>
      </c>
      <c r="C7" s="229">
        <f>F1-2</f>
        <v>2012</v>
      </c>
      <c r="D7" s="229">
        <f>F1-1</f>
        <v>2013</v>
      </c>
      <c r="E7" s="229">
        <f>F1</f>
        <v>2014</v>
      </c>
      <c r="F7" s="228" t="s">
        <v>309</v>
      </c>
    </row>
    <row r="8" spans="1:6" ht="15.75">
      <c r="A8" s="230" t="s">
        <v>998</v>
      </c>
      <c r="B8" s="230" t="s">
        <v>1003</v>
      </c>
      <c r="C8" s="231">
        <v>13200</v>
      </c>
      <c r="D8" s="231">
        <v>13200</v>
      </c>
      <c r="E8" s="231">
        <v>13200</v>
      </c>
      <c r="F8" s="230" t="s">
        <v>1004</v>
      </c>
    </row>
    <row r="9" spans="1:6" ht="15.75">
      <c r="A9" s="232" t="s">
        <v>999</v>
      </c>
      <c r="B9" s="232" t="s">
        <v>1003</v>
      </c>
      <c r="C9" s="233">
        <v>13200</v>
      </c>
      <c r="D9" s="233">
        <v>13200</v>
      </c>
      <c r="E9" s="233">
        <v>13200</v>
      </c>
      <c r="F9" s="232" t="s">
        <v>1004</v>
      </c>
    </row>
    <row r="10" spans="1:6" ht="15.75">
      <c r="A10" s="232"/>
      <c r="B10" s="232"/>
      <c r="C10" s="233"/>
      <c r="D10" s="233"/>
      <c r="E10" s="233"/>
      <c r="F10" s="232"/>
    </row>
    <row r="11" spans="1:6" ht="15.75">
      <c r="A11" s="232"/>
      <c r="B11" s="232"/>
      <c r="C11" s="233"/>
      <c r="D11" s="233"/>
      <c r="E11" s="233"/>
      <c r="F11" s="232"/>
    </row>
    <row r="12" spans="1:6" ht="15.75">
      <c r="A12" s="232"/>
      <c r="B12" s="232"/>
      <c r="C12" s="233"/>
      <c r="D12" s="233"/>
      <c r="E12" s="233"/>
      <c r="F12" s="232"/>
    </row>
    <row r="13" spans="1:6" ht="15.75">
      <c r="A13" s="198"/>
      <c r="B13" s="234" t="s">
        <v>164</v>
      </c>
      <c r="C13" s="235">
        <f>SUM(C8:C12)</f>
        <v>26400</v>
      </c>
      <c r="D13" s="235">
        <f>SUM(D8:D12)</f>
        <v>26400</v>
      </c>
      <c r="E13" s="235">
        <f>SUM(E8:E12)</f>
        <v>26400</v>
      </c>
      <c r="F13" s="198"/>
    </row>
    <row r="14" spans="1:6" ht="15.75">
      <c r="A14" s="198"/>
      <c r="B14" s="236" t="s">
        <v>636</v>
      </c>
      <c r="C14" s="237"/>
      <c r="D14" s="238"/>
      <c r="E14" s="238"/>
      <c r="F14" s="198"/>
    </row>
    <row r="15" spans="1:6" ht="15.75">
      <c r="A15" s="198"/>
      <c r="B15" s="234" t="s">
        <v>117</v>
      </c>
      <c r="C15" s="235">
        <f>C13</f>
        <v>26400</v>
      </c>
      <c r="D15" s="235">
        <f>SUM(D13-D14)</f>
        <v>26400</v>
      </c>
      <c r="E15" s="235">
        <f>SUM(E13-E14)</f>
        <v>26400</v>
      </c>
      <c r="F15" s="198"/>
    </row>
    <row r="16" spans="1:6" ht="15.75">
      <c r="A16" s="118"/>
      <c r="B16" s="118"/>
      <c r="C16" s="118"/>
      <c r="D16" s="118"/>
      <c r="E16" s="118"/>
      <c r="F16" s="118"/>
    </row>
    <row r="17" spans="1:6" ht="15.75">
      <c r="A17" s="118"/>
      <c r="B17" s="118"/>
      <c r="C17" s="118"/>
      <c r="D17" s="118"/>
      <c r="E17" s="118"/>
      <c r="F17" s="118"/>
    </row>
    <row r="18" spans="1:6" ht="15.75">
      <c r="A18" s="404" t="s">
        <v>641</v>
      </c>
      <c r="B18" s="403" t="str">
        <f>CONCATENATE("Adjustments are required only if the transfer is being made in ",D7," and/or ",E7," from a non-budgeted fund.")</f>
        <v>Adjustments are required only if the transfer is being made in 2013 and/or 2014 from a non-budgeted fund.</v>
      </c>
      <c r="C18" s="118"/>
      <c r="D18" s="118"/>
      <c r="E18" s="118"/>
      <c r="F18" s="118"/>
    </row>
    <row r="19" spans="1:6" ht="15.75">
      <c r="A19" s="118"/>
      <c r="B19" s="118"/>
      <c r="C19" s="118"/>
      <c r="D19" s="118"/>
      <c r="E19" s="118"/>
      <c r="F19" s="118"/>
    </row>
    <row r="20" spans="1:6" ht="15.75">
      <c r="A20" s="118"/>
      <c r="B20" s="118"/>
      <c r="C20" s="118"/>
      <c r="D20" s="118"/>
      <c r="E20" s="118"/>
      <c r="F20" s="118"/>
    </row>
  </sheetData>
  <sheetProtection sheet="1"/>
  <mergeCells count="1">
    <mergeCell ref="A3:F3"/>
  </mergeCells>
  <phoneticPr fontId="10" type="noConversion"/>
  <pageMargins left="0.75" right="0.75" top="1" bottom="1" header="0.5" footer="0.5"/>
  <pageSetup scale="78" orientation="portrait" blackAndWhite="1" r:id="rId1"/>
  <headerFooter alignWithMargins="0">
    <oddHeader>&amp;RState of Kansas
City</oddHeader>
    <oddFooter>&amp;CPage No. 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topLeftCell="A14" workbookViewId="0">
      <selection activeCell="A23" sqref="A23"/>
    </sheetView>
  </sheetViews>
  <sheetFormatPr defaultRowHeight="15"/>
  <cols>
    <col min="1" max="1" width="70.5546875" style="362" customWidth="1"/>
    <col min="2" max="16384" width="8.88671875" style="362"/>
  </cols>
  <sheetData>
    <row r="1" spans="1:1" ht="18.75">
      <c r="A1" s="363" t="s">
        <v>382</v>
      </c>
    </row>
    <row r="2" spans="1:1" ht="18.75">
      <c r="A2" s="363"/>
    </row>
    <row r="3" spans="1:1" ht="18.75">
      <c r="A3" s="363"/>
    </row>
    <row r="4" spans="1:1" ht="51.75" customHeight="1">
      <c r="A4" s="573" t="s">
        <v>729</v>
      </c>
    </row>
    <row r="5" spans="1:1" ht="18.75">
      <c r="A5" s="363"/>
    </row>
    <row r="6" spans="1:1" ht="15.75">
      <c r="A6" s="364"/>
    </row>
    <row r="7" spans="1:1" ht="47.25">
      <c r="A7" s="365" t="s">
        <v>383</v>
      </c>
    </row>
    <row r="8" spans="1:1" ht="15.75">
      <c r="A8" s="364"/>
    </row>
    <row r="9" spans="1:1" ht="15.75">
      <c r="A9" s="364"/>
    </row>
    <row r="10" spans="1:1" ht="63">
      <c r="A10" s="365" t="s">
        <v>384</v>
      </c>
    </row>
    <row r="11" spans="1:1" ht="15.75">
      <c r="A11" s="366"/>
    </row>
    <row r="12" spans="1:1" ht="15.75">
      <c r="A12" s="364"/>
    </row>
    <row r="13" spans="1:1" ht="47.25">
      <c r="A13" s="365" t="s">
        <v>385</v>
      </c>
    </row>
    <row r="14" spans="1:1" ht="15.75">
      <c r="A14" s="366"/>
    </row>
    <row r="15" spans="1:1" ht="15.75">
      <c r="A15" s="364"/>
    </row>
    <row r="16" spans="1:1" ht="47.25">
      <c r="A16" s="365" t="s">
        <v>386</v>
      </c>
    </row>
    <row r="17" spans="1:1" ht="15.75">
      <c r="A17" s="366"/>
    </row>
    <row r="18" spans="1:1" ht="15.75">
      <c r="A18" s="366"/>
    </row>
    <row r="19" spans="1:1" ht="47.25">
      <c r="A19" s="365" t="s">
        <v>387</v>
      </c>
    </row>
    <row r="20" spans="1:1" ht="15.75">
      <c r="A20" s="366"/>
    </row>
    <row r="21" spans="1:1" ht="15.75">
      <c r="A21" s="366"/>
    </row>
    <row r="22" spans="1:1" ht="47.25">
      <c r="A22" s="365" t="s">
        <v>388</v>
      </c>
    </row>
    <row r="23" spans="1:1" ht="15.75">
      <c r="A23" s="366"/>
    </row>
    <row r="24" spans="1:1" ht="15.75">
      <c r="A24" s="366"/>
    </row>
    <row r="25" spans="1:1" ht="31.5">
      <c r="A25" s="365" t="s">
        <v>389</v>
      </c>
    </row>
    <row r="26" spans="1:1" ht="15.75">
      <c r="A26" s="364"/>
    </row>
    <row r="27" spans="1:1" ht="15.75">
      <c r="A27" s="364"/>
    </row>
    <row r="28" spans="1:1" ht="60">
      <c r="A28" s="367" t="s">
        <v>390</v>
      </c>
    </row>
    <row r="29" spans="1:1">
      <c r="A29" s="368"/>
    </row>
    <row r="30" spans="1:1">
      <c r="A30" s="368"/>
    </row>
    <row r="31" spans="1:1" ht="47.25">
      <c r="A31" s="365" t="s">
        <v>391</v>
      </c>
    </row>
    <row r="32" spans="1:1" ht="15.75">
      <c r="A32" s="364"/>
    </row>
    <row r="33" spans="1:1" ht="15.75">
      <c r="A33" s="364"/>
    </row>
    <row r="34" spans="1:1" ht="66.75" customHeight="1">
      <c r="A34" s="502" t="s">
        <v>730</v>
      </c>
    </row>
    <row r="35" spans="1:1" ht="15.75">
      <c r="A35" s="364"/>
    </row>
    <row r="36" spans="1:1" ht="15.75">
      <c r="A36" s="364"/>
    </row>
    <row r="37" spans="1:1" ht="63">
      <c r="A37" s="369" t="s">
        <v>392</v>
      </c>
    </row>
    <row r="38" spans="1:1" ht="15.75">
      <c r="A38" s="366"/>
    </row>
    <row r="39" spans="1:1" ht="15.75">
      <c r="A39" s="364"/>
    </row>
    <row r="40" spans="1:1" ht="63">
      <c r="A40" s="365" t="s">
        <v>393</v>
      </c>
    </row>
    <row r="41" spans="1:1" ht="15.75">
      <c r="A41" s="366"/>
    </row>
    <row r="42" spans="1:1" ht="15.75">
      <c r="A42" s="366"/>
    </row>
    <row r="43" spans="1:1" ht="82.5" customHeight="1">
      <c r="A43" s="356" t="s">
        <v>731</v>
      </c>
    </row>
    <row r="44" spans="1:1" ht="15.75">
      <c r="A44" s="366"/>
    </row>
    <row r="45" spans="1:1" ht="15.75">
      <c r="A45" s="366"/>
    </row>
    <row r="46" spans="1:1" ht="69" customHeight="1">
      <c r="A46" s="356" t="s">
        <v>732</v>
      </c>
    </row>
    <row r="47" spans="1:1" ht="15.75">
      <c r="A47" s="366"/>
    </row>
    <row r="48" spans="1:1" ht="15.75">
      <c r="A48" s="366"/>
    </row>
    <row r="49" spans="1:1" ht="69" customHeight="1">
      <c r="A49" s="356" t="s">
        <v>733</v>
      </c>
    </row>
    <row r="50" spans="1:1" ht="15.75" customHeight="1">
      <c r="A50" s="366"/>
    </row>
    <row r="51" spans="1:1" ht="21.75" customHeight="1">
      <c r="A51" s="366"/>
    </row>
    <row r="52" spans="1:1" ht="66" customHeight="1">
      <c r="A52" s="356" t="s">
        <v>957</v>
      </c>
    </row>
    <row r="53" spans="1:1" ht="15.75">
      <c r="A53" s="366"/>
    </row>
    <row r="54" spans="1:1" ht="15.75">
      <c r="A54" s="366"/>
    </row>
    <row r="55" spans="1:1" ht="63">
      <c r="A55" s="365" t="s">
        <v>394</v>
      </c>
    </row>
    <row r="56" spans="1:1" ht="15.75">
      <c r="A56" s="366"/>
    </row>
    <row r="57" spans="1:1" ht="15.75">
      <c r="A57" s="366"/>
    </row>
    <row r="58" spans="1:1" ht="63">
      <c r="A58" s="365" t="s">
        <v>395</v>
      </c>
    </row>
    <row r="59" spans="1:1" ht="15.75">
      <c r="A59" s="366"/>
    </row>
    <row r="60" spans="1:1" ht="15.75">
      <c r="A60" s="366"/>
    </row>
    <row r="61" spans="1:1" ht="47.25">
      <c r="A61" s="365" t="s">
        <v>396</v>
      </c>
    </row>
    <row r="62" spans="1:1" ht="15.75">
      <c r="A62" s="366"/>
    </row>
    <row r="63" spans="1:1" ht="15.75">
      <c r="A63" s="366"/>
    </row>
    <row r="64" spans="1:1" ht="47.25">
      <c r="A64" s="365" t="s">
        <v>397</v>
      </c>
    </row>
    <row r="65" spans="1:1" ht="15.75">
      <c r="A65" s="366"/>
    </row>
    <row r="66" spans="1:1" ht="15.75">
      <c r="A66" s="366"/>
    </row>
    <row r="67" spans="1:1" ht="78.75">
      <c r="A67" s="365" t="s">
        <v>398</v>
      </c>
    </row>
    <row r="68" spans="1:1">
      <c r="A68" s="370"/>
    </row>
  </sheetData>
  <sheetProtection sheet="1"/>
  <pageMargins left="0.7" right="0.7" top="0.75" bottom="0.75" header="0.3" footer="0.3"/>
  <pageSetup orientation="portrait" r:id="rId1"/>
  <headerFooter>
    <oddFooter>&amp;Lrevised 10/2/09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computation</vt:lpstr>
      <vt:lpstr>Mvalloc</vt:lpstr>
      <vt:lpstr>Transfers</vt:lpstr>
      <vt:lpstr>TransferStatutes</vt:lpstr>
      <vt:lpstr>debt</vt:lpstr>
      <vt:lpstr>lpform</vt:lpstr>
      <vt:lpstr>Library Grant</vt:lpstr>
      <vt:lpstr>general</vt:lpstr>
      <vt:lpstr>general-detail</vt:lpstr>
      <vt:lpstr>DebtSvs-Library</vt:lpstr>
      <vt:lpstr>levy page9</vt:lpstr>
      <vt:lpstr>levy page10</vt:lpstr>
      <vt:lpstr>SpecHwy</vt:lpstr>
      <vt:lpstr>no levy page12</vt:lpstr>
      <vt:lpstr>no levy page13</vt:lpstr>
      <vt:lpstr>Sinnolevy14</vt:lpstr>
      <vt:lpstr>nonbud</vt:lpstr>
      <vt:lpstr>NonBudFunds</vt:lpstr>
      <vt:lpstr>summ</vt:lpstr>
      <vt:lpstr>Nhood</vt:lpstr>
      <vt:lpstr>ordinance</vt:lpstr>
      <vt:lpstr>Tab A</vt:lpstr>
      <vt:lpstr>Tab B</vt:lpstr>
      <vt:lpstr>Tab C</vt:lpstr>
      <vt:lpstr>Tab D</vt:lpstr>
      <vt:lpstr>Tab E</vt:lpstr>
      <vt:lpstr>Mill Rate Computation</vt:lpstr>
      <vt:lpstr>Helpful Links</vt:lpstr>
      <vt:lpstr>Legend</vt:lpstr>
      <vt:lpstr>'DebtSvs-Library'!Print_Area</vt:lpstr>
      <vt:lpstr>general!Print_Area</vt:lpstr>
      <vt:lpstr>inputPrYr!Print_Area</vt:lpstr>
      <vt:lpstr>'levy page10'!Print_Area</vt:lpstr>
      <vt:lpstr>'levy page9'!Print_Area</vt:lpstr>
      <vt:lpstr>'Library Grant'!Print_Area</vt:lpstr>
      <vt:lpstr>lpform!Print_Area</vt:lpstr>
      <vt:lpstr>'Mill Rate Computation'!Print_Area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Kathy Mick</cp:lastModifiedBy>
  <cp:lastPrinted>2013-08-22T21:37:29Z</cp:lastPrinted>
  <dcterms:created xsi:type="dcterms:W3CDTF">1998-12-22T16:13:18Z</dcterms:created>
  <dcterms:modified xsi:type="dcterms:W3CDTF">2013-11-22T17:11:22Z</dcterms:modified>
</cp:coreProperties>
</file>