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SpecHwy" sheetId="17" r:id="rId17"/>
    <sheet name="no levy page12" sheetId="18" r:id="rId18"/>
    <sheet name="no levy page13" sheetId="19" r:id="rId19"/>
    <sheet name="Sinnolevy14" sheetId="20" r:id="rId20"/>
    <sheet name="nonbud"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 sheetId="30" r:id="rId30"/>
    <sheet name="Legend" sheetId="31" r:id="rId31"/>
    <sheet name="Sheet1" sheetId="32" r:id="rId32"/>
    <sheet name="Sheet2" sheetId="33" r:id="rId33"/>
    <sheet name="Sheet3" sheetId="34" r:id="rId34"/>
    <sheet name="Sheet4" sheetId="35" r:id="rId35"/>
    <sheet name="Sheet5" sheetId="36" r:id="rId36"/>
    <sheet name="Sheet6" sheetId="37" r:id="rId37"/>
    <sheet name="Sheet7" sheetId="38" r:id="rId38"/>
    <sheet name="Sheet8" sheetId="39" r:id="rId39"/>
    <sheet name="Sheet9" sheetId="40" r:id="rId40"/>
    <sheet name="Sheet10" sheetId="41" r:id="rId41"/>
    <sheet name="Sheet11" sheetId="42" r:id="rId42"/>
    <sheet name="Sheet12" sheetId="43" r:id="rId43"/>
    <sheet name="Sheet13" sheetId="44" r:id="rId44"/>
    <sheet name="Sheet14" sheetId="45" r:id="rId45"/>
    <sheet name="Sheet15" sheetId="46" r:id="rId46"/>
    <sheet name="Sheet16" sheetId="47" r:id="rId47"/>
    <sheet name="Sheet17" sheetId="48" r:id="rId48"/>
    <sheet name="Sheet18" sheetId="49" r:id="rId49"/>
    <sheet name="Sheet19" sheetId="50" r:id="rId50"/>
    <sheet name="Sheet20" sheetId="51" r:id="rId51"/>
    <sheet name="Sheet21" sheetId="52" r:id="rId52"/>
    <sheet name="Sheet22" sheetId="53" r:id="rId53"/>
    <sheet name="Sheet23" sheetId="54" r:id="rId54"/>
    <sheet name="Sheet24" sheetId="55" r:id="rId55"/>
    <sheet name="Sheet25" sheetId="56" r:id="rId56"/>
    <sheet name="Sheet26" sheetId="57" r:id="rId57"/>
    <sheet name="Sheet27" sheetId="58" r:id="rId58"/>
    <sheet name="Sheet28" sheetId="59" r:id="rId59"/>
    <sheet name="Sheet29" sheetId="60" r:id="rId60"/>
    <sheet name="Sheet30" sheetId="61" r:id="rId61"/>
    <sheet name="Sheet31" sheetId="62" r:id="rId62"/>
    <sheet name="Sheet32" sheetId="63" r:id="rId63"/>
    <sheet name="Sheet33" sheetId="64" r:id="rId64"/>
    <sheet name="Sheet34" sheetId="65" r:id="rId65"/>
    <sheet name="Sheet35" sheetId="66" r:id="rId66"/>
    <sheet name="Sheet36" sheetId="67" r:id="rId67"/>
    <sheet name="Sheet37" sheetId="68" r:id="rId68"/>
    <sheet name="Sheet38" sheetId="69" r:id="rId69"/>
    <sheet name="Sheet39" sheetId="70" r:id="rId70"/>
    <sheet name="Sheet40" sheetId="71" r:id="rId71"/>
    <sheet name="Sheet41" sheetId="72" r:id="rId72"/>
    <sheet name="Sheet42" sheetId="73" r:id="rId73"/>
    <sheet name="Sheet43" sheetId="74" r:id="rId74"/>
    <sheet name="Sheet44" sheetId="75" r:id="rId75"/>
    <sheet name="Sheet45" sheetId="76" r:id="rId76"/>
    <sheet name="Sheet46" sheetId="77" r:id="rId77"/>
    <sheet name="Sheet47" sheetId="78" r:id="rId78"/>
    <sheet name="Sheet48" sheetId="79" r:id="rId79"/>
    <sheet name="Sheet49" sheetId="80" r:id="rId80"/>
    <sheet name="Sheet50" sheetId="81" r:id="rId81"/>
    <sheet name="Sheet51" sheetId="82" r:id="rId82"/>
    <sheet name="Sheet52" sheetId="83" r:id="rId83"/>
    <sheet name="Sheet53" sheetId="84" r:id="rId84"/>
    <sheet name="Sheet54" sheetId="85" r:id="rId85"/>
    <sheet name="Sheet55" sheetId="86" r:id="rId86"/>
    <sheet name="Sheet56" sheetId="87" r:id="rId87"/>
    <sheet name="Sheet57" sheetId="88" r:id="rId88"/>
    <sheet name="Sheet58" sheetId="89" r:id="rId89"/>
  </sheets>
  <definedNames>
    <definedName name="_xlnm.Print_Area" localSheetId="1">'inputPrYr'!$A$1:$E$55</definedName>
    <definedName name="_xlnm.Print_Area" localSheetId="10">'lpform'!$A$1:$H$34</definedName>
  </definedNames>
  <calcPr fullCalcOnLoad="1"/>
</workbook>
</file>

<file path=xl/sharedStrings.xml><?xml version="1.0" encoding="utf-8"?>
<sst xmlns="http://schemas.openxmlformats.org/spreadsheetml/2006/main" count="1267" uniqueCount="752">
  <si>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</si>
  <si>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</si>
  <si>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</si>
  <si>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</si>
  <si>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Non-Appr Bal</t>
  </si>
  <si>
    <t>Tot Exp/Non-Appr Bal</t>
  </si>
  <si>
    <t>Del Comp Rate: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</si>
  <si>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</si>
  <si>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</si>
  <si>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</si>
  <si>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</si>
  <si>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</si>
  <si>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This spreadsheet has a General Fund, General Fund Detail, Debt Service, 4 Tax Levy Funds, Special Highway, 5 No Tax Levy Funds, 1 Single No Tax Levy Fund, 1 Non-Budgeted fund page which can hold 5 non-budgeted funds.</t>
  </si>
  <si>
    <t>1. Input tab (inputPrYr) added column for the current year expenditures.</t>
  </si>
  <si>
    <t xml:space="preserve">3. All tax levy funds and no tax levy funds fund pages made the following changes: </t>
  </si>
  <si>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</si>
  <si>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</si>
  <si>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</si>
  <si>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</si>
  <si>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</si>
  <si>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</si>
  <si>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</si>
  <si>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</si>
  <si>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</si>
  <si>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</si>
  <si>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</si>
  <si>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</si>
  <si>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</si>
  <si>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</si>
  <si>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</si>
  <si>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</si>
  <si>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</si>
  <si>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</si>
  <si>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</si>
  <si>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</si>
  <si>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</si>
  <si>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</si>
  <si>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</si>
  <si>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</si>
  <si>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</si>
  <si>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</si>
  <si>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</si>
  <si>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</si>
  <si>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</si>
  <si>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</si>
  <si>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</si>
  <si>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</si>
  <si>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</si>
  <si>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</si>
  <si>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</si>
  <si>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</si>
  <si>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</si>
  <si>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</si>
  <si>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</si>
  <si>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</si>
  <si>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</si>
  <si>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</si>
  <si>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</si>
  <si>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</si>
  <si>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</si>
  <si>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</si>
  <si>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</si>
  <si>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</si>
  <si>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</si>
  <si>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</si>
  <si>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</si>
  <si>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</si>
  <si>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</si>
  <si>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</si>
  <si>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</si>
  <si>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</si>
  <si>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</si>
  <si>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</si>
  <si>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</si>
  <si>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</si>
  <si>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</si>
  <si>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</si>
  <si>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</si>
  <si>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</si>
  <si>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</si>
  <si>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</si>
  <si>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</si>
  <si>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</si>
  <si>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</si>
  <si>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</si>
  <si>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</si>
  <si>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</si>
  <si>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</si>
  <si>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</si>
  <si>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</si>
  <si>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</si>
  <si>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</si>
  <si>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</si>
  <si>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</si>
  <si>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</si>
  <si>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</si>
  <si>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</si>
  <si>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</si>
  <si>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</si>
  <si>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</si>
  <si>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</si>
  <si>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</si>
  <si>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</si>
  <si>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</si>
  <si>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</si>
  <si>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</si>
  <si>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</si>
  <si>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</si>
  <si>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</si>
  <si>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</si>
  <si>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</si>
  <si>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</si>
  <si>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</si>
  <si>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</si>
  <si>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</si>
  <si>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</si>
  <si>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</si>
  <si>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</si>
  <si>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</si>
  <si>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</si>
  <si>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</si>
  <si>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</si>
  <si>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</si>
  <si>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</si>
  <si>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</si>
  <si>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</si>
  <si>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</si>
  <si>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</si>
  <si>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</si>
  <si>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</si>
  <si>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</si>
  <si>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</si>
  <si>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 GENERAL</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</si>
  <si>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</si>
  <si>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</si>
  <si>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</si>
  <si>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</si>
  <si>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</si>
  <si>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</si>
  <si>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</si>
  <si>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</si>
  <si>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</si>
  <si>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</si>
  <si>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</si>
  <si>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</si>
  <si>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</si>
  <si>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</si>
  <si>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</si>
  <si>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</si>
  <si>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</si>
  <si>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</si>
  <si>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</si>
  <si>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</si>
  <si>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</si>
  <si>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</si>
  <si>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</si>
  <si>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</si>
  <si>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</si>
  <si>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</si>
  <si>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</si>
  <si>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</si>
  <si>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</si>
  <si>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</si>
  <si>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</si>
  <si>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</si>
  <si>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</si>
  <si>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</si>
  <si>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</si>
  <si>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</si>
  <si>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</si>
  <si>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</si>
  <si>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</si>
  <si>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</si>
  <si>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</si>
  <si>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</si>
  <si>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</si>
  <si>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</si>
  <si>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</si>
  <si>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</si>
  <si>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</si>
  <si>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</si>
  <si>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</si>
  <si>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</si>
  <si>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</si>
  <si>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</si>
  <si>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</si>
  <si>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</si>
  <si>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</si>
  <si>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</si>
  <si>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</si>
  <si>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</si>
  <si>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</si>
  <si>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</si>
  <si>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</si>
  <si>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</si>
  <si>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</si>
  <si>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</si>
  <si>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</si>
  <si>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</si>
  <si>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</si>
  <si>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</si>
  <si>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</si>
  <si>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</si>
  <si>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</si>
  <si>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</si>
  <si>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</si>
  <si>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</si>
  <si>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</si>
  <si>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</si>
  <si>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</si>
  <si>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</si>
  <si>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</si>
  <si>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</si>
  <si>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</si>
  <si>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</si>
  <si>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</si>
  <si>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</si>
  <si>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Bond &amp; Interest</t>
  </si>
  <si>
    <t>10-113</t>
  </si>
  <si>
    <t>Current Year Estimate</t>
  </si>
  <si>
    <t>Proposed Budget Year</t>
  </si>
  <si>
    <t xml:space="preserve">Computation to Determine Limit for </t>
  </si>
  <si>
    <t>Beginning Amount</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</si>
  <si>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</si>
  <si>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</si>
  <si>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</si>
  <si>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</si>
  <si>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</si>
  <si>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</si>
  <si>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</si>
  <si>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</si>
  <si>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</si>
  <si>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</si>
  <si>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</si>
  <si>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</si>
  <si>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</si>
  <si>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</si>
  <si>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</si>
  <si>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</si>
  <si>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</si>
  <si>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City Official Title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</si>
  <si>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</si>
  <si>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</si>
  <si>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</si>
  <si>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 xml:space="preserve">K.S.A. 79-2926 requires budgets to be submited by electronic means. Contact your County Clerk for the specify instruction as to submission of the budget.  </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</si>
  <si>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</si>
  <si>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</si>
  <si>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</si>
  <si>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</si>
  <si>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</si>
  <si>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</si>
  <si>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</si>
  <si>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</si>
  <si>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</si>
  <si>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</si>
  <si>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</si>
  <si>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</si>
  <si>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</si>
  <si>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</si>
  <si>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</si>
  <si>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</si>
  <si>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</si>
  <si>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</si>
  <si>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</si>
  <si>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</si>
  <si>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</si>
  <si>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</si>
  <si>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</si>
  <si>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</si>
  <si>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</si>
  <si>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</si>
  <si>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</si>
  <si>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</si>
  <si>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12-825d.</t>
    </r>
    <r>
      <rPr>
        <sz val="12"/>
        <color indexed="8"/>
        <rFont val="Times New Roman"/>
        <family val="1"/>
      </rPr>
      <t xml:space="preserve">  </t>
    </r>
    <r>
      <rPr>
        <b/>
        <sz val="12"/>
        <color indexed="8"/>
        <rFont val="Times New Roman"/>
        <family val="1"/>
      </rPr>
      <t>Utility reserve fund.</t>
    </r>
    <r>
      <rPr>
        <sz val="12"/>
        <color indexed="8"/>
        <rFont val="Times New Roman"/>
        <family val="1"/>
      </rPr>
      <t xml:space="preserve">  Cities with a waterworks, fuel, power or lighting plant, may establish a utility reserve fund.</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</si>
  <si>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</si>
  <si>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</si>
  <si>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</si>
  <si>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</si>
  <si>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</si>
  <si>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</si>
  <si>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</si>
  <si>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</si>
  <si>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</si>
  <si>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60-4117.</t>
    </r>
    <r>
      <rPr>
        <sz val="12"/>
        <color indexed="8"/>
        <rFont val="Times New Roman"/>
        <family val="1"/>
      </rPr>
      <t xml:space="preserve">  </t>
    </r>
    <r>
      <rPr>
        <b/>
        <sz val="12"/>
        <color indexed="8"/>
        <rFont val="Times New Roman"/>
        <family val="1"/>
      </rPr>
      <t>Special prosecutor's trust fund.</t>
    </r>
    <r>
      <rPr>
        <sz val="12"/>
        <color indexed="8"/>
        <rFont val="Times New Roman"/>
        <family val="1"/>
      </rPr>
      <t xml:space="preserve">  Provides for creation of a special prosecutor’s trust fund for deposit of proceeds received from the sale of property forfeited pursuant to the act.</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</si>
  <si>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</si>
  <si>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</si>
  <si>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</si>
  <si>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</si>
  <si>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</si>
  <si>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</si>
  <si>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</si>
  <si>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</si>
  <si>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</si>
  <si>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</si>
  <si>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</si>
  <si>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</si>
  <si>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</si>
  <si>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</si>
  <si>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</si>
  <si>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</si>
  <si>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</si>
  <si>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</si>
  <si>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</si>
  <si>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</si>
  <si>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</si>
  <si>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</si>
  <si>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</si>
  <si>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</si>
  <si>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</si>
  <si>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</si>
  <si>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</si>
  <si>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</si>
  <si>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</si>
  <si>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</si>
  <si>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</si>
  <si>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</si>
  <si>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</si>
  <si>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</si>
  <si>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</si>
  <si>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</si>
  <si>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</si>
  <si>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</si>
  <si>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</si>
  <si>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</si>
  <si>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</si>
  <si>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</si>
  <si>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</si>
  <si>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</si>
  <si>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</si>
  <si>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</si>
  <si>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</si>
  <si>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</si>
  <si>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</si>
  <si>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</si>
  <si>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</si>
  <si>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</si>
  <si>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</si>
  <si>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</si>
  <si>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</si>
  <si>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</si>
  <si>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</si>
  <si>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</si>
  <si>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</si>
  <si>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</si>
  <si>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</si>
  <si>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</si>
  <si>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</si>
  <si>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</si>
  <si>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</si>
  <si>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</si>
  <si>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</si>
  <si>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</si>
  <si>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</si>
  <si>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</si>
  <si>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</si>
  <si>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</si>
  <si>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</si>
  <si>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</si>
  <si>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</si>
  <si>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</si>
  <si>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</si>
  <si>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</si>
  <si>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</si>
  <si>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</si>
  <si>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</si>
  <si>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</si>
  <si>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</si>
  <si>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</si>
  <si>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</si>
  <si>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</si>
  <si>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</si>
  <si>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</si>
  <si>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</si>
  <si>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</si>
  <si>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</si>
  <si>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</si>
  <si>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</si>
  <si>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</si>
  <si>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</si>
  <si>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</si>
  <si>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</si>
  <si>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</si>
  <si>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</si>
  <si>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</si>
  <si>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</si>
  <si>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</si>
  <si>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</si>
  <si>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</si>
  <si>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</si>
  <si>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</si>
  <si>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</si>
  <si>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</si>
  <si>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</si>
  <si>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</si>
  <si>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</si>
  <si>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</si>
  <si>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</si>
  <si>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</si>
  <si>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</si>
  <si>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</si>
  <si>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</si>
  <si>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</si>
  <si>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</si>
  <si>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</si>
  <si>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</si>
  <si>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</si>
  <si>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</si>
  <si>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</si>
  <si>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</si>
  <si>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</si>
  <si>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</si>
  <si>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</si>
  <si>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</si>
  <si>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</si>
  <si>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</si>
  <si>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</si>
  <si>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</si>
  <si>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</si>
  <si>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</si>
  <si>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</si>
  <si>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</si>
  <si>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</si>
  <si>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</si>
  <si>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</si>
  <si>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</si>
  <si>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</si>
  <si>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</si>
  <si>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</si>
  <si>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</si>
  <si>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</si>
  <si>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</si>
  <si>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</si>
  <si>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</si>
  <si>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</si>
  <si>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</si>
  <si>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</si>
  <si>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</si>
  <si>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</si>
  <si>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</si>
  <si>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</si>
  <si>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</si>
  <si>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</si>
  <si>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</si>
  <si>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</si>
  <si>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</si>
  <si>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</si>
  <si>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</si>
  <si>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</si>
  <si>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</si>
  <si>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</si>
  <si>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</si>
  <si>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</si>
  <si>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</si>
  <si>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</si>
  <si>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</si>
  <si>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</si>
  <si>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</si>
  <si>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</si>
  <si>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</si>
  <si>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</si>
  <si>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</si>
  <si>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</si>
  <si>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</si>
  <si>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</si>
  <si>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</si>
  <si>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</si>
  <si>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</si>
  <si>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</si>
  <si>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</si>
  <si>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</si>
  <si>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</si>
  <si>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</si>
  <si>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</si>
  <si>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</si>
  <si>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</si>
  <si>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</si>
  <si>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</si>
  <si>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</si>
  <si>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</si>
  <si>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</si>
  <si>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</si>
  <si>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</si>
  <si>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</si>
  <si>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</si>
  <si>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</si>
  <si>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</si>
  <si>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</si>
  <si>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</si>
  <si>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</si>
  <si>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</si>
  <si>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</si>
  <si>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</si>
  <si>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</si>
  <si>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</si>
  <si>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</si>
  <si>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</si>
  <si>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</si>
  <si>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</si>
  <si>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</si>
  <si>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</si>
  <si>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</si>
  <si>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</si>
  <si>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</si>
  <si>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</si>
  <si>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</si>
  <si>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</si>
  <si>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</si>
  <si>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</si>
  <si>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</si>
  <si>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</si>
  <si>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</si>
  <si>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</si>
  <si>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</si>
  <si>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</si>
  <si>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</si>
  <si>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</si>
  <si>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</si>
  <si>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</si>
  <si>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</si>
  <si>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</si>
  <si>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</si>
  <si>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</si>
  <si>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</si>
  <si>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</si>
  <si>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</si>
  <si>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</si>
  <si>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</si>
  <si>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</si>
  <si>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</si>
  <si>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</si>
  <si>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</si>
  <si>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</si>
  <si>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</si>
  <si>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</si>
  <si>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</si>
  <si>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</si>
  <si>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</si>
  <si>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</si>
  <si>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</si>
  <si>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</si>
  <si>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</si>
  <si>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</si>
  <si>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</si>
  <si>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10.  The spreadsheet has individual fund sheets for General Fund (general), Debt Service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</si>
  <si>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10a.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</si>
  <si>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10b.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</si>
  <si>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10c.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</si>
  <si>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10d.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</si>
  <si>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10e. The Single No Tax Levy Fund page (Sinnolevy 14) is for a fund that has numerous lines for receipts or expenditures that does not fit on one of the other no levy pages.  Additional lines may be added as needed. </t>
  </si>
  <si>
    <r>
      <t>10f.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</si>
  <si>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10g. The non-budgeted pages in the last column, the last two boxes should have the same figures as the last box take totals from the right side with the next to last box takes totals from the bottom.</t>
  </si>
  <si>
    <r>
      <t xml:space="preserve">10h.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</si>
  <si>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</si>
  <si>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</si>
  <si>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10k.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</si>
  <si>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</si>
  <si>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</si>
  <si>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t xml:space="preserve">11b. Before printing, review the form to ensure all the information is provided and the figures are correct. Print the page, have official sign it, and take to the local newspaper for printing. </t>
  </si>
  <si>
    <t>11c.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</si>
  <si>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</si>
  <si>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</si>
  <si>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</si>
  <si>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</si>
  <si>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</si>
  <si>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</si>
  <si>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</si>
  <si>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</si>
  <si>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</si>
  <si>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</si>
  <si>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</si>
  <si>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</si>
  <si>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</si>
  <si>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</si>
  <si>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</si>
  <si>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</si>
  <si>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</si>
  <si>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</si>
  <si>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</si>
  <si>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</si>
  <si>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</si>
  <si>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</si>
  <si>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</si>
  <si>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</si>
  <si>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</si>
  <si>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</si>
  <si>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</si>
  <si>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</si>
  <si>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</si>
  <si>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CITY OF BOGUE</t>
  </si>
  <si>
    <t>GRAHAM</t>
  </si>
  <si>
    <t>7:00 PM</t>
  </si>
  <si>
    <t>Utility</t>
  </si>
  <si>
    <t>Special Improvement</t>
  </si>
  <si>
    <t>Debt Svs. Reserve</t>
  </si>
  <si>
    <t>None</t>
  </si>
  <si>
    <t>Reimbursed Expense</t>
  </si>
  <si>
    <t>Contracted Services</t>
  </si>
  <si>
    <t>Insurance</t>
  </si>
  <si>
    <t>Legal Services</t>
  </si>
  <si>
    <t>Sales Tax P/T (GCED)</t>
  </si>
  <si>
    <t>Capital Exp. Or Debt Svs. Reserve</t>
  </si>
  <si>
    <t>12-1118</t>
  </si>
  <si>
    <t>12-825d</t>
  </si>
  <si>
    <t>Transfer to Special Improvement</t>
  </si>
  <si>
    <t>Supplies</t>
  </si>
  <si>
    <t>Plant Operational Expense</t>
  </si>
  <si>
    <t>Sales Tax and W/P Fees</t>
  </si>
  <si>
    <t>Capital Expenditure and/or Debt Svs Res.</t>
  </si>
  <si>
    <t>NONE</t>
  </si>
  <si>
    <t>79-520</t>
  </si>
  <si>
    <t>12825c</t>
  </si>
  <si>
    <t>J.C.Thompson</t>
  </si>
  <si>
    <t>PO Box 68</t>
  </si>
  <si>
    <t>Bogue, Kansas 67625</t>
  </si>
  <si>
    <t>Contracted Services and/or Wages</t>
  </si>
  <si>
    <t>City Treasurer</t>
  </si>
  <si>
    <t>ORDINANCE NO 155</t>
  </si>
  <si>
    <t>Passed and approved by the Governing Body this 12th day of July 2010.</t>
  </si>
  <si>
    <t>Township Hall Basement - 501 Main St.</t>
  </si>
  <si>
    <t>City Treasurers Office - 309 7th St.</t>
  </si>
  <si>
    <t>Wages (Council &amp; Emp.)</t>
  </si>
  <si>
    <t>Wages or Contracted Svs</t>
  </si>
  <si>
    <t>Genral and Utility Funds</t>
  </si>
  <si>
    <t>Water Dock Proj</t>
  </si>
  <si>
    <t>PPC</t>
  </si>
  <si>
    <t>SAC</t>
  </si>
  <si>
    <t>Sales Tax</t>
  </si>
  <si>
    <t>Fire Dept</t>
  </si>
  <si>
    <t>Reimbursed Exp</t>
  </si>
  <si>
    <t>August 12, 2013</t>
  </si>
  <si>
    <t>Grant</t>
  </si>
  <si>
    <t>Genl-CapexpTr</t>
  </si>
  <si>
    <t>Util-CapexpTr</t>
  </si>
  <si>
    <t>Supplies/Utilities/Repairs</t>
  </si>
  <si>
    <t xml:space="preserve">Parks      </t>
  </si>
  <si>
    <t xml:space="preserve"> Misc</t>
  </si>
  <si>
    <t>xxxxxxxxxxxxxxxxxxxx</t>
  </si>
  <si>
    <t>xxxxxxxxxxxxxxxxxxxxxx</t>
  </si>
  <si>
    <t xml:space="preserve">      </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</si>
  <si>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</si>
  <si>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</si>
  <si>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</si>
  <si>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</si>
  <si>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</si>
  <si>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</si>
  <si>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</si>
  <si>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</si>
  <si>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</si>
  <si>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</si>
  <si>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</si>
  <si>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</si>
  <si>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</si>
  <si>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</si>
  <si>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</si>
  <si>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</si>
  <si>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</si>
  <si>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</si>
  <si>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</si>
  <si>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</si>
  <si>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</si>
  <si>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</si>
  <si>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</si>
  <si>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</si>
  <si>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</si>
  <si>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</si>
  <si>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</si>
  <si>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</si>
  <si>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</si>
  <si>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</si>
  <si>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</si>
  <si>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</si>
  <si>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</si>
  <si>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</si>
  <si>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</si>
  <si>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</si>
  <si>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</si>
  <si>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 xml:space="preserve">November 1st  Total Assessed Valuation </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</si>
  <si>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</si>
  <si>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</si>
  <si>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</si>
  <si>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</si>
  <si>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</si>
  <si>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1.Instruction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</si>
  <si>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</si>
  <si>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</si>
  <si>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</si>
  <si>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</si>
  <si>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</si>
  <si>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</si>
  <si>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</si>
  <si>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</si>
  <si>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</si>
  <si>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</si>
  <si>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</si>
  <si>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</si>
  <si>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</si>
  <si>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</si>
  <si>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</si>
  <si>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</si>
  <si>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r>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</si>
  <si>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 PAGE</t>
  </si>
  <si>
    <t>Neighborhood Revitalization Rebate</t>
  </si>
  <si>
    <t>Does miscellaneous exceed 10% of Total Receipts</t>
  </si>
  <si>
    <t>Does miscellaneous exceed 10% of Total Expenditures</t>
  </si>
  <si>
    <t>Does miscellanous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</si>
  <si>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</si>
  <si>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</si>
  <si>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</si>
  <si>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</si>
  <si>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</si>
  <si>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</si>
  <si>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</si>
  <si>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</si>
  <si>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</si>
  <si>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</si>
  <si>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</si>
  <si>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</si>
  <si>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</si>
  <si>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</si>
  <si>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</si>
  <si>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</si>
  <si>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</si>
  <si>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</si>
  <si>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Do not use the copy and move functions on this page.   Do not add or delete lines on this page</t>
    </r>
    <r>
      <rPr>
        <sz val="12"/>
        <rFont val="Times New Roman"/>
        <family val="1"/>
      </rPr>
      <t>.</t>
    </r>
  </si>
  <si>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</si>
  <si>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</si>
  <si>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</si>
  <si>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</si>
  <si>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</si>
  <si>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</si>
  <si>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</si>
  <si>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</si>
  <si>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</si>
  <si>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</si>
  <si>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</si>
  <si>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</si>
  <si>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</si>
  <si>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</si>
  <si>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</si>
  <si>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</si>
  <si>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</si>
  <si>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</si>
  <si>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</si>
  <si>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</si>
  <si>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</si>
  <si>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</si>
  <si>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</si>
  <si>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</si>
  <si>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4. Changed foot note to reflect the changes maded on 7/1/08 to the above tabs.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</si>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</sst>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s>
  <fonts count="4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4"/>
        <bgColor indexed="64"/>
      </patternFill>
    </fill>
    <fill>
      <patternFill patternType="solid">
        <fgColor indexed="13"/>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double"/>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color indexed="63"/>
      </right>
      <top>
        <color indexed="63"/>
      </top>
      <bottom style="double"/>
    </border>
  </borders>
  <cellStyleXfs count="1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5" fillId="16" borderId="1" applyNumberFormat="0" applyAlignment="0" applyProtection="0"/>
    <xf numFmtId="0" fontId="3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7"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45" fillId="1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3" fillId="0" borderId="0" applyNumberFormat="0" applyFill="0" applyBorder="0" applyAlignment="0" applyProtection="0"/>
  </cellStyleXfs>
  <cellXfs count="65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3" fontId="6" fillId="18" borderId="10" xfId="0" applyNumberFormat="1" applyFont="1" applyFill="1" applyBorder="1" applyAlignment="1" applyProtection="1">
      <alignment/>
      <protection locked="0"/>
    </xf>
    <xf numFmtId="0" fontId="6" fillId="18" borderId="0" xfId="0" applyFont="1" applyFill="1" applyAlignment="1" applyProtection="1">
      <alignment horizontal="left"/>
      <protection locked="0"/>
    </xf>
    <xf numFmtId="3" fontId="6" fillId="18" borderId="10" xfId="0" applyNumberFormat="1" applyFont="1" applyFill="1" applyBorder="1" applyAlignment="1" applyProtection="1">
      <alignment horizontal="right"/>
      <protection locked="0"/>
    </xf>
    <xf numFmtId="3" fontId="6" fillId="18" borderId="10" xfId="0" applyNumberFormat="1" applyFont="1" applyFill="1" applyBorder="1" applyAlignment="1" applyProtection="1">
      <alignment horizontal="righ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3"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quotePrefix="1">
      <alignment horizontal="right"/>
      <protection/>
    </xf>
    <xf numFmtId="37" fontId="6" fillId="4" borderId="0" xfId="0" applyNumberFormat="1" applyFont="1" applyFill="1" applyAlignment="1" applyProtection="1">
      <alignment horizontal="righ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fill"/>
      <protection/>
    </xf>
    <xf numFmtId="37" fontId="6" fillId="4" borderId="15" xfId="0" applyNumberFormat="1" applyFont="1" applyFill="1" applyBorder="1" applyAlignment="1" applyProtection="1">
      <alignment horizontal="center"/>
      <protection/>
    </xf>
    <xf numFmtId="0" fontId="6" fillId="4" borderId="14" xfId="0" applyFont="1" applyFill="1" applyBorder="1" applyAlignment="1" applyProtection="1">
      <alignment/>
      <protection/>
    </xf>
    <xf numFmtId="37" fontId="6" fillId="4" borderId="16"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Alignment="1" applyProtection="1">
      <alignment horizontal="right"/>
      <protection/>
    </xf>
    <xf numFmtId="166" fontId="6" fillId="4" borderId="0" xfId="0" applyNumberFormat="1" applyFont="1" applyFill="1" applyAlignment="1" applyProtection="1">
      <alignment/>
      <protection/>
    </xf>
    <xf numFmtId="0" fontId="6" fillId="4" borderId="17" xfId="0" applyFont="1" applyFill="1" applyBorder="1" applyAlignment="1" applyProtection="1">
      <alignment horizontal="center"/>
      <protection/>
    </xf>
    <xf numFmtId="0" fontId="6" fillId="4" borderId="16" xfId="0" applyFont="1" applyFill="1" applyBorder="1" applyAlignment="1" applyProtection="1">
      <alignment horizontal="center"/>
      <protection/>
    </xf>
    <xf numFmtId="3" fontId="6" fillId="4" borderId="10" xfId="42" applyNumberFormat="1" applyFont="1" applyFill="1" applyBorder="1" applyAlignment="1" applyProtection="1">
      <alignment horizontal="right"/>
      <protection/>
    </xf>
    <xf numFmtId="3" fontId="6" fillId="4" borderId="10" xfId="0" applyNumberFormat="1" applyFont="1" applyFill="1" applyBorder="1" applyAlignment="1" applyProtection="1">
      <alignment horizontal="right"/>
      <protection/>
    </xf>
    <xf numFmtId="37" fontId="6" fillId="4" borderId="0" xfId="0" applyNumberFormat="1" applyFont="1" applyFill="1" applyAlignment="1" applyProtection="1">
      <alignment horizontal="fill"/>
      <protection/>
    </xf>
    <xf numFmtId="1" fontId="6" fillId="4" borderId="16" xfId="0" applyNumberFormat="1" applyFont="1" applyFill="1" applyBorder="1" applyAlignment="1" applyProtection="1">
      <alignment horizontal="center"/>
      <protection/>
    </xf>
    <xf numFmtId="37" fontId="5" fillId="4" borderId="11" xfId="0" applyNumberFormat="1" applyFont="1" applyFill="1" applyBorder="1" applyAlignment="1" applyProtection="1">
      <alignment horizontal="left"/>
      <protection/>
    </xf>
    <xf numFmtId="3" fontId="6" fillId="4" borderId="10" xfId="0" applyNumberFormat="1" applyFont="1" applyFill="1" applyBorder="1" applyAlignment="1" applyProtection="1">
      <alignment horizontal="fill"/>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4" xfId="0" applyNumberFormat="1" applyFont="1" applyFill="1" applyBorder="1" applyAlignment="1" applyProtection="1">
      <alignment horizontal="left"/>
      <protection/>
    </xf>
    <xf numFmtId="1" fontId="6" fillId="4" borderId="14" xfId="0" applyNumberFormat="1" applyFont="1" applyFill="1" applyBorder="1" applyAlignment="1" applyProtection="1">
      <alignment horizontal="center"/>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37" fontId="6" fillId="4" borderId="11" xfId="0" applyNumberFormat="1" applyFont="1" applyFill="1" applyBorder="1" applyAlignment="1" applyProtection="1">
      <alignment horizontal="left"/>
      <protection/>
    </xf>
    <xf numFmtId="0" fontId="0" fillId="4" borderId="0" xfId="0" applyFill="1" applyAlignment="1">
      <alignment/>
    </xf>
    <xf numFmtId="1" fontId="6" fillId="4" borderId="17" xfId="0" applyNumberFormat="1" applyFont="1" applyFill="1" applyBorder="1" applyAlignment="1" applyProtection="1">
      <alignment horizontal="center"/>
      <protection/>
    </xf>
    <xf numFmtId="37" fontId="9" fillId="4" borderId="15"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3" fontId="6" fillId="4" borderId="0" xfId="0" applyNumberFormat="1" applyFont="1" applyFill="1" applyAlignment="1" applyProtection="1">
      <alignment horizontal="center"/>
      <protection/>
    </xf>
    <xf numFmtId="188" fontId="6" fillId="4" borderId="0" xfId="0" applyNumberFormat="1" applyFont="1" applyFill="1" applyAlignment="1" applyProtection="1">
      <alignment horizontal="center"/>
      <protection locked="0"/>
    </xf>
    <xf numFmtId="0" fontId="6" fillId="4" borderId="0" xfId="0" applyFont="1" applyFill="1" applyAlignment="1">
      <alignment horizontal="right"/>
    </xf>
    <xf numFmtId="37" fontId="6" fillId="4" borderId="0" xfId="0" applyNumberFormat="1" applyFont="1" applyFill="1" applyBorder="1" applyAlignment="1" applyProtection="1">
      <alignment/>
      <protection/>
    </xf>
    <xf numFmtId="3" fontId="6" fillId="7" borderId="10" xfId="0" applyNumberFormat="1" applyFont="1" applyFill="1" applyBorder="1" applyAlignment="1" applyProtection="1">
      <alignment/>
      <protection/>
    </xf>
    <xf numFmtId="3" fontId="6" fillId="7" borderId="10" xfId="0" applyNumberFormat="1" applyFont="1" applyFill="1" applyBorder="1" applyAlignment="1" applyProtection="1">
      <alignment horizontal="center"/>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0" fontId="18" fillId="0" borderId="0" xfId="0" applyFont="1" applyAlignment="1" applyProtection="1">
      <alignment/>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4" borderId="11" xfId="0" applyNumberFormat="1" applyFont="1" applyFill="1" applyBorder="1" applyAlignment="1" applyProtection="1">
      <alignment horizontal="left"/>
      <protection/>
    </xf>
    <xf numFmtId="0" fontId="6" fillId="18" borderId="11" xfId="0" applyNumberFormat="1" applyFont="1" applyFill="1" applyBorder="1" applyAlignment="1" applyProtection="1">
      <alignment horizontal="left"/>
      <protection locked="0"/>
    </xf>
    <xf numFmtId="0" fontId="6" fillId="18" borderId="19" xfId="0" applyNumberFormat="1" applyFont="1" applyFill="1" applyBorder="1" applyAlignment="1" applyProtection="1">
      <alignment horizontal="left"/>
      <protection locked="0"/>
    </xf>
    <xf numFmtId="37" fontId="6" fillId="4" borderId="20" xfId="0" applyNumberFormat="1" applyFont="1" applyFill="1" applyBorder="1" applyAlignment="1" applyProtection="1">
      <alignment horizontal="left"/>
      <protection/>
    </xf>
    <xf numFmtId="0" fontId="6" fillId="18" borderId="11" xfId="0" applyFont="1" applyFill="1" applyBorder="1" applyAlignment="1" applyProtection="1">
      <alignment/>
      <protection locked="0"/>
    </xf>
    <xf numFmtId="37" fontId="6" fillId="4" borderId="13" xfId="0" applyNumberFormat="1" applyFont="1" applyFill="1" applyBorder="1" applyAlignment="1" applyProtection="1">
      <alignment horizontal="left"/>
      <protection/>
    </xf>
    <xf numFmtId="37" fontId="6" fillId="18" borderId="13"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 fontId="18" fillId="19" borderId="10" xfId="0" applyNumberFormat="1" applyFont="1" applyFill="1" applyBorder="1" applyAlignment="1" applyProtection="1">
      <alignment horizontal="center"/>
      <protection/>
    </xf>
    <xf numFmtId="0" fontId="6" fillId="4" borderId="19" xfId="0" applyNumberFormat="1" applyFont="1" applyFill="1" applyBorder="1" applyAlignment="1" applyProtection="1">
      <alignment horizontal="left"/>
      <protection/>
    </xf>
    <xf numFmtId="37" fontId="6" fillId="4" borderId="0" xfId="0" applyNumberFormat="1" applyFont="1" applyFill="1" applyAlignment="1" applyProtection="1">
      <alignment/>
      <protection locked="0"/>
    </xf>
    <xf numFmtId="179" fontId="6" fillId="4" borderId="14"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4" xfId="0" applyNumberFormat="1" applyFont="1" applyFill="1" applyBorder="1" applyAlignment="1">
      <alignment horizontal="center"/>
    </xf>
    <xf numFmtId="0" fontId="0" fillId="4" borderId="0" xfId="0" applyFill="1" applyAlignment="1">
      <alignment horizontal="center"/>
    </xf>
    <xf numFmtId="0" fontId="6" fillId="4" borderId="14"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0" fontId="6" fillId="4" borderId="0" xfId="0" applyFont="1" applyFill="1" applyAlignment="1" applyProtection="1">
      <alignment horizontal="left"/>
      <protection locked="0"/>
    </xf>
    <xf numFmtId="37" fontId="6" fillId="4" borderId="21" xfId="0" applyNumberFormat="1" applyFont="1" applyFill="1" applyBorder="1" applyAlignment="1" applyProtection="1">
      <alignment horizontal="left"/>
      <protection/>
    </xf>
    <xf numFmtId="37" fontId="6" fillId="4" borderId="22" xfId="0" applyNumberFormat="1" applyFont="1" applyFill="1" applyBorder="1" applyAlignment="1" applyProtection="1">
      <alignment/>
      <protection/>
    </xf>
    <xf numFmtId="3" fontId="5" fillId="20" borderId="10" xfId="0" applyNumberFormat="1" applyFont="1" applyFill="1" applyBorder="1" applyAlignment="1" applyProtection="1">
      <alignment/>
      <protection/>
    </xf>
    <xf numFmtId="3" fontId="6" fillId="4" borderId="16" xfId="0" applyNumberFormat="1" applyFont="1" applyFill="1" applyBorder="1" applyAlignment="1" applyProtection="1">
      <alignment horizontal="center"/>
      <protection/>
    </xf>
    <xf numFmtId="3" fontId="6" fillId="4" borderId="16" xfId="0" applyNumberFormat="1" applyFont="1" applyFill="1" applyBorder="1" applyAlignment="1" applyProtection="1">
      <alignment horizontal="fill"/>
      <protection/>
    </xf>
    <xf numFmtId="3" fontId="6" fillId="7" borderId="13" xfId="0" applyNumberFormat="1" applyFont="1" applyFill="1" applyBorder="1" applyAlignment="1" applyProtection="1">
      <alignment horizontal="center"/>
      <protection/>
    </xf>
    <xf numFmtId="3" fontId="6" fillId="7" borderId="23" xfId="0" applyNumberFormat="1" applyFont="1" applyFill="1" applyBorder="1" applyAlignment="1" applyProtection="1">
      <alignment horizontal="center"/>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1"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4" xfId="0" applyNumberFormat="1" applyFont="1" applyFill="1" applyBorder="1" applyAlignment="1" applyProtection="1">
      <alignment horizontal="left" vertical="center"/>
      <protection locked="0"/>
    </xf>
    <xf numFmtId="0" fontId="6" fillId="18" borderId="14" xfId="0" applyFont="1" applyFill="1" applyBorder="1" applyAlignment="1" applyProtection="1">
      <alignment vertical="center"/>
      <protection/>
    </xf>
    <xf numFmtId="37" fontId="6" fillId="18" borderId="12" xfId="0" applyNumberFormat="1" applyFont="1" applyFill="1" applyBorder="1" applyAlignment="1" applyProtection="1">
      <alignment horizontal="left" vertical="center"/>
      <protection locked="0"/>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2" borderId="0" xfId="0" applyFont="1" applyFill="1" applyAlignment="1" applyProtection="1">
      <alignment vertical="center"/>
      <protection/>
    </xf>
    <xf numFmtId="0" fontId="6" fillId="22" borderId="0" xfId="0" applyFont="1" applyFill="1" applyAlignment="1" applyProtection="1">
      <alignment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2" borderId="15"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2" borderId="16"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4" xfId="0" applyNumberFormat="1" applyFont="1" applyFill="1" applyBorder="1" applyAlignment="1" applyProtection="1">
      <alignment horizontal="left" vertical="center"/>
      <protection/>
    </xf>
    <xf numFmtId="0" fontId="6" fillId="4" borderId="14"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4"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2" borderId="0" xfId="0" applyNumberFormat="1" applyFont="1" applyFill="1" applyAlignment="1" applyProtection="1">
      <alignment horizontal="center" vertical="center"/>
      <protection/>
    </xf>
    <xf numFmtId="0" fontId="6" fillId="22" borderId="14"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6"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2" borderId="14" xfId="0" applyNumberFormat="1" applyFont="1" applyFill="1" applyBorder="1" applyAlignment="1" applyProtection="1">
      <alignment horizontal="left" vertical="center"/>
      <protection/>
    </xf>
    <xf numFmtId="0" fontId="6" fillId="22" borderId="14" xfId="0" applyFont="1" applyFill="1" applyBorder="1" applyAlignment="1" applyProtection="1">
      <alignment vertical="center"/>
      <protection/>
    </xf>
    <xf numFmtId="0" fontId="6" fillId="22"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2"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4" xfId="0" applyFont="1" applyFill="1" applyBorder="1" applyAlignment="1" applyProtection="1">
      <alignment horizontal="center" vertical="center"/>
      <protection/>
    </xf>
    <xf numFmtId="0" fontId="6" fillId="4" borderId="14" xfId="0" applyFont="1" applyFill="1" applyBorder="1" applyAlignment="1" applyProtection="1">
      <alignment horizontal="center" vertical="center"/>
      <protection locked="0"/>
    </xf>
    <xf numFmtId="0" fontId="6" fillId="22" borderId="14"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4"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5" xfId="0" applyFont="1" applyFill="1" applyBorder="1" applyAlignment="1" applyProtection="1">
      <alignment vertical="center"/>
      <protection/>
    </xf>
    <xf numFmtId="169" fontId="6" fillId="18" borderId="25"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4" xfId="0"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3" fontId="6" fillId="22" borderId="0" xfId="0" applyNumberFormat="1" applyFont="1" applyFill="1" applyAlignment="1" applyProtection="1">
      <alignment vertical="center"/>
      <protection/>
    </xf>
    <xf numFmtId="3" fontId="6" fillId="4" borderId="22"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2" fontId="6" fillId="18" borderId="10" xfId="0" applyNumberFormat="1" applyFont="1" applyFill="1" applyBorder="1" applyAlignment="1" applyProtection="1">
      <alignment vertical="center"/>
      <protection locked="0"/>
    </xf>
    <xf numFmtId="188" fontId="6" fillId="18" borderId="10" xfId="0" applyNumberFormat="1" applyFont="1" applyFill="1" applyBorder="1" applyAlignment="1" applyProtection="1">
      <alignment vertical="center"/>
      <protection locked="0"/>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2" borderId="0" xfId="0" applyFont="1" applyFill="1" applyAlignment="1">
      <alignment vertical="center"/>
    </xf>
    <xf numFmtId="0" fontId="1" fillId="22" borderId="0" xfId="0" applyFont="1" applyFill="1" applyAlignment="1">
      <alignment vertical="center"/>
    </xf>
    <xf numFmtId="0" fontId="0" fillId="22" borderId="0" xfId="0" applyFill="1" applyAlignment="1" applyProtection="1">
      <alignment vertical="center"/>
      <protection locked="0"/>
    </xf>
    <xf numFmtId="0" fontId="6" fillId="4" borderId="14" xfId="0" applyFont="1" applyFill="1" applyBorder="1" applyAlignment="1">
      <alignment vertical="center"/>
    </xf>
    <xf numFmtId="0" fontId="0" fillId="4" borderId="14" xfId="0" applyFill="1" applyBorder="1" applyAlignment="1">
      <alignment vertical="center"/>
    </xf>
    <xf numFmtId="0" fontId="0" fillId="4" borderId="22"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21" borderId="15" xfId="0" applyFont="1" applyFill="1" applyBorder="1" applyAlignment="1">
      <alignment horizontal="center" vertical="center"/>
    </xf>
    <xf numFmtId="0" fontId="6" fillId="21" borderId="16"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37" fontId="7" fillId="4" borderId="0" xfId="0" applyNumberFormat="1" applyFont="1" applyFill="1" applyAlignment="1" applyProtection="1">
      <alignmen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4" xfId="0" applyFont="1" applyFill="1" applyBorder="1" applyAlignment="1" applyProtection="1">
      <alignment vertical="center"/>
      <protection/>
    </xf>
    <xf numFmtId="0" fontId="6" fillId="4" borderId="21"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fill"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7" fontId="5" fillId="4" borderId="1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6" xfId="0" applyFont="1" applyFill="1" applyBorder="1" applyAlignment="1" applyProtection="1">
      <alignment vertical="center"/>
      <protection/>
    </xf>
    <xf numFmtId="0" fontId="6" fillId="4" borderId="17"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6" xfId="0" applyNumberFormat="1" applyFont="1" applyFill="1" applyBorder="1" applyAlignment="1" applyProtection="1">
      <alignment horizontal="left" vertical="center"/>
      <protection/>
    </xf>
    <xf numFmtId="37" fontId="14" fillId="4" borderId="16"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0" xfId="0"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37" fontId="5" fillId="4" borderId="1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fill" vertical="center"/>
      <protection/>
    </xf>
    <xf numFmtId="3" fontId="6" fillId="7" borderId="18" xfId="0" applyNumberFormat="1" applyFont="1" applyFill="1" applyBorder="1" applyAlignment="1" applyProtection="1">
      <alignment vertical="center"/>
      <protection/>
    </xf>
    <xf numFmtId="179" fontId="6" fillId="7" borderId="18" xfId="0" applyNumberFormat="1" applyFont="1" applyFill="1" applyBorder="1" applyAlignment="1" applyProtection="1">
      <alignment vertical="center"/>
      <protection/>
    </xf>
    <xf numFmtId="0" fontId="6" fillId="4" borderId="27" xfId="0" applyFont="1" applyFill="1" applyBorder="1" applyAlignment="1">
      <alignment horizontal="center" vertical="center"/>
    </xf>
    <xf numFmtId="0" fontId="6" fillId="4" borderId="24" xfId="0" applyFont="1" applyFill="1" applyBorder="1" applyAlignment="1">
      <alignment horizontal="center" vertical="center"/>
    </xf>
    <xf numFmtId="37" fontId="6" fillId="20" borderId="10" xfId="0" applyNumberFormat="1" applyFont="1" applyFill="1" applyBorder="1" applyAlignment="1" applyProtection="1">
      <alignment horizontal="left" vertical="center"/>
      <protection/>
    </xf>
    <xf numFmtId="0" fontId="6" fillId="20" borderId="10" xfId="0" applyFont="1" applyFill="1" applyBorder="1" applyAlignment="1" applyProtection="1">
      <alignment vertical="center"/>
      <protection/>
    </xf>
    <xf numFmtId="37" fontId="6" fillId="20" borderId="10" xfId="0" applyNumberFormat="1" applyFont="1" applyFill="1" applyBorder="1" applyAlignment="1" applyProtection="1">
      <alignment vertical="center"/>
      <protection/>
    </xf>
    <xf numFmtId="0" fontId="0" fillId="20" borderId="10" xfId="0" applyFill="1" applyBorder="1" applyAlignment="1">
      <alignment vertical="center"/>
    </xf>
    <xf numFmtId="0" fontId="18" fillId="20" borderId="13" xfId="0"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0" fontId="4" fillId="21" borderId="0" xfId="0" applyFont="1" applyFill="1" applyAlignment="1" applyProtection="1">
      <alignment horizontal="center" vertical="center" shrinkToFit="1"/>
      <protection/>
    </xf>
    <xf numFmtId="177" fontId="6"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0" fontId="6" fillId="18" borderId="14"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4"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5" xfId="0" applyNumberFormat="1" applyFont="1" applyFill="1" applyBorder="1" applyAlignment="1" applyProtection="1">
      <alignment vertical="center"/>
      <protection/>
    </xf>
    <xf numFmtId="171" fontId="6" fillId="4" borderId="14"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 fontId="6" fillId="4" borderId="14"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5" xfId="0"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4"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locked="0"/>
    </xf>
    <xf numFmtId="177" fontId="6" fillId="18" borderId="16"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177" applyFont="1" applyFill="1" applyAlignment="1" applyProtection="1">
      <alignment horizontal="centerContinuous" vertical="center"/>
      <protection/>
    </xf>
    <xf numFmtId="0" fontId="6" fillId="4" borderId="14" xfId="0" applyFont="1" applyFill="1" applyBorder="1" applyAlignment="1" applyProtection="1">
      <alignment horizontal="fill" vertical="center"/>
      <protection/>
    </xf>
    <xf numFmtId="0" fontId="6" fillId="4" borderId="19" xfId="0" applyFont="1" applyFill="1" applyBorder="1" applyAlignment="1" applyProtection="1">
      <alignment horizontal="centerContinuous" vertical="center"/>
      <protection/>
    </xf>
    <xf numFmtId="0" fontId="6" fillId="4" borderId="26"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0"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6"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4" xfId="0" applyFont="1" applyBorder="1" applyAlignment="1" applyProtection="1">
      <alignment vertical="center"/>
      <protection locked="0"/>
    </xf>
    <xf numFmtId="0" fontId="6" fillId="4" borderId="14" xfId="0" applyFont="1" applyFill="1" applyBorder="1" applyAlignment="1" applyProtection="1">
      <alignment horizontal="left" vertical="center"/>
      <protection/>
    </xf>
    <xf numFmtId="0" fontId="9" fillId="4" borderId="16"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3" xfId="0" applyNumberFormat="1" applyFont="1" applyFill="1" applyBorder="1" applyAlignment="1" applyProtection="1">
      <alignment horizontal="center" vertical="center"/>
      <protection/>
    </xf>
    <xf numFmtId="0" fontId="6" fillId="14" borderId="0" xfId="176"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7" fontId="6" fillId="4" borderId="13" xfId="0" applyNumberFormat="1" applyFont="1" applyFill="1" applyBorder="1" applyAlignment="1" applyProtection="1">
      <alignment horizontal="left" vertical="center"/>
      <protection/>
    </xf>
    <xf numFmtId="3" fontId="6" fillId="4" borderId="22" xfId="42"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7" fontId="6" fillId="18" borderId="13"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vertical="center"/>
      <protection locked="0"/>
    </xf>
    <xf numFmtId="0" fontId="6" fillId="18" borderId="19" xfId="0" applyNumberFormat="1" applyFont="1" applyFill="1" applyBorder="1" applyAlignment="1" applyProtection="1">
      <alignment horizontal="left" vertical="center"/>
      <protection locked="0"/>
    </xf>
    <xf numFmtId="37" fontId="18" fillId="4" borderId="13" xfId="0" applyNumberFormat="1" applyFont="1" applyFill="1" applyBorder="1" applyAlignment="1" applyProtection="1">
      <alignment horizontal="left" vertical="center"/>
      <protection/>
    </xf>
    <xf numFmtId="3" fontId="6" fillId="18" borderId="22" xfId="0" applyNumberFormat="1" applyFont="1" applyFill="1" applyBorder="1" applyAlignment="1" applyProtection="1">
      <alignment horizontal="right" vertical="center"/>
      <protection locked="0"/>
    </xf>
    <xf numFmtId="3" fontId="18" fillId="19"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2"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188" fontId="6" fillId="4" borderId="0" xfId="0" applyNumberFormat="1" applyFont="1" applyFill="1" applyBorder="1" applyAlignment="1">
      <alignment horizontal="center" vertical="center"/>
    </xf>
    <xf numFmtId="3" fontId="5" fillId="20"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6" fillId="4"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5" xfId="0" applyFont="1" applyFill="1" applyBorder="1" applyAlignment="1">
      <alignment vertical="center"/>
    </xf>
    <xf numFmtId="0" fontId="17" fillId="4" borderId="13" xfId="0" applyFont="1" applyFill="1" applyBorder="1" applyAlignment="1">
      <alignment horizontal="center" vertical="center"/>
    </xf>
    <xf numFmtId="0" fontId="17" fillId="4" borderId="26"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0"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4"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6" xfId="0" applyFont="1" applyFill="1" applyBorder="1" applyAlignment="1" applyProtection="1">
      <alignment vertical="center"/>
      <protection locked="0"/>
    </xf>
    <xf numFmtId="3" fontId="17" fillId="18" borderId="26"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2"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6" xfId="0" applyFont="1" applyFill="1" applyBorder="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0" fontId="17" fillId="18" borderId="21" xfId="0" applyFont="1" applyFill="1" applyBorder="1" applyAlignment="1" applyProtection="1">
      <alignment vertical="center"/>
      <protection locked="0"/>
    </xf>
    <xf numFmtId="3" fontId="17" fillId="7" borderId="16" xfId="0" applyNumberFormat="1" applyFont="1" applyFill="1" applyBorder="1" applyAlignment="1">
      <alignment horizontal="center" vertical="center"/>
    </xf>
    <xf numFmtId="0" fontId="17" fillId="7" borderId="10" xfId="0" applyFont="1" applyFill="1" applyBorder="1" applyAlignment="1">
      <alignment horizontal="center" vertical="center"/>
    </xf>
    <xf numFmtId="0" fontId="17" fillId="7" borderId="16" xfId="0" applyFont="1" applyFill="1" applyBorder="1" applyAlignment="1">
      <alignment horizontal="center" vertical="center"/>
    </xf>
    <xf numFmtId="3" fontId="17" fillId="20" borderId="10" xfId="0" applyNumberFormat="1" applyFont="1" applyFill="1" applyBorder="1" applyAlignment="1">
      <alignment horizontal="center" vertical="center"/>
    </xf>
    <xf numFmtId="3" fontId="22" fillId="20"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4" xfId="0" applyNumberFormat="1" applyFont="1" applyFill="1" applyBorder="1" applyAlignment="1" applyProtection="1">
      <alignment vertical="center"/>
      <protection/>
    </xf>
    <xf numFmtId="37" fontId="6" fillId="4" borderId="14" xfId="0" applyNumberFormat="1" applyFont="1" applyFill="1" applyBorder="1" applyAlignment="1" applyProtection="1" quotePrefix="1">
      <alignment horizontal="right" vertical="center"/>
      <protection/>
    </xf>
    <xf numFmtId="1" fontId="6" fillId="4" borderId="15" xfId="0" applyNumberFormat="1" applyFont="1" applyFill="1" applyBorder="1" applyAlignment="1" applyProtection="1">
      <alignment horizontal="center" vertical="center"/>
      <protection/>
    </xf>
    <xf numFmtId="0" fontId="6" fillId="4" borderId="16"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4" borderId="13" xfId="0" applyNumberFormat="1" applyFont="1" applyFill="1" applyBorder="1" applyAlignment="1" applyProtection="1">
      <alignment vertical="center"/>
      <protection/>
    </xf>
    <xf numFmtId="37"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3" xfId="0" applyNumberFormat="1"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37" fontId="5" fillId="7" borderId="13" xfId="0" applyNumberFormat="1" applyFont="1" applyFill="1" applyBorder="1" applyAlignment="1" applyProtection="1">
      <alignment vertical="center"/>
      <protection/>
    </xf>
    <xf numFmtId="37" fontId="5" fillId="7" borderId="10" xfId="0" applyNumberFormat="1" applyFont="1" applyFill="1" applyBorder="1" applyAlignment="1" applyProtection="1">
      <alignment vertical="center"/>
      <protection/>
    </xf>
    <xf numFmtId="3" fontId="5" fillId="7" borderId="13"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vertical="center"/>
      <protection/>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3" fontId="6" fillId="4" borderId="0"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188" fontId="6" fillId="4" borderId="0" xfId="0" applyNumberFormat="1" applyFont="1" applyFill="1" applyAlignment="1" applyProtection="1">
      <alignment horizontal="center" vertical="center"/>
      <protection locked="0"/>
    </xf>
    <xf numFmtId="3" fontId="6" fillId="20"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10" fontId="6" fillId="4" borderId="0" xfId="0" applyNumberFormat="1" applyFont="1" applyFill="1" applyAlignment="1" applyProtection="1">
      <alignment horizontal="center"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3" fontId="15" fillId="4" borderId="0" xfId="0" applyNumberFormat="1" applyFont="1" applyFill="1" applyBorder="1" applyAlignment="1" applyProtection="1">
      <alignment horizontal="center"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09" applyFont="1" applyAlignment="1">
      <alignment vertical="center" wrapText="1"/>
      <protection/>
    </xf>
    <xf numFmtId="0" fontId="6" fillId="0" borderId="0" xfId="166" applyFont="1" applyAlignment="1">
      <alignment vertical="center" wrapText="1"/>
      <protection/>
    </xf>
    <xf numFmtId="0" fontId="6" fillId="0" borderId="0" xfId="168" applyNumberFormat="1" applyFont="1" applyAlignment="1">
      <alignment vertical="center" wrapText="1"/>
      <protection/>
    </xf>
    <xf numFmtId="0" fontId="6" fillId="0" borderId="0" xfId="143" applyFont="1" applyAlignment="1">
      <alignment vertical="center" wrapText="1"/>
      <protection/>
    </xf>
    <xf numFmtId="0" fontId="6" fillId="0" borderId="0" xfId="171"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173">
      <alignment/>
      <protection/>
    </xf>
    <xf numFmtId="0" fontId="6" fillId="0" borderId="0" xfId="173" applyFont="1" applyAlignment="1">
      <alignment horizontal="left" vertical="center"/>
      <protection/>
    </xf>
    <xf numFmtId="0" fontId="26" fillId="0" borderId="0" xfId="173" applyNumberFormat="1" applyFont="1" applyAlignment="1">
      <alignment horizontal="left" vertical="center"/>
      <protection/>
    </xf>
    <xf numFmtId="49" fontId="6" fillId="18" borderId="0" xfId="173" applyNumberFormat="1" applyFont="1" applyFill="1" applyAlignment="1" applyProtection="1">
      <alignment horizontal="left" vertical="center"/>
      <protection locked="0"/>
    </xf>
    <xf numFmtId="189" fontId="17" fillId="0" borderId="0" xfId="173" applyNumberFormat="1" applyFont="1" applyAlignment="1">
      <alignment horizontal="left" vertical="center"/>
      <protection/>
    </xf>
    <xf numFmtId="49" fontId="6" fillId="0" borderId="0" xfId="173" applyNumberFormat="1" applyFont="1" applyAlignment="1">
      <alignment horizontal="left" vertical="center"/>
      <protection/>
    </xf>
    <xf numFmtId="0" fontId="17" fillId="0" borderId="0" xfId="173" applyFont="1" applyAlignment="1">
      <alignment horizontal="left" vertical="center"/>
      <protection/>
    </xf>
    <xf numFmtId="190" fontId="17" fillId="0" borderId="0" xfId="173" applyNumberFormat="1" applyFont="1" applyAlignment="1">
      <alignment horizontal="left" vertical="center"/>
      <protection/>
    </xf>
    <xf numFmtId="0" fontId="6" fillId="18" borderId="0" xfId="173" applyFont="1" applyFill="1" applyAlignment="1" applyProtection="1">
      <alignment horizontal="left" vertical="center"/>
      <protection locked="0"/>
    </xf>
    <xf numFmtId="0" fontId="26" fillId="18" borderId="0" xfId="173"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115" applyFont="1">
      <alignment/>
      <protection/>
    </xf>
    <xf numFmtId="0" fontId="0" fillId="0" borderId="0" xfId="115" applyFont="1" applyFill="1">
      <alignment/>
      <protection/>
    </xf>
    <xf numFmtId="0" fontId="0" fillId="0" borderId="0" xfId="0" applyFont="1" applyAlignment="1">
      <alignment/>
    </xf>
    <xf numFmtId="0" fontId="1" fillId="0" borderId="0" xfId="0" applyFont="1" applyAlignment="1">
      <alignment horizontal="center"/>
    </xf>
    <xf numFmtId="0" fontId="6" fillId="0" borderId="0" xfId="175" applyFont="1" applyAlignment="1">
      <alignment vertical="center" wrapText="1"/>
      <protection/>
    </xf>
    <xf numFmtId="0" fontId="6" fillId="0" borderId="0" xfId="85" applyFont="1" applyAlignment="1">
      <alignment vertical="center" wrapText="1"/>
      <protection/>
    </xf>
    <xf numFmtId="0" fontId="6" fillId="0" borderId="0" xfId="86" applyFont="1" applyAlignment="1">
      <alignment vertical="center" wrapText="1"/>
      <protection/>
    </xf>
    <xf numFmtId="0" fontId="6" fillId="0" borderId="0" xfId="105" applyFont="1" applyAlignment="1">
      <alignment vertical="center" wrapText="1"/>
      <protection/>
    </xf>
    <xf numFmtId="0" fontId="6" fillId="0" borderId="0" xfId="106" applyFont="1" applyAlignment="1">
      <alignment vertical="center" wrapText="1"/>
      <protection/>
    </xf>
    <xf numFmtId="0" fontId="6" fillId="0" borderId="0" xfId="108" applyFont="1" applyAlignment="1">
      <alignment vertical="center"/>
      <protection/>
    </xf>
    <xf numFmtId="0" fontId="7" fillId="0" borderId="0" xfId="107" applyFont="1" applyAlignment="1">
      <alignment vertical="center"/>
      <protection/>
    </xf>
    <xf numFmtId="0" fontId="6" fillId="4" borderId="0" xfId="0" applyFont="1" applyFill="1" applyAlignment="1">
      <alignment/>
    </xf>
    <xf numFmtId="0" fontId="6" fillId="4" borderId="15" xfId="0" applyFont="1" applyFill="1" applyBorder="1" applyAlignment="1" applyProtection="1">
      <alignment horizontal="center" vertical="center" wrapText="1"/>
      <protection/>
    </xf>
    <xf numFmtId="0" fontId="6" fillId="4" borderId="26"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48" fillId="4" borderId="0" xfId="0" applyFont="1" applyFill="1" applyAlignment="1" applyProtection="1">
      <alignment horizontal="right" vertical="center"/>
      <protection locked="0"/>
    </xf>
    <xf numFmtId="193" fontId="6" fillId="18" borderId="10" xfId="0" applyNumberFormat="1" applyFont="1" applyFill="1" applyBorder="1" applyAlignment="1" applyProtection="1">
      <alignment horizontal="center" vertical="center"/>
      <protection locked="0"/>
    </xf>
    <xf numFmtId="0" fontId="6" fillId="18" borderId="10" xfId="0" applyNumberFormat="1" applyFont="1" applyFill="1" applyBorder="1" applyAlignment="1" applyProtection="1">
      <alignment horizontal="center"/>
      <protection locked="0"/>
    </xf>
    <xf numFmtId="0" fontId="6" fillId="18" borderId="10" xfId="0" applyNumberFormat="1" applyFont="1" applyFill="1" applyBorder="1" applyAlignment="1" applyProtection="1">
      <alignment horizontal="center" vertical="center"/>
      <protection locked="0"/>
    </xf>
    <xf numFmtId="3" fontId="6" fillId="18" borderId="16" xfId="0" applyNumberFormat="1" applyFont="1" applyFill="1" applyBorder="1" applyAlignment="1" applyProtection="1">
      <alignment horizontal="center" vertical="center"/>
      <protection locked="0"/>
    </xf>
    <xf numFmtId="18" fontId="6" fillId="0" borderId="0" xfId="173" applyNumberFormat="1" applyFont="1" applyAlignment="1">
      <alignment horizontal="left" vertical="center"/>
      <protection/>
    </xf>
    <xf numFmtId="188" fontId="6" fillId="4" borderId="0" xfId="0" applyNumberFormat="1" applyFont="1" applyFill="1" applyBorder="1" applyAlignment="1">
      <alignment horizontal="right" vertical="center"/>
    </xf>
    <xf numFmtId="0" fontId="0" fillId="0" borderId="0" xfId="0" applyFont="1" applyAlignment="1">
      <alignment horizontal="right" vertical="center"/>
    </xf>
    <xf numFmtId="1" fontId="6" fillId="4" borderId="19"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0" fontId="0" fillId="0" borderId="26" xfId="0" applyBorder="1" applyAlignment="1" applyProtection="1">
      <alignment horizontal="right" vertical="center"/>
      <protection locked="0"/>
    </xf>
    <xf numFmtId="3" fontId="6" fillId="18" borderId="19" xfId="0" applyNumberFormat="1" applyFont="1" applyFill="1" applyBorder="1" applyAlignment="1" applyProtection="1">
      <alignment horizontal="right" vertical="center"/>
      <protection locked="0"/>
    </xf>
    <xf numFmtId="0" fontId="0" fillId="0" borderId="25" xfId="0" applyBorder="1" applyAlignment="1" applyProtection="1">
      <alignment horizontal="right" vertical="center"/>
      <protection locked="0"/>
    </xf>
    <xf numFmtId="0" fontId="0" fillId="0" borderId="13" xfId="0" applyBorder="1" applyAlignment="1">
      <alignment vertical="center"/>
    </xf>
    <xf numFmtId="0" fontId="6" fillId="4"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0" fontId="0" fillId="0" borderId="22" xfId="0"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5" xfId="0" applyFont="1" applyFill="1" applyBorder="1" applyAlignment="1">
      <alignment vertical="center" wrapText="1"/>
    </xf>
    <xf numFmtId="0" fontId="0" fillId="0" borderId="25" xfId="0" applyBorder="1" applyAlignment="1">
      <alignment vertical="center" wrapText="1"/>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6" fillId="0" borderId="0" xfId="173" applyFont="1" applyAlignment="1">
      <alignment horizontal="left" vertical="center" wrapText="1"/>
      <protection/>
    </xf>
    <xf numFmtId="0" fontId="26" fillId="0" borderId="0" xfId="173" applyAlignment="1">
      <alignment horizontal="left" vertical="center" wrapText="1"/>
      <protection/>
    </xf>
    <xf numFmtId="0" fontId="14" fillId="0" borderId="0" xfId="173" applyFont="1" applyAlignment="1">
      <alignment horizontal="left" vertical="center"/>
      <protection/>
    </xf>
    <xf numFmtId="37" fontId="6" fillId="4" borderId="0" xfId="0" applyNumberFormat="1" applyFont="1" applyFill="1" applyAlignment="1" applyProtection="1">
      <alignment horizontal="center" vertical="center"/>
      <protection/>
    </xf>
    <xf numFmtId="0" fontId="4" fillId="21" borderId="25" xfId="0" applyFont="1" applyFill="1" applyBorder="1" applyAlignment="1" applyProtection="1">
      <alignment horizontal="center" vertical="center" wrapText="1"/>
      <protection/>
    </xf>
    <xf numFmtId="0" fontId="0" fillId="0" borderId="0" xfId="0" applyAlignment="1">
      <alignment vertical="center" wrapText="1"/>
    </xf>
    <xf numFmtId="1" fontId="6" fillId="4"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6" fillId="4" borderId="25" xfId="0" applyFont="1" applyFill="1" applyBorder="1" applyAlignment="1" applyProtection="1">
      <alignment horizontal="center" vertical="center"/>
      <protection locked="0"/>
    </xf>
    <xf numFmtId="0" fontId="0" fillId="0" borderId="25" xfId="0" applyBorder="1" applyAlignment="1">
      <alignment vertical="center"/>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6" fillId="4" borderId="20"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3" fontId="6" fillId="4" borderId="19" xfId="0" applyNumberFormat="1" applyFont="1" applyFill="1" applyBorder="1" applyAlignment="1" applyProtection="1">
      <alignment horizontal="right" vertical="center"/>
      <protection locked="0"/>
    </xf>
    <xf numFmtId="0" fontId="0" fillId="4" borderId="25" xfId="0" applyFill="1" applyBorder="1" applyAlignment="1">
      <alignment horizontal="right" vertical="center"/>
    </xf>
    <xf numFmtId="3" fontId="6" fillId="18" borderId="11"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6" fillId="0" borderId="21" xfId="67" applyFont="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3" fontId="18" fillId="19" borderId="11"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3" fontId="5" fillId="7" borderId="11"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6" fillId="4" borderId="11" xfId="0" applyNumberFormat="1" applyFont="1" applyFill="1" applyBorder="1" applyAlignment="1" applyProtection="1">
      <alignment horizontal="right" vertical="center"/>
      <protection/>
    </xf>
    <xf numFmtId="37" fontId="6" fillId="4" borderId="19"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3" fontId="6" fillId="4" borderId="11" xfId="42" applyNumberFormat="1" applyFont="1" applyFill="1" applyBorder="1" applyAlignment="1" applyProtection="1">
      <alignment horizontal="right" vertical="center"/>
      <protection/>
    </xf>
    <xf numFmtId="3" fontId="6" fillId="7" borderId="11"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6" fillId="4" borderId="21" xfId="0" applyNumberFormat="1" applyFont="1" applyFill="1" applyBorder="1" applyAlignment="1" applyProtection="1">
      <alignment horizontal="right" vertical="center"/>
      <protection/>
    </xf>
    <xf numFmtId="37" fontId="6" fillId="4" borderId="25" xfId="0" applyNumberFormat="1" applyFont="1" applyFill="1" applyBorder="1" applyAlignment="1" applyProtection="1">
      <alignment horizontal="right" vertical="center"/>
      <protection/>
    </xf>
    <xf numFmtId="0" fontId="0" fillId="0" borderId="25" xfId="0" applyFont="1" applyBorder="1" applyAlignment="1">
      <alignment vertical="center"/>
    </xf>
    <xf numFmtId="0" fontId="0" fillId="0" borderId="26" xfId="0" applyFont="1" applyBorder="1" applyAlignment="1">
      <alignment vertical="center"/>
    </xf>
    <xf numFmtId="3" fontId="6" fillId="7" borderId="11" xfId="0" applyNumberFormat="1" applyFont="1" applyFill="1" applyBorder="1" applyAlignment="1" applyProtection="1">
      <alignment horizontal="right"/>
      <protection/>
    </xf>
    <xf numFmtId="0" fontId="6" fillId="0" borderId="13" xfId="0" applyFont="1" applyBorder="1" applyAlignment="1" applyProtection="1">
      <alignment horizontal="right"/>
      <protection locked="0"/>
    </xf>
    <xf numFmtId="188" fontId="6" fillId="4" borderId="0" xfId="0" applyNumberFormat="1" applyFont="1" applyFill="1" applyBorder="1" applyAlignment="1">
      <alignment horizontal="right"/>
    </xf>
    <xf numFmtId="0" fontId="0" fillId="0" borderId="0" xfId="0" applyFont="1" applyAlignment="1">
      <alignment horizontal="right"/>
    </xf>
    <xf numFmtId="3" fontId="6" fillId="18" borderId="11" xfId="0" applyNumberFormat="1" applyFont="1" applyFill="1" applyBorder="1" applyAlignment="1" applyProtection="1">
      <alignment horizontal="right"/>
      <protection locked="0"/>
    </xf>
    <xf numFmtId="0" fontId="0" fillId="0" borderId="13" xfId="0" applyBorder="1" applyAlignment="1" applyProtection="1">
      <alignment horizontal="right"/>
      <protection locked="0"/>
    </xf>
    <xf numFmtId="3" fontId="18" fillId="19" borderId="11" xfId="0" applyNumberFormat="1" applyFont="1" applyFill="1" applyBorder="1" applyAlignment="1" applyProtection="1">
      <alignment horizontal="center"/>
      <protection/>
    </xf>
    <xf numFmtId="0" fontId="0" fillId="0" borderId="13" xfId="0" applyBorder="1" applyAlignment="1">
      <alignment horizontal="center"/>
    </xf>
    <xf numFmtId="3" fontId="5" fillId="7" borderId="20" xfId="0" applyNumberFormat="1" applyFont="1" applyFill="1" applyBorder="1" applyAlignment="1" applyProtection="1">
      <alignment horizontal="right"/>
      <protection/>
    </xf>
    <xf numFmtId="0" fontId="6" fillId="0" borderId="22" xfId="0" applyFont="1" applyBorder="1" applyAlignment="1" applyProtection="1">
      <alignment horizontal="right"/>
      <protection locked="0"/>
    </xf>
    <xf numFmtId="0" fontId="0" fillId="0" borderId="13" xfId="0" applyBorder="1" applyAlignment="1">
      <alignment/>
    </xf>
    <xf numFmtId="3" fontId="5" fillId="7" borderId="11" xfId="0" applyNumberFormat="1" applyFont="1" applyFill="1" applyBorder="1" applyAlignment="1" applyProtection="1">
      <alignment horizontal="right"/>
      <protection/>
    </xf>
    <xf numFmtId="0" fontId="6" fillId="4" borderId="0" xfId="67" applyNumberFormat="1" applyFont="1" applyFill="1" applyBorder="1" applyAlignment="1" applyProtection="1">
      <alignment horizontal="right"/>
      <protection/>
    </xf>
    <xf numFmtId="0" fontId="6" fillId="0" borderId="0" xfId="67" applyFont="1" applyAlignment="1" applyProtection="1">
      <alignment horizontal="right"/>
      <protection/>
    </xf>
    <xf numFmtId="0" fontId="6" fillId="0" borderId="21" xfId="67" applyFont="1" applyBorder="1" applyAlignment="1" applyProtection="1">
      <alignment horizontal="right"/>
      <protection/>
    </xf>
    <xf numFmtId="37" fontId="6" fillId="4" borderId="25" xfId="0" applyNumberFormat="1" applyFont="1" applyFill="1" applyBorder="1" applyAlignment="1" applyProtection="1">
      <alignment horizontal="right"/>
      <protection/>
    </xf>
    <xf numFmtId="0" fontId="0" fillId="0" borderId="25" xfId="0" applyFont="1" applyBorder="1" applyAlignment="1">
      <alignment/>
    </xf>
    <xf numFmtId="0" fontId="0" fillId="0" borderId="26" xfId="0" applyFont="1" applyBorder="1" applyAlignment="1">
      <alignment/>
    </xf>
    <xf numFmtId="37" fontId="6" fillId="4" borderId="0" xfId="0" applyNumberFormat="1" applyFont="1" applyFill="1" applyAlignment="1" applyProtection="1">
      <alignment horizontal="right"/>
      <protection/>
    </xf>
    <xf numFmtId="37" fontId="6" fillId="4" borderId="21" xfId="0" applyNumberFormat="1" applyFont="1" applyFill="1" applyBorder="1" applyAlignment="1" applyProtection="1">
      <alignment horizontal="right"/>
      <protection/>
    </xf>
    <xf numFmtId="3" fontId="6" fillId="4" borderId="11" xfId="0" applyNumberFormat="1" applyFont="1" applyFill="1" applyBorder="1" applyAlignment="1" applyProtection="1">
      <alignment horizontal="right"/>
      <protection/>
    </xf>
    <xf numFmtId="0" fontId="0" fillId="0" borderId="13" xfId="0" applyBorder="1" applyAlignment="1">
      <alignment horizontal="right"/>
    </xf>
    <xf numFmtId="3" fontId="6" fillId="4" borderId="20" xfId="42" applyNumberFormat="1" applyFont="1" applyFill="1" applyBorder="1" applyAlignment="1" applyProtection="1">
      <alignment horizontal="right"/>
      <protection/>
    </xf>
    <xf numFmtId="0" fontId="0" fillId="0" borderId="22" xfId="0" applyBorder="1" applyAlignment="1">
      <alignment horizontal="right"/>
    </xf>
    <xf numFmtId="37" fontId="6" fillId="18" borderId="11" xfId="0" applyNumberFormat="1" applyFont="1" applyFill="1" applyBorder="1" applyAlignment="1" applyProtection="1">
      <alignment horizontal="right"/>
      <protection locked="0"/>
    </xf>
    <xf numFmtId="0" fontId="0" fillId="18" borderId="13" xfId="0" applyFill="1" applyBorder="1" applyAlignment="1" applyProtection="1">
      <alignment horizontal="right"/>
      <protection locked="0"/>
    </xf>
    <xf numFmtId="37" fontId="6" fillId="4" borderId="11" xfId="0" applyNumberFormat="1" applyFont="1" applyFill="1" applyBorder="1" applyAlignment="1" applyProtection="1">
      <alignment horizontal="left"/>
      <protection/>
    </xf>
    <xf numFmtId="37" fontId="6" fillId="18" borderId="11" xfId="0" applyNumberFormat="1" applyFont="1" applyFill="1" applyBorder="1" applyAlignment="1" applyProtection="1">
      <alignment horizontal="right" vertical="center"/>
      <protection locked="0"/>
    </xf>
    <xf numFmtId="37" fontId="6" fillId="4" borderId="25" xfId="0" applyNumberFormat="1" applyFont="1" applyFill="1" applyBorder="1" applyAlignment="1" applyProtection="1">
      <alignment horizontal="center"/>
      <protection/>
    </xf>
    <xf numFmtId="0" fontId="0" fillId="0" borderId="26" xfId="0" applyBorder="1" applyAlignment="1">
      <alignment horizontal="center"/>
    </xf>
    <xf numFmtId="0" fontId="6" fillId="4" borderId="20" xfId="0" applyNumberFormat="1" applyFont="1" applyFill="1" applyBorder="1" applyAlignment="1" applyProtection="1">
      <alignment horizontal="center"/>
      <protection/>
    </xf>
    <xf numFmtId="0" fontId="0" fillId="0" borderId="22" xfId="0" applyBorder="1" applyAlignment="1">
      <alignment horizontal="center"/>
    </xf>
    <xf numFmtId="1" fontId="6" fillId="4" borderId="19" xfId="0" applyNumberFormat="1" applyFont="1" applyFill="1" applyBorder="1" applyAlignment="1" applyProtection="1">
      <alignment horizontal="center"/>
      <protection/>
    </xf>
    <xf numFmtId="0" fontId="0" fillId="0" borderId="26" xfId="0" applyBorder="1" applyAlignment="1">
      <alignment/>
    </xf>
    <xf numFmtId="0" fontId="0" fillId="0" borderId="22" xfId="0" applyBorder="1" applyAlignment="1">
      <alignment/>
    </xf>
    <xf numFmtId="3" fontId="5" fillId="7" borderId="11" xfId="0" applyNumberFormat="1" applyFont="1" applyFill="1" applyBorder="1" applyAlignment="1" applyProtection="1">
      <alignment vertical="center"/>
      <protection/>
    </xf>
    <xf numFmtId="3" fontId="6" fillId="18" borderId="11" xfId="0" applyNumberFormat="1" applyFont="1" applyFill="1" applyBorder="1" applyAlignment="1" applyProtection="1">
      <alignment vertical="center"/>
      <protection locked="0"/>
    </xf>
    <xf numFmtId="0" fontId="0" fillId="0" borderId="13" xfId="0" applyBorder="1" applyAlignment="1" applyProtection="1">
      <alignment vertical="center"/>
      <protection locked="0"/>
    </xf>
    <xf numFmtId="3" fontId="6" fillId="4" borderId="11" xfId="0" applyNumberFormat="1" applyFont="1" applyFill="1" applyBorder="1" applyAlignment="1" applyProtection="1">
      <alignment vertical="center"/>
      <protection/>
    </xf>
    <xf numFmtId="3" fontId="18" fillId="20" borderId="11" xfId="0" applyNumberFormat="1" applyFont="1" applyFill="1" applyBorder="1" applyAlignment="1" applyProtection="1">
      <alignment horizontal="center" vertical="center"/>
      <protection/>
    </xf>
    <xf numFmtId="0" fontId="6" fillId="0" borderId="13" xfId="0" applyFont="1" applyBorder="1" applyAlignment="1" applyProtection="1">
      <alignment horizontal="center" vertical="center"/>
      <protection locked="0"/>
    </xf>
    <xf numFmtId="3" fontId="6" fillId="7" borderId="11"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0" fillId="0" borderId="26" xfId="0" applyBorder="1" applyAlignment="1">
      <alignment vertical="center"/>
    </xf>
    <xf numFmtId="0" fontId="0" fillId="0" borderId="22" xfId="0" applyBorder="1" applyAlignment="1">
      <alignment vertical="center"/>
    </xf>
    <xf numFmtId="0" fontId="6" fillId="0" borderId="22" xfId="0" applyFont="1" applyBorder="1" applyAlignment="1" applyProtection="1">
      <alignment horizontal="center" vertical="center"/>
      <protection locked="0"/>
    </xf>
    <xf numFmtId="3" fontId="5" fillId="4" borderId="11" xfId="0" applyNumberFormat="1" applyFont="1" applyFill="1" applyBorder="1" applyAlignment="1" applyProtection="1">
      <alignment vertical="center"/>
      <protection/>
    </xf>
    <xf numFmtId="0" fontId="0" fillId="18" borderId="13" xfId="0" applyFill="1" applyBorder="1" applyAlignment="1" applyProtection="1">
      <alignment horizontal="right" vertical="center"/>
      <protection locked="0"/>
    </xf>
    <xf numFmtId="37"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0" fontId="0" fillId="18" borderId="13" xfId="0" applyFill="1" applyBorder="1" applyAlignment="1" applyProtection="1">
      <alignment vertical="center"/>
      <protection locked="0"/>
    </xf>
    <xf numFmtId="3" fontId="18" fillId="20" borderId="11"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0" fontId="0" fillId="0" borderId="21" xfId="0" applyBorder="1" applyAlignment="1">
      <alignment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6" fillId="4" borderId="11" xfId="0" applyFont="1" applyFill="1" applyBorder="1" applyAlignment="1">
      <alignment vertical="center"/>
    </xf>
    <xf numFmtId="0" fontId="6" fillId="4" borderId="13" xfId="0" applyFont="1" applyFill="1" applyBorder="1" applyAlignment="1">
      <alignment vertical="center"/>
    </xf>
    <xf numFmtId="0" fontId="6" fillId="18" borderId="0" xfId="0" applyFont="1" applyFill="1" applyAlignment="1" applyProtection="1">
      <alignment horizontal="center"/>
      <protection locked="0"/>
    </xf>
    <xf numFmtId="0" fontId="0" fillId="18" borderId="0" xfId="0" applyFill="1" applyAlignment="1" applyProtection="1">
      <alignment/>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cellXfs>
  <cellStyles count="1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2" xfId="50"/>
    <cellStyle name="Comma 3" xfId="51"/>
    <cellStyle name="Comma 4" xfId="52"/>
    <cellStyle name="Comma 5" xfId="53"/>
    <cellStyle name="Comma 6" xfId="54"/>
    <cellStyle name="Comma 7"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10" xfId="68"/>
    <cellStyle name="Hyperlink 11" xfId="69"/>
    <cellStyle name="Hyperlink 12" xfId="70"/>
    <cellStyle name="Hyperlink 13" xfId="71"/>
    <cellStyle name="Hyperlink 14" xfId="72"/>
    <cellStyle name="Hyperlink 15" xfId="73"/>
    <cellStyle name="Hyperlink 2" xfId="74"/>
    <cellStyle name="Hyperlink 3" xfId="75"/>
    <cellStyle name="Hyperlink 4" xfId="76"/>
    <cellStyle name="Hyperlink 5" xfId="77"/>
    <cellStyle name="Hyperlink 6" xfId="78"/>
    <cellStyle name="Hyperlink 7" xfId="79"/>
    <cellStyle name="Hyperlink 8" xfId="80"/>
    <cellStyle name="Hyperlink 9" xfId="81"/>
    <cellStyle name="Input" xfId="82"/>
    <cellStyle name="Linked Cell" xfId="83"/>
    <cellStyle name="Neutral" xfId="84"/>
    <cellStyle name="Normal 10" xfId="85"/>
    <cellStyle name="Normal 11" xfId="86"/>
    <cellStyle name="Normal 12" xfId="87"/>
    <cellStyle name="Normal 12 2" xfId="88"/>
    <cellStyle name="Normal 12 3" xfId="89"/>
    <cellStyle name="Normal 12 4" xfId="90"/>
    <cellStyle name="Normal 12 5" xfId="91"/>
    <cellStyle name="Normal 12 6" xfId="92"/>
    <cellStyle name="Normal 12 7" xfId="93"/>
    <cellStyle name="Normal 12 8" xfId="94"/>
    <cellStyle name="Normal 12 9" xfId="95"/>
    <cellStyle name="Normal 13" xfId="96"/>
    <cellStyle name="Normal 13 2" xfId="97"/>
    <cellStyle name="Normal 13 3" xfId="98"/>
    <cellStyle name="Normal 13 4" xfId="99"/>
    <cellStyle name="Normal 13 5" xfId="100"/>
    <cellStyle name="Normal 13 6" xfId="101"/>
    <cellStyle name="Normal 13 7" xfId="102"/>
    <cellStyle name="Normal 13 8" xfId="103"/>
    <cellStyle name="Normal 13 9" xfId="104"/>
    <cellStyle name="Normal 14" xfId="105"/>
    <cellStyle name="Normal 15" xfId="106"/>
    <cellStyle name="Normal 16" xfId="107"/>
    <cellStyle name="Normal 17" xfId="108"/>
    <cellStyle name="Normal 2" xfId="109"/>
    <cellStyle name="Normal 2 10" xfId="110"/>
    <cellStyle name="Normal 2 11" xfId="111"/>
    <cellStyle name="Normal 2 12" xfId="112"/>
    <cellStyle name="Normal 2 2" xfId="113"/>
    <cellStyle name="Normal 2 2 10" xfId="114"/>
    <cellStyle name="Normal 2 2 2" xfId="115"/>
    <cellStyle name="Normal 2 2 3" xfId="116"/>
    <cellStyle name="Normal 2 2 4" xfId="117"/>
    <cellStyle name="Normal 2 2 5" xfId="118"/>
    <cellStyle name="Normal 2 2 6" xfId="119"/>
    <cellStyle name="Normal 2 2 7" xfId="120"/>
    <cellStyle name="Normal 2 2 8" xfId="121"/>
    <cellStyle name="Normal 2 2 9" xfId="122"/>
    <cellStyle name="Normal 2 3" xfId="123"/>
    <cellStyle name="Normal 2 3 10" xfId="124"/>
    <cellStyle name="Normal 2 3 2" xfId="125"/>
    <cellStyle name="Normal 2 3 3" xfId="126"/>
    <cellStyle name="Normal 2 3 4" xfId="127"/>
    <cellStyle name="Normal 2 3 5" xfId="128"/>
    <cellStyle name="Normal 2 3 6" xfId="129"/>
    <cellStyle name="Normal 2 3 7" xfId="130"/>
    <cellStyle name="Normal 2 3 8" xfId="131"/>
    <cellStyle name="Normal 2 3 9" xfId="132"/>
    <cellStyle name="Normal 2 4" xfId="133"/>
    <cellStyle name="Normal 2 4 10" xfId="134"/>
    <cellStyle name="Normal 2 4 2" xfId="135"/>
    <cellStyle name="Normal 2 4 3" xfId="136"/>
    <cellStyle name="Normal 2 4 4" xfId="137"/>
    <cellStyle name="Normal 2 4 5" xfId="138"/>
    <cellStyle name="Normal 2 4 6" xfId="139"/>
    <cellStyle name="Normal 2 4 7" xfId="140"/>
    <cellStyle name="Normal 2 4 8" xfId="141"/>
    <cellStyle name="Normal 2 4 9" xfId="142"/>
    <cellStyle name="Normal 2 5" xfId="143"/>
    <cellStyle name="Normal 2 5 10" xfId="144"/>
    <cellStyle name="Normal 2 5 2" xfId="145"/>
    <cellStyle name="Normal 2 5 3" xfId="146"/>
    <cellStyle name="Normal 2 5 4" xfId="147"/>
    <cellStyle name="Normal 2 5 5" xfId="148"/>
    <cellStyle name="Normal 2 5 6" xfId="149"/>
    <cellStyle name="Normal 2 5 7" xfId="150"/>
    <cellStyle name="Normal 2 5 8" xfId="151"/>
    <cellStyle name="Normal 2 5 9" xfId="152"/>
    <cellStyle name="Normal 2 6" xfId="153"/>
    <cellStyle name="Normal 2 6 10" xfId="154"/>
    <cellStyle name="Normal 2 6 2" xfId="155"/>
    <cellStyle name="Normal 2 6 3" xfId="156"/>
    <cellStyle name="Normal 2 6 4" xfId="157"/>
    <cellStyle name="Normal 2 6 5" xfId="158"/>
    <cellStyle name="Normal 2 6 6" xfId="159"/>
    <cellStyle name="Normal 2 6 7" xfId="160"/>
    <cellStyle name="Normal 2 6 8" xfId="161"/>
    <cellStyle name="Normal 2 6 9" xfId="162"/>
    <cellStyle name="Normal 2 7" xfId="163"/>
    <cellStyle name="Normal 2 8" xfId="164"/>
    <cellStyle name="Normal 2 9" xfId="165"/>
    <cellStyle name="Normal 3" xfId="166"/>
    <cellStyle name="Normal 3 2" xfId="167"/>
    <cellStyle name="Normal 4" xfId="168"/>
    <cellStyle name="Normal 4 2" xfId="169"/>
    <cellStyle name="Normal 5" xfId="170"/>
    <cellStyle name="Normal 6" xfId="171"/>
    <cellStyle name="Normal 6 2" xfId="172"/>
    <cellStyle name="Normal 7" xfId="173"/>
    <cellStyle name="Normal 8" xfId="174"/>
    <cellStyle name="Normal 9" xfId="175"/>
    <cellStyle name="Normal_debt" xfId="176"/>
    <cellStyle name="Normal_lpform" xfId="177"/>
    <cellStyle name="Note" xfId="178"/>
    <cellStyle name="Output" xfId="179"/>
    <cellStyle name="Percent" xfId="180"/>
    <cellStyle name="Title" xfId="181"/>
    <cellStyle name="Total" xfId="182"/>
    <cellStyle name="Warning Text" xfId="183"/>
  </cellStyles>
  <dxfs count="135">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styles" Target="styles.xml" /><Relationship Id="rId91" Type="http://schemas.openxmlformats.org/officeDocument/2006/relationships/sharedStrings" Target="sharedStrings.xml" /><Relationship Id="rId9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9"/>
  <sheetViews>
    <sheetView zoomScale="85" zoomScaleNormal="85" workbookViewId="0" topLeftCell="A85">
      <selection activeCell="B6" sqref="B6"/>
    </sheetView>
  </sheetViews>
  <sheetFormatPr defaultColWidth="8.8984375" defaultRowHeight="15"/>
  <cols>
    <col min="1" max="1" width="76.3984375" style="107" customWidth="1"/>
    <col min="2" max="16384" width="8.8984375" style="107" customWidth="1"/>
  </cols>
  <sheetData>
    <row r="1" ht="15.75">
      <c r="A1" s="106" t="s">
        <v>31</v>
      </c>
    </row>
    <row r="3" ht="34.5" customHeight="1">
      <c r="A3" s="108" t="s">
        <v>239</v>
      </c>
    </row>
    <row r="4" ht="15.75">
      <c r="A4" s="109"/>
    </row>
    <row r="5" ht="85.5" customHeight="1">
      <c r="A5" s="110" t="s">
        <v>690</v>
      </c>
    </row>
    <row r="6" ht="15.75">
      <c r="A6" s="110"/>
    </row>
    <row r="7" ht="47.25">
      <c r="A7" s="110" t="s">
        <v>12</v>
      </c>
    </row>
    <row r="9" ht="15.75">
      <c r="A9" s="106" t="s">
        <v>711</v>
      </c>
    </row>
    <row r="10" ht="15.75">
      <c r="A10" s="106"/>
    </row>
    <row r="11" ht="27" customHeight="1">
      <c r="A11" s="109" t="s">
        <v>712</v>
      </c>
    </row>
    <row r="12" ht="51.75" customHeight="1" hidden="1"/>
    <row r="13" ht="12" customHeight="1"/>
    <row r="14" ht="42.75" customHeight="1">
      <c r="A14" s="111" t="s">
        <v>244</v>
      </c>
    </row>
    <row r="15" ht="14.25" customHeight="1">
      <c r="A15" s="111"/>
    </row>
    <row r="18" ht="15.75">
      <c r="A18" s="106" t="s">
        <v>32</v>
      </c>
    </row>
    <row r="20" ht="34.5" customHeight="1">
      <c r="A20" s="110" t="s">
        <v>652</v>
      </c>
    </row>
    <row r="21" ht="18" customHeight="1">
      <c r="A21" s="110"/>
    </row>
    <row r="22" ht="23.25" customHeight="1">
      <c r="A22" s="112" t="s">
        <v>653</v>
      </c>
    </row>
    <row r="23" ht="23.25" customHeight="1">
      <c r="A23" s="113"/>
    </row>
    <row r="24" ht="15.75">
      <c r="A24" s="114" t="s">
        <v>657</v>
      </c>
    </row>
    <row r="25" ht="15.75">
      <c r="A25" s="115"/>
    </row>
    <row r="26" ht="85.5" customHeight="1">
      <c r="A26" s="116" t="s">
        <v>680</v>
      </c>
    </row>
    <row r="27" ht="19.5" customHeight="1">
      <c r="A27" s="110"/>
    </row>
    <row r="28" ht="19.5" customHeight="1">
      <c r="A28" s="117" t="s">
        <v>658</v>
      </c>
    </row>
    <row r="30" ht="15.75">
      <c r="A30" s="118" t="s">
        <v>713</v>
      </c>
    </row>
    <row r="32" ht="15.75">
      <c r="A32" s="110" t="s">
        <v>714</v>
      </c>
    </row>
    <row r="34" ht="15.75">
      <c r="A34" s="106" t="s">
        <v>33</v>
      </c>
    </row>
    <row r="36" ht="81" customHeight="1">
      <c r="A36" s="110" t="s">
        <v>723</v>
      </c>
    </row>
    <row r="37" ht="38.25" customHeight="1">
      <c r="A37" s="110" t="s">
        <v>681</v>
      </c>
    </row>
    <row r="38" ht="51" customHeight="1">
      <c r="A38" s="119" t="s">
        <v>654</v>
      </c>
    </row>
    <row r="39" ht="11.25" customHeight="1"/>
    <row r="40" ht="79.5" customHeight="1">
      <c r="A40" s="110" t="s">
        <v>699</v>
      </c>
    </row>
    <row r="41" ht="66" customHeight="1">
      <c r="A41" s="110" t="s">
        <v>749</v>
      </c>
    </row>
    <row r="42" ht="102" customHeight="1">
      <c r="A42" s="110" t="s">
        <v>1</v>
      </c>
    </row>
    <row r="43" ht="12.75" customHeight="1"/>
    <row r="44" ht="73.5" customHeight="1">
      <c r="A44" s="501" t="s">
        <v>531</v>
      </c>
    </row>
    <row r="45" ht="69.75" customHeight="1">
      <c r="A45" s="502" t="s">
        <v>532</v>
      </c>
    </row>
    <row r="46" ht="12.75" customHeight="1"/>
    <row r="47" ht="67.5" customHeight="1">
      <c r="A47" s="110" t="s">
        <v>533</v>
      </c>
    </row>
    <row r="48" ht="37.5" customHeight="1">
      <c r="A48" s="110" t="s">
        <v>534</v>
      </c>
    </row>
    <row r="49" ht="66.75" customHeight="1">
      <c r="A49" s="110" t="s">
        <v>535</v>
      </c>
    </row>
    <row r="50" ht="13.5" customHeight="1">
      <c r="A50" s="110"/>
    </row>
    <row r="51" ht="70.5" customHeight="1">
      <c r="A51" s="110" t="s">
        <v>536</v>
      </c>
    </row>
    <row r="52" ht="117.75" customHeight="1">
      <c r="A52" s="110" t="s">
        <v>537</v>
      </c>
    </row>
    <row r="53" ht="35.25" customHeight="1">
      <c r="A53" s="110" t="s">
        <v>538</v>
      </c>
    </row>
    <row r="54" ht="15.75">
      <c r="A54" s="110"/>
    </row>
    <row r="55" ht="82.5" customHeight="1">
      <c r="A55" s="110" t="s">
        <v>539</v>
      </c>
    </row>
    <row r="57" ht="64.5" customHeight="1">
      <c r="A57" s="110" t="s">
        <v>540</v>
      </c>
    </row>
    <row r="58" ht="42.75" customHeight="1">
      <c r="A58" s="110" t="s">
        <v>580</v>
      </c>
    </row>
    <row r="59" ht="88.5" customHeight="1">
      <c r="A59" s="110" t="s">
        <v>581</v>
      </c>
    </row>
    <row r="60" ht="39" customHeight="1">
      <c r="A60" s="465" t="s">
        <v>582</v>
      </c>
    </row>
    <row r="62" s="110" customFormat="1" ht="58.5" customHeight="1">
      <c r="A62" s="110" t="s">
        <v>541</v>
      </c>
    </row>
    <row r="64" ht="69" customHeight="1">
      <c r="A64" s="110" t="s">
        <v>542</v>
      </c>
    </row>
    <row r="65" ht="11.25" customHeight="1"/>
    <row r="66" ht="85.5" customHeight="1">
      <c r="A66" s="110" t="s">
        <v>543</v>
      </c>
    </row>
    <row r="67" ht="136.5" customHeight="1">
      <c r="A67" s="110" t="s">
        <v>544</v>
      </c>
    </row>
    <row r="68" ht="85.5" customHeight="1">
      <c r="A68" s="110" t="s">
        <v>545</v>
      </c>
    </row>
    <row r="69" ht="116.25" customHeight="1">
      <c r="A69" s="110" t="s">
        <v>546</v>
      </c>
    </row>
    <row r="70" ht="140.25" customHeight="1">
      <c r="A70" s="110" t="s">
        <v>547</v>
      </c>
    </row>
    <row r="71" ht="63" customHeight="1">
      <c r="A71" s="110" t="s">
        <v>548</v>
      </c>
    </row>
    <row r="72" ht="128.25" customHeight="1">
      <c r="A72" s="110" t="s">
        <v>549</v>
      </c>
    </row>
    <row r="73" ht="39" customHeight="1">
      <c r="A73" s="110" t="s">
        <v>550</v>
      </c>
    </row>
    <row r="74" ht="81" customHeight="1">
      <c r="A74" s="110" t="s">
        <v>551</v>
      </c>
    </row>
    <row r="75" ht="129" customHeight="1">
      <c r="A75" s="466" t="s">
        <v>552</v>
      </c>
    </row>
    <row r="76" ht="130.5" customHeight="1">
      <c r="A76" s="467" t="s">
        <v>553</v>
      </c>
    </row>
    <row r="77" ht="70.5" customHeight="1">
      <c r="A77" s="468" t="s">
        <v>554</v>
      </c>
    </row>
    <row r="78" ht="12" customHeight="1"/>
    <row r="79" ht="54" customHeight="1">
      <c r="A79" s="110" t="s">
        <v>555</v>
      </c>
    </row>
    <row r="80" ht="38.25" customHeight="1">
      <c r="A80" s="503" t="s">
        <v>556</v>
      </c>
    </row>
    <row r="81" ht="45.75" customHeight="1">
      <c r="A81" s="504" t="s">
        <v>557</v>
      </c>
    </row>
    <row r="82" ht="60.75" customHeight="1">
      <c r="A82" s="505" t="s">
        <v>558</v>
      </c>
    </row>
    <row r="83" ht="12" customHeight="1"/>
    <row r="84" ht="127.5" customHeight="1">
      <c r="A84" s="110" t="s">
        <v>559</v>
      </c>
    </row>
    <row r="85" ht="117" customHeight="1">
      <c r="A85" s="110" t="s">
        <v>560</v>
      </c>
    </row>
    <row r="86" ht="56.25" customHeight="1">
      <c r="A86" s="110" t="s">
        <v>561</v>
      </c>
    </row>
    <row r="87" ht="26.25" customHeight="1">
      <c r="A87" s="110" t="s">
        <v>562</v>
      </c>
    </row>
    <row r="88" ht="14.25" customHeight="1">
      <c r="A88" s="110"/>
    </row>
    <row r="89" ht="68.25" customHeight="1">
      <c r="A89" s="110" t="s">
        <v>563</v>
      </c>
    </row>
  </sheetData>
  <sheetProtection sheet="1"/>
  <printOptions/>
  <pageMargins left="0.5" right="0.5" top="0.25" bottom="0.5" header="0.5" footer="0.25"/>
  <pageSetup blackAndWhite="1" fitToHeight="2" horizontalDpi="300" verticalDpi="300" orientation="portrait" scale="85"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dimension ref="A1:AB49"/>
  <sheetViews>
    <sheetView zoomScale="75" zoomScaleNormal="75" zoomScalePageLayoutView="0" workbookViewId="0" topLeftCell="A1">
      <selection activeCell="S22" sqref="S22"/>
    </sheetView>
  </sheetViews>
  <sheetFormatPr defaultColWidth="8.8984375" defaultRowHeight="15"/>
  <cols>
    <col min="1" max="1" width="20.796875" style="122" customWidth="1"/>
    <col min="2" max="3" width="7.796875" style="122" customWidth="1"/>
    <col min="4" max="4" width="8.796875" style="122" customWidth="1"/>
    <col min="5" max="5" width="12.796875" style="122" customWidth="1"/>
    <col min="6" max="6" width="13.59765625" style="122" customWidth="1"/>
    <col min="7" max="12" width="9.796875" style="122" customWidth="1"/>
    <col min="13" max="16384" width="8.8984375" style="122" customWidth="1"/>
  </cols>
  <sheetData>
    <row r="1" spans="1:12" ht="15.75">
      <c r="A1" s="283" t="str">
        <f>inputPrYr!$D$2</f>
        <v>CITY OF BOGUE</v>
      </c>
      <c r="B1" s="121"/>
      <c r="C1" s="121"/>
      <c r="D1" s="121"/>
      <c r="E1" s="121"/>
      <c r="F1" s="121"/>
      <c r="G1" s="121"/>
      <c r="H1" s="121"/>
      <c r="I1" s="121"/>
      <c r="J1" s="121"/>
      <c r="K1" s="121"/>
      <c r="L1" s="225">
        <f>inputPrYr!$C$5</f>
        <v>2014</v>
      </c>
    </row>
    <row r="2" spans="1:12" ht="15.75">
      <c r="A2" s="283"/>
      <c r="B2" s="121"/>
      <c r="C2" s="121"/>
      <c r="D2" s="121"/>
      <c r="E2" s="121"/>
      <c r="F2" s="121"/>
      <c r="G2" s="121"/>
      <c r="H2" s="121"/>
      <c r="I2" s="121"/>
      <c r="J2" s="121"/>
      <c r="K2" s="121"/>
      <c r="L2" s="300"/>
    </row>
    <row r="3" spans="1:12" ht="15.75">
      <c r="A3" s="321" t="s">
        <v>135</v>
      </c>
      <c r="B3" s="132"/>
      <c r="C3" s="132"/>
      <c r="D3" s="132"/>
      <c r="E3" s="132"/>
      <c r="F3" s="132"/>
      <c r="G3" s="132"/>
      <c r="H3" s="132"/>
      <c r="I3" s="132"/>
      <c r="J3" s="132"/>
      <c r="K3" s="132"/>
      <c r="L3" s="132"/>
    </row>
    <row r="4" spans="1:12" ht="15.75">
      <c r="A4" s="121"/>
      <c r="B4" s="322"/>
      <c r="C4" s="322"/>
      <c r="D4" s="322"/>
      <c r="E4" s="322"/>
      <c r="F4" s="322"/>
      <c r="G4" s="322"/>
      <c r="H4" s="322"/>
      <c r="I4" s="322"/>
      <c r="J4" s="322"/>
      <c r="K4" s="322"/>
      <c r="L4" s="322"/>
    </row>
    <row r="5" spans="1:12" ht="15.75">
      <c r="A5" s="121"/>
      <c r="B5" s="301" t="s">
        <v>103</v>
      </c>
      <c r="C5" s="301" t="s">
        <v>103</v>
      </c>
      <c r="D5" s="301" t="s">
        <v>118</v>
      </c>
      <c r="E5" s="301"/>
      <c r="F5" s="301" t="s">
        <v>222</v>
      </c>
      <c r="G5" s="121"/>
      <c r="H5" s="121"/>
      <c r="I5" s="323" t="s">
        <v>104</v>
      </c>
      <c r="J5" s="324"/>
      <c r="K5" s="323" t="s">
        <v>104</v>
      </c>
      <c r="L5" s="324"/>
    </row>
    <row r="6" spans="1:12" ht="15.75">
      <c r="A6" s="121"/>
      <c r="B6" s="325" t="s">
        <v>105</v>
      </c>
      <c r="C6" s="325" t="s">
        <v>231</v>
      </c>
      <c r="D6" s="325" t="s">
        <v>106</v>
      </c>
      <c r="E6" s="325" t="s">
        <v>63</v>
      </c>
      <c r="F6" s="325" t="s">
        <v>195</v>
      </c>
      <c r="G6" s="527" t="s">
        <v>107</v>
      </c>
      <c r="H6" s="528"/>
      <c r="I6" s="527">
        <f>inputPrYr!$C$5-1</f>
        <v>2013</v>
      </c>
      <c r="J6" s="530"/>
      <c r="K6" s="529">
        <f>inputPrYr!$C$5</f>
        <v>2014</v>
      </c>
      <c r="L6" s="530"/>
    </row>
    <row r="7" spans="1:12" ht="15.75">
      <c r="A7" s="327" t="s">
        <v>108</v>
      </c>
      <c r="B7" s="328" t="s">
        <v>109</v>
      </c>
      <c r="C7" s="328" t="s">
        <v>232</v>
      </c>
      <c r="D7" s="328" t="s">
        <v>83</v>
      </c>
      <c r="E7" s="328" t="s">
        <v>110</v>
      </c>
      <c r="F7" s="326" t="str">
        <f>CONCATENATE("Jan 1,",L1-1,"")</f>
        <v>Jan 1,2013</v>
      </c>
      <c r="G7" s="252" t="s">
        <v>118</v>
      </c>
      <c r="H7" s="252" t="s">
        <v>120</v>
      </c>
      <c r="I7" s="252" t="s">
        <v>118</v>
      </c>
      <c r="J7" s="252" t="s">
        <v>120</v>
      </c>
      <c r="K7" s="252" t="s">
        <v>118</v>
      </c>
      <c r="L7" s="252" t="s">
        <v>120</v>
      </c>
    </row>
    <row r="8" spans="1:12" ht="15.75">
      <c r="A8" s="327" t="s">
        <v>111</v>
      </c>
      <c r="B8" s="145"/>
      <c r="C8" s="145"/>
      <c r="D8" s="329"/>
      <c r="E8" s="254"/>
      <c r="F8" s="254"/>
      <c r="G8" s="145"/>
      <c r="H8" s="145"/>
      <c r="I8" s="254"/>
      <c r="J8" s="254"/>
      <c r="K8" s="254"/>
      <c r="L8" s="254"/>
    </row>
    <row r="9" spans="1:12" ht="15.75">
      <c r="A9" s="330"/>
      <c r="B9" s="354"/>
      <c r="C9" s="354"/>
      <c r="D9" s="331"/>
      <c r="E9" s="332"/>
      <c r="F9" s="333"/>
      <c r="G9" s="334"/>
      <c r="H9" s="334"/>
      <c r="I9" s="333"/>
      <c r="J9" s="333"/>
      <c r="K9" s="333"/>
      <c r="L9" s="333"/>
    </row>
    <row r="10" spans="1:12" ht="15.75">
      <c r="A10" s="330"/>
      <c r="B10" s="354"/>
      <c r="C10" s="354"/>
      <c r="D10" s="331"/>
      <c r="E10" s="332"/>
      <c r="F10" s="333"/>
      <c r="G10" s="334"/>
      <c r="H10" s="334"/>
      <c r="I10" s="333"/>
      <c r="J10" s="333"/>
      <c r="K10" s="333"/>
      <c r="L10" s="333"/>
    </row>
    <row r="11" spans="1:12" ht="15.75">
      <c r="A11" s="330"/>
      <c r="B11" s="354"/>
      <c r="C11" s="354"/>
      <c r="D11" s="331"/>
      <c r="E11" s="332"/>
      <c r="F11" s="333"/>
      <c r="G11" s="334"/>
      <c r="H11" s="334"/>
      <c r="I11" s="333"/>
      <c r="J11" s="333"/>
      <c r="K11" s="333"/>
      <c r="L11" s="333"/>
    </row>
    <row r="12" spans="1:12" ht="15.75">
      <c r="A12" s="330"/>
      <c r="B12" s="354"/>
      <c r="C12" s="354"/>
      <c r="D12" s="331"/>
      <c r="E12" s="332"/>
      <c r="F12" s="333"/>
      <c r="G12" s="334"/>
      <c r="H12" s="334"/>
      <c r="I12" s="333"/>
      <c r="J12" s="333"/>
      <c r="K12" s="333"/>
      <c r="L12" s="333"/>
    </row>
    <row r="13" spans="1:12" ht="15.75">
      <c r="A13" s="330"/>
      <c r="B13" s="354"/>
      <c r="C13" s="354"/>
      <c r="D13" s="331"/>
      <c r="E13" s="332"/>
      <c r="F13" s="333"/>
      <c r="G13" s="334"/>
      <c r="H13" s="334"/>
      <c r="I13" s="333"/>
      <c r="J13" s="333"/>
      <c r="K13" s="333"/>
      <c r="L13" s="333"/>
    </row>
    <row r="14" spans="1:12" ht="15.75">
      <c r="A14" s="330"/>
      <c r="B14" s="354"/>
      <c r="C14" s="354"/>
      <c r="D14" s="331"/>
      <c r="E14" s="332"/>
      <c r="F14" s="333" t="s">
        <v>608</v>
      </c>
      <c r="G14" s="334"/>
      <c r="H14" s="334"/>
      <c r="I14" s="333"/>
      <c r="J14" s="333"/>
      <c r="K14" s="333"/>
      <c r="L14" s="333"/>
    </row>
    <row r="15" spans="1:12" ht="15.75">
      <c r="A15" s="330"/>
      <c r="B15" s="354"/>
      <c r="C15" s="354"/>
      <c r="D15" s="331"/>
      <c r="E15" s="332"/>
      <c r="F15" s="333"/>
      <c r="G15" s="334"/>
      <c r="H15" s="334"/>
      <c r="I15" s="333"/>
      <c r="J15" s="333"/>
      <c r="K15" s="333"/>
      <c r="L15" s="333"/>
    </row>
    <row r="16" spans="1:12" ht="15.75">
      <c r="A16" s="330"/>
      <c r="B16" s="354"/>
      <c r="C16" s="354"/>
      <c r="D16" s="331"/>
      <c r="E16" s="332"/>
      <c r="F16" s="333"/>
      <c r="G16" s="334"/>
      <c r="H16" s="334"/>
      <c r="I16" s="333"/>
      <c r="J16" s="333"/>
      <c r="K16" s="333"/>
      <c r="L16" s="333"/>
    </row>
    <row r="17" spans="1:12" ht="15.75">
      <c r="A17" s="330"/>
      <c r="B17" s="354"/>
      <c r="C17" s="354"/>
      <c r="D17" s="331"/>
      <c r="E17" s="332"/>
      <c r="F17" s="333"/>
      <c r="G17" s="334"/>
      <c r="H17" s="334"/>
      <c r="I17" s="333"/>
      <c r="J17" s="333"/>
      <c r="K17" s="333"/>
      <c r="L17" s="333"/>
    </row>
    <row r="18" spans="1:12" ht="15.75">
      <c r="A18" s="330"/>
      <c r="B18" s="354"/>
      <c r="C18" s="354"/>
      <c r="D18" s="331"/>
      <c r="E18" s="332"/>
      <c r="F18" s="333"/>
      <c r="G18" s="334"/>
      <c r="H18" s="334"/>
      <c r="I18" s="333"/>
      <c r="J18" s="333"/>
      <c r="K18" s="333"/>
      <c r="L18" s="333"/>
    </row>
    <row r="19" spans="1:12" ht="15.75">
      <c r="A19" s="330"/>
      <c r="B19" s="354"/>
      <c r="C19" s="354"/>
      <c r="D19" s="331"/>
      <c r="E19" s="332"/>
      <c r="F19" s="333"/>
      <c r="G19" s="334"/>
      <c r="H19" s="334"/>
      <c r="I19" s="333"/>
      <c r="J19" s="333"/>
      <c r="K19" s="333"/>
      <c r="L19" s="333"/>
    </row>
    <row r="20" spans="1:12" ht="15.75">
      <c r="A20" s="316" t="s">
        <v>112</v>
      </c>
      <c r="B20" s="335"/>
      <c r="C20" s="335"/>
      <c r="D20" s="336"/>
      <c r="E20" s="337"/>
      <c r="F20" s="338">
        <f>SUM(F9:F19)</f>
        <v>0</v>
      </c>
      <c r="G20" s="339"/>
      <c r="H20" s="339"/>
      <c r="I20" s="338">
        <f>SUM(I9:I19)</f>
        <v>0</v>
      </c>
      <c r="J20" s="338">
        <f>SUM(J9:J19)</f>
        <v>0</v>
      </c>
      <c r="K20" s="338">
        <f>SUM(K9:K19)</f>
        <v>0</v>
      </c>
      <c r="L20" s="338">
        <f>SUM(L9:L19)</f>
        <v>0</v>
      </c>
    </row>
    <row r="21" spans="1:12" ht="15.75">
      <c r="A21" s="252" t="s">
        <v>113</v>
      </c>
      <c r="B21" s="340"/>
      <c r="C21" s="340"/>
      <c r="D21" s="341"/>
      <c r="E21" s="303"/>
      <c r="F21" s="303"/>
      <c r="G21" s="342"/>
      <c r="H21" s="342"/>
      <c r="I21" s="303"/>
      <c r="J21" s="303"/>
      <c r="K21" s="303"/>
      <c r="L21" s="303"/>
    </row>
    <row r="22" spans="1:12" ht="15.75">
      <c r="A22" s="330"/>
      <c r="B22" s="354"/>
      <c r="C22" s="354"/>
      <c r="D22" s="331"/>
      <c r="E22" s="332"/>
      <c r="F22" s="333"/>
      <c r="G22" s="334"/>
      <c r="H22" s="334"/>
      <c r="I22" s="333"/>
      <c r="J22" s="333"/>
      <c r="K22" s="333"/>
      <c r="L22" s="333"/>
    </row>
    <row r="23" spans="1:12" ht="15.75">
      <c r="A23" s="330"/>
      <c r="B23" s="354"/>
      <c r="C23" s="354"/>
      <c r="D23" s="331"/>
      <c r="E23" s="332"/>
      <c r="F23" s="333"/>
      <c r="G23" s="334"/>
      <c r="H23" s="334"/>
      <c r="I23" s="333"/>
      <c r="J23" s="333"/>
      <c r="K23" s="333"/>
      <c r="L23" s="333"/>
    </row>
    <row r="24" spans="1:12" ht="15.75">
      <c r="A24" s="330"/>
      <c r="B24" s="354"/>
      <c r="C24" s="354"/>
      <c r="D24" s="331"/>
      <c r="E24" s="332"/>
      <c r="F24" s="333"/>
      <c r="G24" s="334"/>
      <c r="H24" s="334"/>
      <c r="I24" s="333"/>
      <c r="J24" s="333"/>
      <c r="K24" s="333"/>
      <c r="L24" s="333"/>
    </row>
    <row r="25" spans="1:12" ht="15.75">
      <c r="A25" s="330"/>
      <c r="B25" s="354"/>
      <c r="C25" s="354"/>
      <c r="D25" s="331"/>
      <c r="E25" s="332"/>
      <c r="F25" s="333"/>
      <c r="G25" s="334"/>
      <c r="H25" s="334"/>
      <c r="I25" s="333"/>
      <c r="J25" s="333"/>
      <c r="K25" s="333"/>
      <c r="L25" s="333"/>
    </row>
    <row r="26" spans="1:12" ht="15.75">
      <c r="A26" s="330"/>
      <c r="B26" s="354"/>
      <c r="C26" s="354"/>
      <c r="D26" s="331"/>
      <c r="E26" s="332"/>
      <c r="F26" s="333"/>
      <c r="G26" s="334"/>
      <c r="H26" s="334"/>
      <c r="I26" s="333"/>
      <c r="J26" s="333"/>
      <c r="K26" s="333"/>
      <c r="L26" s="333"/>
    </row>
    <row r="27" spans="1:12" ht="15.75">
      <c r="A27" s="330"/>
      <c r="B27" s="354"/>
      <c r="C27" s="354"/>
      <c r="D27" s="331"/>
      <c r="E27" s="332"/>
      <c r="F27" s="333"/>
      <c r="G27" s="334"/>
      <c r="H27" s="334"/>
      <c r="I27" s="333"/>
      <c r="J27" s="333"/>
      <c r="K27" s="333"/>
      <c r="L27" s="333"/>
    </row>
    <row r="28" spans="1:12" ht="15.75">
      <c r="A28" s="330"/>
      <c r="B28" s="354"/>
      <c r="C28" s="354"/>
      <c r="D28" s="331"/>
      <c r="E28" s="332"/>
      <c r="F28" s="333"/>
      <c r="G28" s="334"/>
      <c r="H28" s="334"/>
      <c r="I28" s="333"/>
      <c r="J28" s="333"/>
      <c r="K28" s="333"/>
      <c r="L28" s="333"/>
    </row>
    <row r="29" spans="1:12" ht="15.75">
      <c r="A29" s="330"/>
      <c r="B29" s="354"/>
      <c r="C29" s="354"/>
      <c r="D29" s="331"/>
      <c r="E29" s="332"/>
      <c r="F29" s="333"/>
      <c r="G29" s="334"/>
      <c r="H29" s="334"/>
      <c r="I29" s="333"/>
      <c r="J29" s="333"/>
      <c r="K29" s="333"/>
      <c r="L29" s="333"/>
    </row>
    <row r="30" spans="1:12" ht="15.75">
      <c r="A30" s="330"/>
      <c r="B30" s="354"/>
      <c r="C30" s="354"/>
      <c r="D30" s="331"/>
      <c r="E30" s="332"/>
      <c r="F30" s="333"/>
      <c r="G30" s="334"/>
      <c r="H30" s="334"/>
      <c r="I30" s="333"/>
      <c r="J30" s="333"/>
      <c r="K30" s="333"/>
      <c r="L30" s="333"/>
    </row>
    <row r="31" spans="1:12" ht="15.75">
      <c r="A31" s="330"/>
      <c r="B31" s="354"/>
      <c r="C31" s="354"/>
      <c r="D31" s="331"/>
      <c r="E31" s="332"/>
      <c r="F31" s="333"/>
      <c r="G31" s="334"/>
      <c r="H31" s="334"/>
      <c r="I31" s="333"/>
      <c r="J31" s="333"/>
      <c r="K31" s="333"/>
      <c r="L31" s="333"/>
    </row>
    <row r="32" spans="1:12" ht="15.75">
      <c r="A32" s="330"/>
      <c r="B32" s="354"/>
      <c r="C32" s="354"/>
      <c r="D32" s="331"/>
      <c r="E32" s="332"/>
      <c r="F32" s="333"/>
      <c r="G32" s="334"/>
      <c r="H32" s="334"/>
      <c r="I32" s="333"/>
      <c r="J32" s="333"/>
      <c r="K32" s="333"/>
      <c r="L32" s="333"/>
    </row>
    <row r="33" spans="1:12" ht="15.75">
      <c r="A33" s="316" t="s">
        <v>114</v>
      </c>
      <c r="B33" s="335"/>
      <c r="C33" s="335"/>
      <c r="D33" s="343"/>
      <c r="E33" s="337"/>
      <c r="F33" s="344">
        <f>SUM(F22:F32)</f>
        <v>0</v>
      </c>
      <c r="G33" s="339"/>
      <c r="H33" s="339"/>
      <c r="I33" s="344">
        <f>SUM(I22:I32)</f>
        <v>0</v>
      </c>
      <c r="J33" s="344">
        <f>SUM(J22:J32)</f>
        <v>0</v>
      </c>
      <c r="K33" s="338">
        <f>SUM(K22:K32)</f>
        <v>0</v>
      </c>
      <c r="L33" s="344">
        <f>SUM(L22:L32)</f>
        <v>0</v>
      </c>
    </row>
    <row r="34" spans="1:12" ht="15.75">
      <c r="A34" s="252" t="s">
        <v>115</v>
      </c>
      <c r="B34" s="340"/>
      <c r="C34" s="340"/>
      <c r="D34" s="341"/>
      <c r="E34" s="303"/>
      <c r="F34" s="345"/>
      <c r="G34" s="342"/>
      <c r="H34" s="342"/>
      <c r="I34" s="303"/>
      <c r="J34" s="303"/>
      <c r="K34" s="303"/>
      <c r="L34" s="303"/>
    </row>
    <row r="35" spans="1:12" ht="15.75">
      <c r="A35" s="330"/>
      <c r="B35" s="354"/>
      <c r="C35" s="354"/>
      <c r="D35" s="331"/>
      <c r="E35" s="332"/>
      <c r="F35" s="333"/>
      <c r="G35" s="334"/>
      <c r="H35" s="334"/>
      <c r="I35" s="333"/>
      <c r="J35" s="333"/>
      <c r="K35" s="333"/>
      <c r="L35" s="333"/>
    </row>
    <row r="36" spans="1:12" ht="15.75">
      <c r="A36" s="330"/>
      <c r="B36" s="354"/>
      <c r="C36" s="354"/>
      <c r="D36" s="331"/>
      <c r="E36" s="332"/>
      <c r="F36" s="333"/>
      <c r="G36" s="334"/>
      <c r="H36" s="334"/>
      <c r="I36" s="333"/>
      <c r="J36" s="333"/>
      <c r="K36" s="333"/>
      <c r="L36" s="333"/>
    </row>
    <row r="37" spans="1:12" ht="15.75">
      <c r="A37" s="330"/>
      <c r="B37" s="354"/>
      <c r="C37" s="354"/>
      <c r="D37" s="331"/>
      <c r="E37" s="332"/>
      <c r="F37" s="333"/>
      <c r="G37" s="334"/>
      <c r="H37" s="334"/>
      <c r="I37" s="333"/>
      <c r="J37" s="333"/>
      <c r="K37" s="333"/>
      <c r="L37" s="333"/>
    </row>
    <row r="38" spans="1:12" ht="15.75">
      <c r="A38" s="330"/>
      <c r="B38" s="354"/>
      <c r="C38" s="354"/>
      <c r="D38" s="331"/>
      <c r="E38" s="332"/>
      <c r="F38" s="333"/>
      <c r="G38" s="334"/>
      <c r="H38" s="334"/>
      <c r="I38" s="333"/>
      <c r="J38" s="333"/>
      <c r="K38" s="333"/>
      <c r="L38" s="333"/>
    </row>
    <row r="39" spans="1:12" ht="15.75">
      <c r="A39" s="330"/>
      <c r="B39" s="354"/>
      <c r="C39" s="354"/>
      <c r="D39" s="331"/>
      <c r="E39" s="332"/>
      <c r="F39" s="333"/>
      <c r="G39" s="334"/>
      <c r="H39" s="334"/>
      <c r="I39" s="333"/>
      <c r="J39" s="333"/>
      <c r="K39" s="333"/>
      <c r="L39" s="333"/>
    </row>
    <row r="40" spans="1:12" ht="15.75">
      <c r="A40" s="330"/>
      <c r="B40" s="354"/>
      <c r="C40" s="354"/>
      <c r="D40" s="331"/>
      <c r="E40" s="332"/>
      <c r="F40" s="333"/>
      <c r="G40" s="334"/>
      <c r="H40" s="334"/>
      <c r="I40" s="333"/>
      <c r="J40" s="333"/>
      <c r="K40" s="333"/>
      <c r="L40" s="333"/>
    </row>
    <row r="41" spans="1:12" ht="15.75">
      <c r="A41" s="330"/>
      <c r="B41" s="354"/>
      <c r="C41" s="354"/>
      <c r="D41" s="331"/>
      <c r="E41" s="332"/>
      <c r="F41" s="333"/>
      <c r="G41" s="334"/>
      <c r="H41" s="334"/>
      <c r="I41" s="333"/>
      <c r="J41" s="333"/>
      <c r="K41" s="333"/>
      <c r="L41" s="333"/>
    </row>
    <row r="42" spans="1:28" ht="15.75">
      <c r="A42" s="330"/>
      <c r="B42" s="354"/>
      <c r="C42" s="354"/>
      <c r="D42" s="331"/>
      <c r="E42" s="332"/>
      <c r="F42" s="333"/>
      <c r="G42" s="334"/>
      <c r="H42" s="334"/>
      <c r="I42" s="333"/>
      <c r="J42" s="333"/>
      <c r="K42" s="333"/>
      <c r="L42" s="333"/>
      <c r="M42" s="107"/>
      <c r="N42" s="107"/>
      <c r="O42" s="107"/>
      <c r="P42" s="107"/>
      <c r="Q42" s="107"/>
      <c r="R42" s="107"/>
      <c r="S42" s="107"/>
      <c r="T42" s="107"/>
      <c r="U42" s="107"/>
      <c r="V42" s="107"/>
      <c r="W42" s="107"/>
      <c r="X42" s="107"/>
      <c r="Y42" s="107"/>
      <c r="Z42" s="107"/>
      <c r="AA42" s="107"/>
      <c r="AB42" s="107"/>
    </row>
    <row r="43" spans="1:12" ht="15.75">
      <c r="A43" s="316" t="s">
        <v>202</v>
      </c>
      <c r="B43" s="316"/>
      <c r="C43" s="316"/>
      <c r="D43" s="343"/>
      <c r="E43" s="337"/>
      <c r="F43" s="344">
        <f>SUM(F35:F42)</f>
        <v>0</v>
      </c>
      <c r="G43" s="337"/>
      <c r="H43" s="337"/>
      <c r="I43" s="344">
        <f>SUM(I35:I42)</f>
        <v>0</v>
      </c>
      <c r="J43" s="344">
        <f>SUM(J35:J42)</f>
        <v>0</v>
      </c>
      <c r="K43" s="344">
        <f>SUM(K35:K42)</f>
        <v>0</v>
      </c>
      <c r="L43" s="344">
        <f>SUM(L35:L42)</f>
        <v>0</v>
      </c>
    </row>
    <row r="44" spans="1:12" ht="15.75">
      <c r="A44" s="316" t="s">
        <v>116</v>
      </c>
      <c r="B44" s="316"/>
      <c r="C44" s="316"/>
      <c r="D44" s="316"/>
      <c r="E44" s="337"/>
      <c r="F44" s="344">
        <f>SUM(F20+F33+F43)</f>
        <v>0</v>
      </c>
      <c r="G44" s="337"/>
      <c r="H44" s="337"/>
      <c r="I44" s="344">
        <f>SUM(I20+I33+I43)</f>
        <v>0</v>
      </c>
      <c r="J44" s="344">
        <f>SUM(J20+J33+J43)</f>
        <v>0</v>
      </c>
      <c r="K44" s="344">
        <f>SUM(K20+K33+K43)</f>
        <v>0</v>
      </c>
      <c r="L44" s="344">
        <f>SUM(L20+L33+L43)</f>
        <v>0</v>
      </c>
    </row>
    <row r="45" spans="1:12" ht="15.75">
      <c r="A45" s="107"/>
      <c r="B45" s="107"/>
      <c r="C45" s="107"/>
      <c r="D45" s="107"/>
      <c r="E45" s="107"/>
      <c r="F45" s="107"/>
      <c r="G45" s="107"/>
      <c r="H45" s="107"/>
      <c r="I45" s="107"/>
      <c r="J45" s="107"/>
      <c r="K45" s="107"/>
      <c r="L45" s="107"/>
    </row>
    <row r="46" spans="5:12" ht="15.75">
      <c r="E46" s="346"/>
      <c r="F46" s="346"/>
      <c r="I46" s="346"/>
      <c r="J46" s="346"/>
      <c r="K46" s="346"/>
      <c r="L46" s="346"/>
    </row>
    <row r="47" spans="5:13" ht="15.75">
      <c r="E47" s="107"/>
      <c r="G47" s="347"/>
      <c r="M47" s="107"/>
    </row>
    <row r="48" spans="1:12" ht="15.75">
      <c r="A48" s="107"/>
      <c r="B48" s="107"/>
      <c r="C48" s="107"/>
      <c r="D48" s="107"/>
      <c r="E48" s="107"/>
      <c r="F48" s="107"/>
      <c r="G48" s="107"/>
      <c r="H48" s="107"/>
      <c r="I48" s="107"/>
      <c r="J48" s="107"/>
      <c r="K48" s="107"/>
      <c r="L48" s="107"/>
    </row>
    <row r="49" spans="1:12" ht="15.75">
      <c r="A49" s="107"/>
      <c r="B49" s="107"/>
      <c r="C49" s="107"/>
      <c r="D49" s="107"/>
      <c r="E49" s="107"/>
      <c r="F49" s="107"/>
      <c r="G49" s="107"/>
      <c r="H49" s="107"/>
      <c r="I49" s="107"/>
      <c r="J49" s="107"/>
      <c r="K49" s="107"/>
      <c r="L49" s="107"/>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&amp;Lrevised 8/13/08&amp;CPage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F17" sqref="F17"/>
    </sheetView>
  </sheetViews>
  <sheetFormatPr defaultColWidth="8.8984375" defaultRowHeight="15"/>
  <cols>
    <col min="1" max="1" width="25.796875" style="122" customWidth="1"/>
    <col min="2" max="2" width="11.796875" style="122" customWidth="1"/>
    <col min="3" max="4" width="9.796875" style="122" customWidth="1"/>
    <col min="5" max="5" width="17.09765625" style="122" customWidth="1"/>
    <col min="6" max="8" width="15.796875" style="122" customWidth="1"/>
    <col min="9" max="10" width="9.796875" style="122" customWidth="1"/>
    <col min="11" max="16384" width="8.8984375" style="122" customWidth="1"/>
  </cols>
  <sheetData>
    <row r="1" spans="1:10" ht="15.75">
      <c r="A1" s="283" t="str">
        <f>inputPrYr!$D$2</f>
        <v>CITY OF BOGUE</v>
      </c>
      <c r="B1" s="121"/>
      <c r="C1" s="121"/>
      <c r="D1" s="121"/>
      <c r="E1" s="121"/>
      <c r="F1" s="121"/>
      <c r="G1" s="121"/>
      <c r="H1" s="225">
        <f>inputPrYr!$C$5</f>
        <v>2014</v>
      </c>
      <c r="I1" s="107"/>
      <c r="J1" s="348"/>
    </row>
    <row r="2" spans="1:10" ht="15.75">
      <c r="A2" s="283"/>
      <c r="B2" s="121"/>
      <c r="C2" s="121"/>
      <c r="D2" s="121"/>
      <c r="E2" s="121"/>
      <c r="F2" s="121"/>
      <c r="G2" s="121"/>
      <c r="H2" s="121"/>
      <c r="I2" s="107"/>
      <c r="J2" s="348"/>
    </row>
    <row r="3" spans="1:10" ht="15.75">
      <c r="A3" s="321" t="s">
        <v>169</v>
      </c>
      <c r="B3" s="132"/>
      <c r="C3" s="132"/>
      <c r="D3" s="132"/>
      <c r="E3" s="132"/>
      <c r="F3" s="132"/>
      <c r="G3" s="132"/>
      <c r="H3" s="132"/>
      <c r="I3" s="349"/>
      <c r="J3" s="349"/>
    </row>
    <row r="4" spans="1:10" ht="15.75">
      <c r="A4" s="121"/>
      <c r="B4" s="322"/>
      <c r="C4" s="322"/>
      <c r="D4" s="322"/>
      <c r="E4" s="322"/>
      <c r="F4" s="322"/>
      <c r="G4" s="322"/>
      <c r="H4" s="322"/>
      <c r="I4" s="350"/>
      <c r="J4" s="350"/>
    </row>
    <row r="5" spans="1:10" ht="15.75">
      <c r="A5" s="121"/>
      <c r="B5" s="260"/>
      <c r="C5" s="260"/>
      <c r="D5" s="260"/>
      <c r="E5" s="301" t="s">
        <v>41</v>
      </c>
      <c r="F5" s="260"/>
      <c r="G5" s="260"/>
      <c r="H5" s="260"/>
      <c r="I5" s="351"/>
      <c r="J5" s="229"/>
    </row>
    <row r="6" spans="1:8" ht="15.75">
      <c r="A6" s="121"/>
      <c r="B6" s="325"/>
      <c r="C6" s="325" t="s">
        <v>117</v>
      </c>
      <c r="D6" s="325" t="s">
        <v>118</v>
      </c>
      <c r="E6" s="325" t="s">
        <v>63</v>
      </c>
      <c r="F6" s="325" t="s">
        <v>223</v>
      </c>
      <c r="G6" s="325" t="s">
        <v>121</v>
      </c>
      <c r="H6" s="325" t="s">
        <v>121</v>
      </c>
    </row>
    <row r="7" spans="1:8" ht="15.75">
      <c r="A7" s="121"/>
      <c r="B7" s="325" t="s">
        <v>122</v>
      </c>
      <c r="C7" s="325" t="s">
        <v>123</v>
      </c>
      <c r="D7" s="325" t="s">
        <v>106</v>
      </c>
      <c r="E7" s="325" t="s">
        <v>124</v>
      </c>
      <c r="F7" s="325" t="s">
        <v>224</v>
      </c>
      <c r="G7" s="325" t="s">
        <v>125</v>
      </c>
      <c r="H7" s="325" t="s">
        <v>125</v>
      </c>
    </row>
    <row r="8" spans="1:8" ht="15.75">
      <c r="A8" s="352" t="s">
        <v>126</v>
      </c>
      <c r="B8" s="328" t="s">
        <v>103</v>
      </c>
      <c r="C8" s="353" t="s">
        <v>127</v>
      </c>
      <c r="D8" s="328" t="s">
        <v>83</v>
      </c>
      <c r="E8" s="353" t="s">
        <v>196</v>
      </c>
      <c r="F8" s="328">
        <f>inputPrYr!C5-1</f>
        <v>2013</v>
      </c>
      <c r="G8" s="328">
        <f>inputPrYr!C5-1</f>
        <v>2013</v>
      </c>
      <c r="H8" s="311">
        <f>inputPrYr!$C$5</f>
        <v>2014</v>
      </c>
    </row>
    <row r="9" spans="1:8" ht="15.75">
      <c r="A9" s="330"/>
      <c r="B9" s="354"/>
      <c r="C9" s="354"/>
      <c r="D9" s="331"/>
      <c r="E9" s="332"/>
      <c r="F9" s="332"/>
      <c r="G9" s="332"/>
      <c r="H9" s="332"/>
    </row>
    <row r="10" spans="1:8" ht="15.75">
      <c r="A10" s="330"/>
      <c r="B10" s="354"/>
      <c r="C10" s="354"/>
      <c r="D10" s="331"/>
      <c r="E10" s="332"/>
      <c r="F10" s="332"/>
      <c r="G10" s="332"/>
      <c r="H10" s="332"/>
    </row>
    <row r="11" spans="1:8" ht="15.75">
      <c r="A11" s="330"/>
      <c r="B11" s="330"/>
      <c r="C11" s="354"/>
      <c r="D11" s="331"/>
      <c r="E11" s="332"/>
      <c r="F11" s="332"/>
      <c r="G11" s="332"/>
      <c r="H11" s="332"/>
    </row>
    <row r="12" spans="1:8" ht="15.75">
      <c r="A12" s="330"/>
      <c r="B12" s="330"/>
      <c r="C12" s="354"/>
      <c r="D12" s="331"/>
      <c r="E12" s="332"/>
      <c r="F12" s="332"/>
      <c r="G12" s="332"/>
      <c r="H12" s="332"/>
    </row>
    <row r="13" spans="1:8" ht="15.75">
      <c r="A13" s="330"/>
      <c r="B13" s="330"/>
      <c r="C13" s="354"/>
      <c r="D13" s="331"/>
      <c r="E13" s="332"/>
      <c r="F13" s="332"/>
      <c r="G13" s="332"/>
      <c r="H13" s="332"/>
    </row>
    <row r="14" spans="1:8" ht="15.75">
      <c r="A14" s="330"/>
      <c r="B14" s="354"/>
      <c r="C14" s="354"/>
      <c r="D14" s="331"/>
      <c r="E14" s="332"/>
      <c r="F14" s="332"/>
      <c r="G14" s="332"/>
      <c r="H14" s="332"/>
    </row>
    <row r="15" spans="1:8" ht="15.75">
      <c r="A15" s="330"/>
      <c r="B15" s="330"/>
      <c r="C15" s="354"/>
      <c r="D15" s="331"/>
      <c r="E15" s="332"/>
      <c r="F15" s="332"/>
      <c r="G15" s="332"/>
      <c r="H15" s="332"/>
    </row>
    <row r="16" spans="1:8" ht="15.75">
      <c r="A16" s="330"/>
      <c r="B16" s="330"/>
      <c r="C16" s="354"/>
      <c r="D16" s="331"/>
      <c r="E16" s="332"/>
      <c r="F16" s="332"/>
      <c r="G16" s="332"/>
      <c r="H16" s="332"/>
    </row>
    <row r="17" spans="1:8" ht="15.75">
      <c r="A17" s="330"/>
      <c r="B17" s="330"/>
      <c r="C17" s="354"/>
      <c r="D17" s="331"/>
      <c r="E17" s="332" t="s">
        <v>608</v>
      </c>
      <c r="F17" s="332"/>
      <c r="G17" s="332"/>
      <c r="H17" s="332"/>
    </row>
    <row r="18" spans="1:8" ht="15.75">
      <c r="A18" s="330"/>
      <c r="B18" s="330"/>
      <c r="C18" s="354"/>
      <c r="D18" s="331"/>
      <c r="E18" s="332"/>
      <c r="F18" s="332"/>
      <c r="G18" s="332"/>
      <c r="H18" s="332"/>
    </row>
    <row r="19" spans="1:8" ht="15.75">
      <c r="A19" s="330"/>
      <c r="B19" s="330"/>
      <c r="C19" s="354"/>
      <c r="D19" s="331"/>
      <c r="E19" s="332"/>
      <c r="F19" s="332"/>
      <c r="G19" s="332"/>
      <c r="H19" s="332"/>
    </row>
    <row r="20" spans="1:8" ht="15.75">
      <c r="A20" s="330"/>
      <c r="B20" s="330"/>
      <c r="C20" s="354"/>
      <c r="D20" s="331"/>
      <c r="E20" s="332"/>
      <c r="F20" s="332"/>
      <c r="G20" s="332"/>
      <c r="H20" s="332"/>
    </row>
    <row r="21" spans="1:8" ht="15.75">
      <c r="A21" s="330"/>
      <c r="B21" s="330"/>
      <c r="C21" s="354"/>
      <c r="D21" s="331"/>
      <c r="E21" s="332"/>
      <c r="F21" s="332"/>
      <c r="G21" s="332"/>
      <c r="H21" s="332"/>
    </row>
    <row r="22" spans="1:8" ht="15.75">
      <c r="A22" s="330"/>
      <c r="B22" s="330"/>
      <c r="C22" s="354"/>
      <c r="D22" s="331"/>
      <c r="E22" s="332"/>
      <c r="F22" s="332"/>
      <c r="G22" s="332"/>
      <c r="H22" s="332"/>
    </row>
    <row r="23" spans="1:8" ht="15.75">
      <c r="A23" s="330"/>
      <c r="B23" s="330"/>
      <c r="C23" s="354"/>
      <c r="D23" s="331"/>
      <c r="E23" s="332"/>
      <c r="F23" s="332"/>
      <c r="G23" s="332"/>
      <c r="H23" s="332"/>
    </row>
    <row r="24" spans="1:8" ht="15.75">
      <c r="A24" s="330"/>
      <c r="B24" s="330"/>
      <c r="C24" s="354"/>
      <c r="D24" s="331"/>
      <c r="E24" s="332"/>
      <c r="F24" s="332"/>
      <c r="G24" s="332"/>
      <c r="H24" s="332"/>
    </row>
    <row r="25" spans="1:8" ht="15.75">
      <c r="A25" s="330"/>
      <c r="B25" s="330"/>
      <c r="C25" s="354"/>
      <c r="D25" s="331"/>
      <c r="E25" s="332"/>
      <c r="F25" s="332"/>
      <c r="G25" s="332"/>
      <c r="H25" s="332"/>
    </row>
    <row r="26" spans="1:8" ht="15.75">
      <c r="A26" s="330"/>
      <c r="B26" s="330"/>
      <c r="C26" s="354"/>
      <c r="D26" s="331"/>
      <c r="E26" s="332"/>
      <c r="F26" s="332"/>
      <c r="G26" s="332"/>
      <c r="H26" s="332"/>
    </row>
    <row r="27" spans="1:8" ht="15.75">
      <c r="A27" s="330"/>
      <c r="B27" s="330"/>
      <c r="C27" s="354"/>
      <c r="D27" s="331"/>
      <c r="E27" s="332"/>
      <c r="F27" s="332"/>
      <c r="G27" s="332"/>
      <c r="H27" s="332"/>
    </row>
    <row r="28" spans="1:8" ht="15.75">
      <c r="A28" s="330"/>
      <c r="B28" s="330"/>
      <c r="C28" s="354"/>
      <c r="D28" s="331"/>
      <c r="E28" s="332"/>
      <c r="F28" s="332"/>
      <c r="G28" s="332"/>
      <c r="H28" s="332"/>
    </row>
    <row r="29" spans="1:8" ht="15.75">
      <c r="A29" s="330"/>
      <c r="B29" s="330"/>
      <c r="C29" s="354"/>
      <c r="D29" s="331"/>
      <c r="E29" s="332"/>
      <c r="F29" s="332"/>
      <c r="G29" s="332"/>
      <c r="H29" s="332"/>
    </row>
    <row r="30" spans="1:8" ht="15.75">
      <c r="A30" s="330"/>
      <c r="B30" s="330"/>
      <c r="C30" s="354"/>
      <c r="D30" s="331"/>
      <c r="E30" s="332"/>
      <c r="F30" s="332"/>
      <c r="G30" s="332"/>
      <c r="H30" s="332"/>
    </row>
    <row r="31" spans="1:8" ht="15.75">
      <c r="A31" s="330"/>
      <c r="B31" s="330"/>
      <c r="C31" s="354"/>
      <c r="D31" s="331"/>
      <c r="E31" s="332"/>
      <c r="F31" s="332"/>
      <c r="G31" s="332"/>
      <c r="H31" s="332"/>
    </row>
    <row r="32" spans="1:8" ht="16.5" thickBot="1">
      <c r="A32" s="284" t="s">
        <v>70</v>
      </c>
      <c r="B32" s="284"/>
      <c r="C32" s="284"/>
      <c r="D32" s="284"/>
      <c r="E32" s="355"/>
      <c r="F32" s="356">
        <f>SUM(F9:F31)</f>
        <v>0</v>
      </c>
      <c r="G32" s="356">
        <f>SUM(G9:G31)</f>
        <v>0</v>
      </c>
      <c r="H32" s="357">
        <f>SUM(H9:H31)</f>
        <v>0</v>
      </c>
    </row>
    <row r="33" spans="1:10" ht="16.5" thickTop="1">
      <c r="A33" s="121"/>
      <c r="B33" s="121"/>
      <c r="C33" s="121"/>
      <c r="D33" s="121"/>
      <c r="E33" s="121"/>
      <c r="F33" s="121"/>
      <c r="G33" s="121"/>
      <c r="H33" s="121"/>
      <c r="I33" s="346"/>
      <c r="J33" s="346"/>
    </row>
    <row r="34" spans="1:10" ht="15.75">
      <c r="A34" s="358" t="s">
        <v>727</v>
      </c>
      <c r="B34" s="359"/>
      <c r="C34" s="359"/>
      <c r="D34" s="359"/>
      <c r="E34" s="359"/>
      <c r="F34" s="359"/>
      <c r="G34" s="121"/>
      <c r="H34" s="121"/>
      <c r="I34" s="346"/>
      <c r="J34" s="346"/>
    </row>
    <row r="43" ht="15.75">
      <c r="C43" s="347"/>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&amp;Lrevised 8/6/07&amp;CPage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40">
      <selection activeCell="J42" sqref="J42"/>
    </sheetView>
  </sheetViews>
  <sheetFormatPr defaultColWidth="8.8984375" defaultRowHeight="15"/>
  <cols>
    <col min="1" max="1" width="27.296875" style="122" customWidth="1"/>
    <col min="2" max="3" width="10.3984375" style="122" customWidth="1"/>
    <col min="4" max="4" width="5.796875" style="122" customWidth="1"/>
    <col min="5" max="5" width="9.69921875" style="122" customWidth="1"/>
    <col min="6" max="6" width="6.69921875" style="122" customWidth="1"/>
    <col min="7" max="7" width="16.19921875" style="122" customWidth="1"/>
    <col min="8" max="16384" width="8.8984375" style="122" customWidth="1"/>
  </cols>
  <sheetData>
    <row r="1" spans="1:7" ht="15.75">
      <c r="A1" s="283" t="str">
        <f>(inputPrYr!D2)</f>
        <v>CITY OF BOGUE</v>
      </c>
      <c r="B1" s="283"/>
      <c r="C1" s="121"/>
      <c r="D1" s="121"/>
      <c r="E1" s="121"/>
      <c r="F1" s="121"/>
      <c r="G1" s="225">
        <f>inputPrYr!$C$5</f>
        <v>2014</v>
      </c>
    </row>
    <row r="2" spans="1:7" ht="15.75">
      <c r="A2" s="121"/>
      <c r="B2" s="121"/>
      <c r="C2" s="121"/>
      <c r="D2" s="121"/>
      <c r="E2" s="121"/>
      <c r="F2" s="121"/>
      <c r="G2" s="300"/>
    </row>
    <row r="3" spans="1:7" ht="15.75">
      <c r="A3" s="140" t="s">
        <v>132</v>
      </c>
      <c r="B3" s="140"/>
      <c r="C3" s="305"/>
      <c r="D3" s="305"/>
      <c r="E3" s="305"/>
      <c r="F3" s="305"/>
      <c r="G3" s="227"/>
    </row>
    <row r="4" spans="1:7" ht="15.75">
      <c r="A4" s="121"/>
      <c r="B4" s="121"/>
      <c r="C4" s="360"/>
      <c r="D4" s="360"/>
      <c r="E4" s="360"/>
      <c r="F4" s="360"/>
      <c r="G4" s="360"/>
    </row>
    <row r="5" spans="1:7" ht="15.75">
      <c r="A5" s="128" t="s">
        <v>71</v>
      </c>
      <c r="B5" s="128"/>
      <c r="C5" s="521" t="s">
        <v>89</v>
      </c>
      <c r="D5" s="522"/>
      <c r="E5" s="575" t="s">
        <v>219</v>
      </c>
      <c r="F5" s="576"/>
      <c r="G5" s="239" t="s">
        <v>220</v>
      </c>
    </row>
    <row r="6" spans="1:7" ht="15.75">
      <c r="A6" s="272" t="str">
        <f>+(inputPrYr!B17)</f>
        <v>General</v>
      </c>
      <c r="B6" s="272"/>
      <c r="C6" s="559">
        <v>2012</v>
      </c>
      <c r="D6" s="560"/>
      <c r="E6" s="559">
        <v>2013</v>
      </c>
      <c r="F6" s="560"/>
      <c r="G6" s="311">
        <f>inputPrYr!$C$5</f>
        <v>2014</v>
      </c>
    </row>
    <row r="7" spans="1:7" ht="15.75">
      <c r="A7" s="243" t="s">
        <v>188</v>
      </c>
      <c r="B7" s="361"/>
      <c r="C7" s="524">
        <v>19608</v>
      </c>
      <c r="D7" s="525"/>
      <c r="E7" s="577">
        <v>36928</v>
      </c>
      <c r="F7" s="573"/>
      <c r="G7" s="362">
        <v>31306</v>
      </c>
    </row>
    <row r="8" spans="1:7" ht="15.75">
      <c r="A8" s="363" t="s">
        <v>190</v>
      </c>
      <c r="B8" s="361"/>
      <c r="C8" s="561"/>
      <c r="D8" s="562"/>
      <c r="E8" s="577"/>
      <c r="F8" s="573"/>
      <c r="G8" s="364"/>
    </row>
    <row r="9" spans="1:7" ht="15.75">
      <c r="A9" s="243" t="s">
        <v>72</v>
      </c>
      <c r="B9" s="361"/>
      <c r="C9" s="524">
        <v>29530</v>
      </c>
      <c r="D9" s="525"/>
      <c r="E9" s="577">
        <v>34441</v>
      </c>
      <c r="F9" s="573"/>
      <c r="G9" s="365" t="s">
        <v>636</v>
      </c>
    </row>
    <row r="10" spans="1:7" ht="15.75">
      <c r="A10" s="243" t="s">
        <v>73</v>
      </c>
      <c r="B10" s="361"/>
      <c r="C10" s="524">
        <v>585</v>
      </c>
      <c r="D10" s="523"/>
      <c r="E10" s="563">
        <v>250</v>
      </c>
      <c r="F10" s="564"/>
      <c r="G10" s="366">
        <v>250</v>
      </c>
    </row>
    <row r="11" spans="1:7" ht="15.75">
      <c r="A11" s="243" t="s">
        <v>74</v>
      </c>
      <c r="B11" s="361"/>
      <c r="C11" s="524">
        <v>9320</v>
      </c>
      <c r="D11" s="523"/>
      <c r="E11" s="563">
        <v>9024</v>
      </c>
      <c r="F11" s="564"/>
      <c r="G11" s="367">
        <v>6607</v>
      </c>
    </row>
    <row r="12" spans="1:7" ht="15.75">
      <c r="A12" s="243" t="s">
        <v>75</v>
      </c>
      <c r="B12" s="361"/>
      <c r="C12" s="524">
        <v>217</v>
      </c>
      <c r="D12" s="523"/>
      <c r="E12" s="563">
        <v>213</v>
      </c>
      <c r="F12" s="564"/>
      <c r="G12" s="367">
        <v>178</v>
      </c>
    </row>
    <row r="13" spans="1:7" ht="15.75">
      <c r="A13" s="368" t="s">
        <v>128</v>
      </c>
      <c r="B13" s="361"/>
      <c r="C13" s="524">
        <v>592</v>
      </c>
      <c r="D13" s="523"/>
      <c r="E13" s="563">
        <v>720</v>
      </c>
      <c r="F13" s="564"/>
      <c r="G13" s="367">
        <v>0</v>
      </c>
    </row>
    <row r="14" spans="1:7" ht="15.75">
      <c r="A14" s="368" t="s">
        <v>624</v>
      </c>
      <c r="B14" s="361"/>
      <c r="C14" s="524">
        <v>2977</v>
      </c>
      <c r="D14" s="523"/>
      <c r="E14" s="563">
        <v>3500</v>
      </c>
      <c r="F14" s="564"/>
      <c r="G14" s="367">
        <v>3500</v>
      </c>
    </row>
    <row r="15" spans="1:7" ht="15.75">
      <c r="A15" s="368" t="s">
        <v>625</v>
      </c>
      <c r="B15" s="361"/>
      <c r="C15" s="524">
        <v>4452</v>
      </c>
      <c r="D15" s="523"/>
      <c r="E15" s="563">
        <v>4500</v>
      </c>
      <c r="F15" s="564"/>
      <c r="G15" s="367">
        <v>4500</v>
      </c>
    </row>
    <row r="16" spans="1:7" ht="15.75">
      <c r="A16" s="368" t="s">
        <v>166</v>
      </c>
      <c r="B16" s="361"/>
      <c r="C16" s="524">
        <v>696</v>
      </c>
      <c r="D16" s="523"/>
      <c r="E16" s="563">
        <v>1000</v>
      </c>
      <c r="F16" s="564"/>
      <c r="G16" s="367">
        <v>1000</v>
      </c>
    </row>
    <row r="17" spans="1:7" ht="15.75">
      <c r="A17" s="368" t="s">
        <v>626</v>
      </c>
      <c r="B17" s="361"/>
      <c r="C17" s="524">
        <v>4472</v>
      </c>
      <c r="D17" s="523"/>
      <c r="E17" s="563">
        <v>4500</v>
      </c>
      <c r="F17" s="564"/>
      <c r="G17" s="367">
        <v>0</v>
      </c>
    </row>
    <row r="18" spans="1:7" ht="15.75">
      <c r="A18" s="369" t="s">
        <v>595</v>
      </c>
      <c r="B18" s="370"/>
      <c r="C18" s="524">
        <v>3453</v>
      </c>
      <c r="D18" s="523"/>
      <c r="E18" s="563">
        <v>750</v>
      </c>
      <c r="F18" s="564"/>
      <c r="G18" s="366">
        <v>750</v>
      </c>
    </row>
    <row r="19" spans="1:7" ht="15.75">
      <c r="A19" s="369"/>
      <c r="B19" s="370"/>
      <c r="C19" s="524"/>
      <c r="D19" s="523"/>
      <c r="E19" s="563"/>
      <c r="F19" s="564"/>
      <c r="G19" s="371"/>
    </row>
    <row r="20" spans="1:7" ht="15.75">
      <c r="A20" s="369"/>
      <c r="B20" s="370"/>
      <c r="C20" s="524"/>
      <c r="D20" s="523"/>
      <c r="E20" s="563"/>
      <c r="F20" s="564"/>
      <c r="G20" s="366"/>
    </row>
    <row r="21" spans="1:7" ht="15.75">
      <c r="A21" s="369"/>
      <c r="B21" s="370"/>
      <c r="C21" s="524"/>
      <c r="D21" s="523"/>
      <c r="E21" s="563"/>
      <c r="F21" s="564"/>
      <c r="G21" s="366"/>
    </row>
    <row r="22" spans="1:7" ht="15.75">
      <c r="A22" s="369"/>
      <c r="B22" s="370"/>
      <c r="C22" s="524"/>
      <c r="D22" s="523"/>
      <c r="E22" s="563"/>
      <c r="F22" s="564"/>
      <c r="G22" s="366"/>
    </row>
    <row r="23" spans="1:7" ht="15.75">
      <c r="A23" s="369"/>
      <c r="B23" s="370"/>
      <c r="C23" s="524"/>
      <c r="D23" s="523"/>
      <c r="E23" s="563"/>
      <c r="F23" s="564"/>
      <c r="G23" s="366"/>
    </row>
    <row r="24" spans="1:7" ht="15.75">
      <c r="A24" s="369"/>
      <c r="B24" s="370"/>
      <c r="C24" s="524"/>
      <c r="D24" s="523"/>
      <c r="E24" s="563"/>
      <c r="F24" s="564"/>
      <c r="G24" s="366"/>
    </row>
    <row r="25" spans="1:7" ht="15.75">
      <c r="A25" s="369"/>
      <c r="B25" s="370"/>
      <c r="C25" s="563"/>
      <c r="D25" s="564"/>
      <c r="E25" s="563"/>
      <c r="F25" s="564"/>
      <c r="G25" s="366"/>
    </row>
    <row r="26" spans="1:7" ht="15.75">
      <c r="A26" s="369"/>
      <c r="B26" s="370"/>
      <c r="C26" s="563"/>
      <c r="D26" s="564"/>
      <c r="E26" s="563"/>
      <c r="F26" s="564"/>
      <c r="G26" s="366"/>
    </row>
    <row r="27" spans="1:7" ht="15.75">
      <c r="A27" s="369"/>
      <c r="B27" s="370"/>
      <c r="C27" s="524"/>
      <c r="D27" s="523"/>
      <c r="E27" s="563"/>
      <c r="F27" s="564"/>
      <c r="G27" s="366"/>
    </row>
    <row r="28" spans="1:7" ht="15.75">
      <c r="A28" s="369" t="s">
        <v>76</v>
      </c>
      <c r="B28" s="370"/>
      <c r="C28" s="524"/>
      <c r="D28" s="523"/>
      <c r="E28" s="563"/>
      <c r="F28" s="564"/>
      <c r="G28" s="366"/>
    </row>
    <row r="29" spans="1:7" ht="15.75">
      <c r="A29" s="372" t="s">
        <v>77</v>
      </c>
      <c r="B29" s="370"/>
      <c r="C29" s="524">
        <v>57</v>
      </c>
      <c r="D29" s="523"/>
      <c r="E29" s="563">
        <v>50</v>
      </c>
      <c r="F29" s="564"/>
      <c r="G29" s="366">
        <v>50</v>
      </c>
    </row>
    <row r="30" spans="1:7" ht="15.75">
      <c r="A30" s="257" t="s">
        <v>167</v>
      </c>
      <c r="B30" s="373"/>
      <c r="C30" s="563"/>
      <c r="D30" s="564"/>
      <c r="E30" s="563"/>
      <c r="F30" s="564"/>
      <c r="G30" s="374"/>
    </row>
    <row r="31" spans="1:7" ht="15.75">
      <c r="A31" s="257" t="s">
        <v>702</v>
      </c>
      <c r="B31" s="373"/>
      <c r="C31" s="570"/>
      <c r="D31" s="571"/>
      <c r="E31" s="570"/>
      <c r="F31" s="571"/>
      <c r="G31" s="375"/>
    </row>
    <row r="32" spans="1:7" ht="15.75">
      <c r="A32" s="376" t="s">
        <v>78</v>
      </c>
      <c r="B32" s="361"/>
      <c r="C32" s="572">
        <v>56351</v>
      </c>
      <c r="D32" s="573"/>
      <c r="E32" s="572">
        <v>58978</v>
      </c>
      <c r="F32" s="573"/>
      <c r="G32" s="377">
        <v>16835</v>
      </c>
    </row>
    <row r="33" spans="1:7" ht="15.75">
      <c r="A33" s="376" t="s">
        <v>79</v>
      </c>
      <c r="B33" s="361"/>
      <c r="C33" s="572">
        <v>75969</v>
      </c>
      <c r="D33" s="573"/>
      <c r="E33" s="572">
        <v>95906</v>
      </c>
      <c r="F33" s="573"/>
      <c r="G33" s="378">
        <v>48141</v>
      </c>
    </row>
    <row r="34" spans="1:7" ht="15.75">
      <c r="A34" s="363" t="s">
        <v>80</v>
      </c>
      <c r="B34" s="361"/>
      <c r="C34" s="574"/>
      <c r="D34" s="573"/>
      <c r="E34" s="574"/>
      <c r="F34" s="573"/>
      <c r="G34" s="367"/>
    </row>
    <row r="35" spans="1:7" ht="15.75">
      <c r="A35" s="379" t="s">
        <v>620</v>
      </c>
      <c r="B35" s="370"/>
      <c r="C35" s="563">
        <v>3955</v>
      </c>
      <c r="D35" s="564"/>
      <c r="E35" s="563">
        <v>4500</v>
      </c>
      <c r="F35" s="564"/>
      <c r="G35" s="366">
        <v>5520</v>
      </c>
    </row>
    <row r="36" spans="1:7" ht="15.75">
      <c r="A36" s="379" t="s">
        <v>614</v>
      </c>
      <c r="B36" s="370"/>
      <c r="C36" s="563">
        <v>806</v>
      </c>
      <c r="D36" s="564"/>
      <c r="E36" s="563">
        <v>5000</v>
      </c>
      <c r="F36" s="564"/>
      <c r="G36" s="366">
        <v>12000</v>
      </c>
    </row>
    <row r="37" spans="1:8" ht="15.75">
      <c r="A37" s="379" t="s">
        <v>633</v>
      </c>
      <c r="B37" s="370"/>
      <c r="C37" s="563">
        <v>7808</v>
      </c>
      <c r="D37" s="564"/>
      <c r="E37" s="563">
        <v>13500</v>
      </c>
      <c r="F37" s="564"/>
      <c r="G37" s="366">
        <v>13500</v>
      </c>
      <c r="H37" s="122" t="s">
        <v>47</v>
      </c>
    </row>
    <row r="38" spans="1:7" ht="15.75">
      <c r="A38" s="379" t="s">
        <v>634</v>
      </c>
      <c r="B38" s="370"/>
      <c r="C38" s="563">
        <v>2052</v>
      </c>
      <c r="D38" s="564"/>
      <c r="E38" s="563">
        <v>2600</v>
      </c>
      <c r="F38" s="564"/>
      <c r="G38" s="366">
        <v>2600</v>
      </c>
    </row>
    <row r="39" spans="1:7" ht="15.75">
      <c r="A39" s="379" t="s">
        <v>597</v>
      </c>
      <c r="B39" s="370"/>
      <c r="C39" s="563">
        <v>3833</v>
      </c>
      <c r="D39" s="564"/>
      <c r="E39" s="563">
        <v>4000</v>
      </c>
      <c r="F39" s="564"/>
      <c r="G39" s="366">
        <v>4100</v>
      </c>
    </row>
    <row r="40" spans="1:7" ht="15.75">
      <c r="A40" s="379" t="s">
        <v>598</v>
      </c>
      <c r="B40" s="370"/>
      <c r="C40" s="563">
        <v>317</v>
      </c>
      <c r="D40" s="564"/>
      <c r="E40" s="563">
        <v>500</v>
      </c>
      <c r="F40" s="564"/>
      <c r="G40" s="366">
        <v>500</v>
      </c>
    </row>
    <row r="41" spans="1:7" ht="15.75">
      <c r="A41" s="379" t="s">
        <v>627</v>
      </c>
      <c r="B41" s="370"/>
      <c r="C41" s="563">
        <v>209</v>
      </c>
      <c r="D41" s="564"/>
      <c r="E41" s="563">
        <v>2000</v>
      </c>
      <c r="F41" s="564"/>
      <c r="G41" s="366">
        <v>2000</v>
      </c>
    </row>
    <row r="42" spans="1:7" ht="15.75">
      <c r="A42" s="379" t="s">
        <v>599</v>
      </c>
      <c r="B42" s="370"/>
      <c r="C42" s="563">
        <v>3761</v>
      </c>
      <c r="D42" s="564"/>
      <c r="E42" s="563">
        <v>4000</v>
      </c>
      <c r="F42" s="564"/>
      <c r="G42" s="366">
        <v>0</v>
      </c>
    </row>
    <row r="43" spans="1:7" ht="15.75">
      <c r="A43" s="379" t="s">
        <v>600</v>
      </c>
      <c r="B43" s="370"/>
      <c r="C43" s="563">
        <v>10000</v>
      </c>
      <c r="D43" s="564"/>
      <c r="E43" s="563">
        <v>22000</v>
      </c>
      <c r="F43" s="564"/>
      <c r="G43" s="366">
        <v>26000</v>
      </c>
    </row>
    <row r="44" spans="1:7" ht="15.75">
      <c r="A44" s="379" t="s">
        <v>635</v>
      </c>
      <c r="B44" s="370"/>
      <c r="C44" s="563">
        <v>300</v>
      </c>
      <c r="D44" s="564"/>
      <c r="E44" s="563">
        <v>500</v>
      </c>
      <c r="F44" s="564"/>
      <c r="G44" s="366">
        <v>500</v>
      </c>
    </row>
    <row r="45" spans="1:7" ht="15.75">
      <c r="A45" s="379" t="s">
        <v>47</v>
      </c>
      <c r="B45" s="370"/>
      <c r="C45" s="563"/>
      <c r="D45" s="564"/>
      <c r="E45" s="563"/>
      <c r="F45" s="564"/>
      <c r="G45" s="366"/>
    </row>
    <row r="46" spans="1:7" ht="15.75">
      <c r="A46" s="379" t="s">
        <v>603</v>
      </c>
      <c r="B46" s="370"/>
      <c r="C46" s="563">
        <v>6000</v>
      </c>
      <c r="D46" s="564"/>
      <c r="E46" s="563">
        <v>6000</v>
      </c>
      <c r="F46" s="564"/>
      <c r="G46" s="366">
        <v>6000</v>
      </c>
    </row>
    <row r="47" spans="1:7" ht="15.75">
      <c r="A47" s="379"/>
      <c r="B47" s="370"/>
      <c r="C47" s="563"/>
      <c r="D47" s="564"/>
      <c r="E47" s="563"/>
      <c r="F47" s="564"/>
      <c r="G47" s="366"/>
    </row>
    <row r="48" spans="1:7" ht="15.75">
      <c r="A48" s="379"/>
      <c r="B48" s="370"/>
      <c r="C48" s="563"/>
      <c r="D48" s="564"/>
      <c r="E48" s="563"/>
      <c r="F48" s="564"/>
      <c r="G48" s="366"/>
    </row>
    <row r="49" spans="1:7" ht="15.75">
      <c r="A49" s="379"/>
      <c r="B49" s="370"/>
      <c r="C49" s="563"/>
      <c r="D49" s="564"/>
      <c r="E49" s="563"/>
      <c r="F49" s="564"/>
      <c r="G49" s="366"/>
    </row>
    <row r="50" spans="1:7" ht="15.75">
      <c r="A50" s="379"/>
      <c r="B50" s="370"/>
      <c r="C50" s="563"/>
      <c r="D50" s="564"/>
      <c r="E50" s="563"/>
      <c r="F50" s="564"/>
      <c r="G50" s="366"/>
    </row>
    <row r="51" spans="1:7" ht="15.75">
      <c r="A51" s="379"/>
      <c r="B51" s="370"/>
      <c r="C51" s="563"/>
      <c r="D51" s="564"/>
      <c r="E51" s="563"/>
      <c r="F51" s="564"/>
      <c r="G51" s="366"/>
    </row>
    <row r="52" spans="1:7" ht="15.75">
      <c r="A52" s="379"/>
      <c r="B52" s="370"/>
      <c r="C52" s="563"/>
      <c r="D52" s="564"/>
      <c r="E52" s="563"/>
      <c r="F52" s="564"/>
      <c r="G52" s="366"/>
    </row>
    <row r="53" spans="1:7" ht="15.75">
      <c r="A53" s="379"/>
      <c r="B53" s="370"/>
      <c r="C53" s="563"/>
      <c r="D53" s="564"/>
      <c r="E53" s="563"/>
      <c r="F53" s="564"/>
      <c r="G53" s="366"/>
    </row>
    <row r="54" spans="1:7" ht="15.75">
      <c r="A54" s="379"/>
      <c r="B54" s="370"/>
      <c r="C54" s="563"/>
      <c r="D54" s="564"/>
      <c r="E54" s="563"/>
      <c r="F54" s="564"/>
      <c r="G54" s="366"/>
    </row>
    <row r="55" spans="1:7" ht="15.75">
      <c r="A55" s="379"/>
      <c r="B55" s="370"/>
      <c r="C55" s="563"/>
      <c r="D55" s="564"/>
      <c r="E55" s="563"/>
      <c r="F55" s="564"/>
      <c r="G55" s="366"/>
    </row>
    <row r="56" spans="1:7" ht="15.75">
      <c r="A56" s="379"/>
      <c r="B56" s="370"/>
      <c r="C56" s="563"/>
      <c r="D56" s="564"/>
      <c r="E56" s="563"/>
      <c r="F56" s="564"/>
      <c r="G56" s="366"/>
    </row>
    <row r="57" spans="1:7" ht="15.75">
      <c r="A57" s="257" t="s">
        <v>701</v>
      </c>
      <c r="B57" s="361"/>
      <c r="C57" s="563"/>
      <c r="D57" s="573"/>
      <c r="E57" s="563"/>
      <c r="F57" s="573"/>
      <c r="G57" s="367"/>
    </row>
    <row r="58" spans="1:7" ht="15.75">
      <c r="A58" s="257" t="s">
        <v>167</v>
      </c>
      <c r="B58" s="373"/>
      <c r="C58" s="563"/>
      <c r="D58" s="564"/>
      <c r="E58" s="563"/>
      <c r="F58" s="564"/>
      <c r="G58" s="366"/>
    </row>
    <row r="59" spans="1:7" ht="15.75">
      <c r="A59" s="257" t="s">
        <v>703</v>
      </c>
      <c r="B59" s="373"/>
      <c r="C59" s="570"/>
      <c r="D59" s="571"/>
      <c r="E59" s="570"/>
      <c r="F59" s="571"/>
      <c r="G59" s="375"/>
    </row>
    <row r="60" spans="1:7" ht="15.75">
      <c r="A60" s="376" t="s">
        <v>81</v>
      </c>
      <c r="B60" s="361"/>
      <c r="C60" s="572">
        <v>39041</v>
      </c>
      <c r="D60" s="573"/>
      <c r="E60" s="572">
        <v>64600</v>
      </c>
      <c r="F60" s="573"/>
      <c r="G60" s="377">
        <v>72720</v>
      </c>
    </row>
    <row r="61" spans="1:7" ht="15.75">
      <c r="A61" s="243" t="s">
        <v>189</v>
      </c>
      <c r="B61" s="361"/>
      <c r="C61" s="578">
        <v>36928</v>
      </c>
      <c r="D61" s="573"/>
      <c r="E61" s="578">
        <v>31306</v>
      </c>
      <c r="F61" s="573"/>
      <c r="G61" s="365" t="s">
        <v>637</v>
      </c>
    </row>
    <row r="62" spans="1:8" ht="15.75">
      <c r="A62" s="292" t="str">
        <f>CONCATENATE("",G1-2,"/",G1-1," Budget Authority Amount:")</f>
        <v>2012/2013 Budget Authority Amount:</v>
      </c>
      <c r="B62" s="380">
        <v>61100</v>
      </c>
      <c r="C62" s="380">
        <v>76600</v>
      </c>
      <c r="D62" s="581"/>
      <c r="E62" s="582"/>
      <c r="F62" s="583"/>
      <c r="G62" s="146" t="s">
        <v>638</v>
      </c>
      <c r="H62" s="381" t="str">
        <f>IF(G60/0.95-G60&lt;G62,"Exceeds 5%","")</f>
        <v>Exceeds 5%</v>
      </c>
    </row>
    <row r="63" spans="1:7" ht="15.75">
      <c r="A63" s="292"/>
      <c r="B63" s="382">
        <f>IF(C60&gt;B62,"See Tab A","")</f>
      </c>
      <c r="C63" s="382"/>
      <c r="D63" s="121"/>
      <c r="E63" s="579"/>
      <c r="F63" s="580"/>
      <c r="G63" s="254">
        <v>72720</v>
      </c>
    </row>
    <row r="64" spans="1:7" ht="15.75">
      <c r="A64" s="292"/>
      <c r="B64" s="382">
        <f>IF(C61&lt;0,"See Tab B","")</f>
      </c>
      <c r="C64" s="382"/>
      <c r="D64" s="121"/>
      <c r="E64" s="579"/>
      <c r="F64" s="580"/>
      <c r="G64" s="153">
        <v>24579</v>
      </c>
    </row>
    <row r="65" spans="1:7" ht="15.75">
      <c r="A65" s="383"/>
      <c r="B65" s="383"/>
      <c r="C65" s="382"/>
      <c r="D65" s="519" t="s">
        <v>6</v>
      </c>
      <c r="E65" s="520"/>
      <c r="F65" s="384">
        <v>0.02</v>
      </c>
      <c r="G65" s="254">
        <v>737</v>
      </c>
    </row>
    <row r="66" spans="1:7" ht="15.75">
      <c r="A66" s="121"/>
      <c r="B66" s="121"/>
      <c r="C66" s="565" t="str">
        <f>CONCATENATE("Amount of  ",G1-1," Ad Valorem Tax")</f>
        <v>Amount of  2013 Ad Valorem Tax</v>
      </c>
      <c r="D66" s="566"/>
      <c r="E66" s="566"/>
      <c r="F66" s="567"/>
      <c r="G66" s="385">
        <v>25316</v>
      </c>
    </row>
    <row r="67" spans="1:7" ht="15.75">
      <c r="A67" s="300"/>
      <c r="B67" s="300"/>
      <c r="C67" s="121"/>
      <c r="D67" s="121"/>
      <c r="E67" s="121"/>
      <c r="F67" s="121"/>
      <c r="G67" s="121"/>
    </row>
    <row r="68" spans="1:7" ht="15.75">
      <c r="A68" s="292"/>
      <c r="B68" s="292" t="s">
        <v>84</v>
      </c>
      <c r="C68" s="386">
        <v>7</v>
      </c>
      <c r="D68" s="387"/>
      <c r="E68" s="121"/>
      <c r="F68" s="121"/>
      <c r="G68" s="121"/>
    </row>
    <row r="70" spans="5:7" ht="15.75">
      <c r="E70" s="568"/>
      <c r="F70" s="568"/>
      <c r="G70" s="569"/>
    </row>
  </sheetData>
  <sheetProtection/>
  <mergeCells count="120">
    <mergeCell ref="E64:F64"/>
    <mergeCell ref="E59:F59"/>
    <mergeCell ref="E60:F60"/>
    <mergeCell ref="E61:F61"/>
    <mergeCell ref="C59:D59"/>
    <mergeCell ref="C60:D60"/>
    <mergeCell ref="C61:D61"/>
    <mergeCell ref="E63:F63"/>
    <mergeCell ref="D62:F62"/>
    <mergeCell ref="E55:F55"/>
    <mergeCell ref="E56:F56"/>
    <mergeCell ref="E57:F57"/>
    <mergeCell ref="E58:F58"/>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1:F21"/>
    <mergeCell ref="E22:F22"/>
    <mergeCell ref="E23:F23"/>
    <mergeCell ref="E24:F24"/>
    <mergeCell ref="E17:F17"/>
    <mergeCell ref="E18:F18"/>
    <mergeCell ref="E19:F19"/>
    <mergeCell ref="E20:F20"/>
    <mergeCell ref="E13:F13"/>
    <mergeCell ref="E14:F14"/>
    <mergeCell ref="E15:F15"/>
    <mergeCell ref="E16:F16"/>
    <mergeCell ref="C57:D57"/>
    <mergeCell ref="C58:D58"/>
    <mergeCell ref="C45:D45"/>
    <mergeCell ref="C46:D46"/>
    <mergeCell ref="C47:D47"/>
    <mergeCell ref="C48:D48"/>
    <mergeCell ref="C54:D54"/>
    <mergeCell ref="C55:D55"/>
    <mergeCell ref="C56:D56"/>
    <mergeCell ref="E5:F5"/>
    <mergeCell ref="E7:F7"/>
    <mergeCell ref="E8:F8"/>
    <mergeCell ref="E9:F9"/>
    <mergeCell ref="E6:F6"/>
    <mergeCell ref="E10:F10"/>
    <mergeCell ref="E11:F11"/>
    <mergeCell ref="E12:F12"/>
    <mergeCell ref="C53:D53"/>
    <mergeCell ref="C49:D49"/>
    <mergeCell ref="C50:D50"/>
    <mergeCell ref="C51:D51"/>
    <mergeCell ref="C52:D52"/>
    <mergeCell ref="C41:D41"/>
    <mergeCell ref="C42:D42"/>
    <mergeCell ref="C35:D35"/>
    <mergeCell ref="C36:D36"/>
    <mergeCell ref="C43:D43"/>
    <mergeCell ref="C44:D44"/>
    <mergeCell ref="C37:D37"/>
    <mergeCell ref="C38:D38"/>
    <mergeCell ref="C39:D39"/>
    <mergeCell ref="C40:D40"/>
    <mergeCell ref="E25:F25"/>
    <mergeCell ref="C11:D11"/>
    <mergeCell ref="C12:D12"/>
    <mergeCell ref="C13:D13"/>
    <mergeCell ref="C14:D14"/>
    <mergeCell ref="C23:D23"/>
    <mergeCell ref="C24:D24"/>
    <mergeCell ref="C19:D19"/>
    <mergeCell ref="C20:D20"/>
    <mergeCell ref="C21:D21"/>
    <mergeCell ref="C26:D26"/>
    <mergeCell ref="C15:D15"/>
    <mergeCell ref="C16:D16"/>
    <mergeCell ref="C17:D17"/>
    <mergeCell ref="C18:D18"/>
    <mergeCell ref="C66:F66"/>
    <mergeCell ref="E70:G70"/>
    <mergeCell ref="C27:D27"/>
    <mergeCell ref="C28:D28"/>
    <mergeCell ref="C29:D29"/>
    <mergeCell ref="C30:D30"/>
    <mergeCell ref="C31:D31"/>
    <mergeCell ref="C32:D32"/>
    <mergeCell ref="C33:D33"/>
    <mergeCell ref="C34:D34"/>
    <mergeCell ref="C9:D9"/>
    <mergeCell ref="C10:D10"/>
    <mergeCell ref="D65:E65"/>
    <mergeCell ref="C5:D5"/>
    <mergeCell ref="C6:D6"/>
    <mergeCell ref="C7:D7"/>
    <mergeCell ref="C8:D8"/>
    <mergeCell ref="C22:D22"/>
    <mergeCell ref="E26:F26"/>
    <mergeCell ref="C25:D25"/>
  </mergeCells>
  <conditionalFormatting sqref="G58">
    <cfRule type="cellIs" priority="2" dxfId="4" operator="greaterThan" stopIfTrue="1">
      <formula>$G$60*0.1</formula>
    </cfRule>
  </conditionalFormatting>
  <conditionalFormatting sqref="G62">
    <cfRule type="cellIs" priority="3" dxfId="4" operator="greaterThan" stopIfTrue="1">
      <formula>$G$60/0.95-$G$60</formula>
    </cfRule>
  </conditionalFormatting>
  <conditionalFormatting sqref="C61:D61">
    <cfRule type="cellIs" priority="4" dxfId="1" operator="lessThan" stopIfTrue="1">
      <formula>0</formula>
    </cfRule>
  </conditionalFormatting>
  <conditionalFormatting sqref="E60:F60">
    <cfRule type="cellIs" priority="5" dxfId="1" operator="greaterThan" stopIfTrue="1">
      <formula>$C$62</formula>
    </cfRule>
  </conditionalFormatting>
  <conditionalFormatting sqref="C60:D60">
    <cfRule type="cellIs" priority="6" dxfId="1" operator="greaterThan" stopIfTrue="1">
      <formula>$B$62</formula>
    </cfRule>
  </conditionalFormatting>
  <conditionalFormatting sqref="C58:D58">
    <cfRule type="cellIs" priority="7" dxfId="1" operator="greaterThan" stopIfTrue="1">
      <formula>$C$60*0.1</formula>
    </cfRule>
  </conditionalFormatting>
  <conditionalFormatting sqref="E58:F58">
    <cfRule type="cellIs" priority="8" dxfId="1" operator="greaterThan" stopIfTrue="1">
      <formula>$E$60*0.1</formula>
    </cfRule>
  </conditionalFormatting>
  <conditionalFormatting sqref="C30:D30">
    <cfRule type="cellIs" priority="9" dxfId="1" operator="greaterThan" stopIfTrue="1">
      <formula>$C$32*0.1</formula>
    </cfRule>
  </conditionalFormatting>
  <conditionalFormatting sqref="E30:F30">
    <cfRule type="cellIs" priority="10" dxfId="1" operator="greaterThan" stopIfTrue="1">
      <formula>$E$32*0.1</formula>
    </cfRule>
  </conditionalFormatting>
  <conditionalFormatting sqref="G30">
    <cfRule type="cellIs" priority="11" dxfId="4" operator="greaterThan" stopIfTrue="1">
      <formula>$G$32*0.1+G66</formula>
    </cfRule>
  </conditionalFormatting>
  <conditionalFormatting sqref="E61:F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oddFooter>&amp;Lrevised 10/2/09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B10">
      <selection activeCell="C1" sqref="C1"/>
    </sheetView>
  </sheetViews>
  <sheetFormatPr defaultColWidth="8.8984375" defaultRowHeight="15"/>
  <cols>
    <col min="1" max="1" width="28.296875" style="107" customWidth="1"/>
    <col min="2" max="3" width="15.796875" style="107" customWidth="1"/>
    <col min="4" max="4" width="16.3984375" style="107" customWidth="1"/>
    <col min="5" max="16384" width="8.8984375" style="107" customWidth="1"/>
  </cols>
  <sheetData>
    <row r="1" spans="1:4" ht="15.75">
      <c r="A1" s="283" t="str">
        <f>inputPrYr!D2</f>
        <v>CITY OF BOGUE</v>
      </c>
      <c r="B1" s="121"/>
      <c r="C1" s="456"/>
      <c r="D1" s="121">
        <f>inputPrYr!C5</f>
        <v>2014</v>
      </c>
    </row>
    <row r="2" spans="1:4" ht="15.75">
      <c r="A2" s="121"/>
      <c r="B2" s="121"/>
      <c r="C2" s="121"/>
      <c r="D2" s="456"/>
    </row>
    <row r="3" spans="1:4" ht="15.75">
      <c r="A3" s="140" t="s">
        <v>715</v>
      </c>
      <c r="B3" s="457"/>
      <c r="C3" s="457"/>
      <c r="D3" s="457"/>
    </row>
    <row r="4" spans="1:4" ht="15.75">
      <c r="A4" s="456" t="s">
        <v>71</v>
      </c>
      <c r="B4" s="425" t="s">
        <v>89</v>
      </c>
      <c r="C4" s="239" t="s">
        <v>219</v>
      </c>
      <c r="D4" s="239" t="s">
        <v>220</v>
      </c>
    </row>
    <row r="5" spans="1:4" ht="15.75">
      <c r="A5" s="151" t="s">
        <v>716</v>
      </c>
      <c r="B5" s="426">
        <f>D1-2</f>
        <v>2012</v>
      </c>
      <c r="C5" s="426">
        <f>D1-1</f>
        <v>2013</v>
      </c>
      <c r="D5" s="426">
        <f>D1</f>
        <v>2014</v>
      </c>
    </row>
    <row r="6" spans="1:4" ht="15.75">
      <c r="A6" s="327" t="s">
        <v>80</v>
      </c>
      <c r="B6" s="167"/>
      <c r="C6" s="167"/>
      <c r="D6" s="167"/>
    </row>
    <row r="7" spans="1:4" ht="15.75">
      <c r="A7" s="458"/>
      <c r="B7" s="167"/>
      <c r="C7" s="167"/>
      <c r="D7" s="167"/>
    </row>
    <row r="8" spans="1:4" ht="15.75">
      <c r="A8" s="459" t="s">
        <v>717</v>
      </c>
      <c r="B8" s="430"/>
      <c r="C8" s="430"/>
      <c r="D8" s="430"/>
    </row>
    <row r="9" spans="1:4" ht="15.75">
      <c r="A9" s="459" t="s">
        <v>718</v>
      </c>
      <c r="B9" s="430"/>
      <c r="C9" s="430"/>
      <c r="D9" s="430"/>
    </row>
    <row r="10" spans="1:4" ht="15.75">
      <c r="A10" s="459" t="s">
        <v>719</v>
      </c>
      <c r="B10" s="430"/>
      <c r="C10" s="430"/>
      <c r="D10" s="430"/>
    </row>
    <row r="11" spans="1:4" ht="15.75">
      <c r="A11" s="459" t="s">
        <v>720</v>
      </c>
      <c r="B11" s="430"/>
      <c r="C11" s="430"/>
      <c r="D11" s="430"/>
    </row>
    <row r="12" spans="1:4" ht="15.75">
      <c r="A12" s="459"/>
      <c r="B12" s="430"/>
      <c r="C12" s="430"/>
      <c r="D12" s="430"/>
    </row>
    <row r="13" spans="1:4" ht="15.75">
      <c r="A13" s="149"/>
      <c r="B13" s="430"/>
      <c r="C13" s="430"/>
      <c r="D13" s="430"/>
    </row>
    <row r="14" spans="1:4" ht="15.75">
      <c r="A14" s="149"/>
      <c r="B14" s="430"/>
      <c r="C14" s="430"/>
      <c r="D14" s="430"/>
    </row>
    <row r="15" spans="1:4" ht="15.75">
      <c r="A15" s="327" t="s">
        <v>41</v>
      </c>
      <c r="B15" s="436">
        <f>SUM(B8:B14)</f>
        <v>0</v>
      </c>
      <c r="C15" s="436">
        <f>SUM(C8:C14)</f>
        <v>0</v>
      </c>
      <c r="D15" s="436">
        <f>SUM(D8:D14)</f>
        <v>0</v>
      </c>
    </row>
    <row r="16" spans="1:4" ht="15.75">
      <c r="A16" s="386"/>
      <c r="B16" s="283"/>
      <c r="C16" s="283"/>
      <c r="D16" s="283"/>
    </row>
    <row r="17" spans="1:4" ht="15.75">
      <c r="A17" s="459" t="s">
        <v>717</v>
      </c>
      <c r="B17" s="430"/>
      <c r="C17" s="430"/>
      <c r="D17" s="430"/>
    </row>
    <row r="18" spans="1:4" ht="15.75">
      <c r="A18" s="459" t="s">
        <v>718</v>
      </c>
      <c r="B18" s="430"/>
      <c r="C18" s="430"/>
      <c r="D18" s="430"/>
    </row>
    <row r="19" spans="1:4" ht="15.75">
      <c r="A19" s="459" t="s">
        <v>719</v>
      </c>
      <c r="B19" s="430"/>
      <c r="C19" s="430"/>
      <c r="D19" s="430"/>
    </row>
    <row r="20" spans="1:4" ht="15.75">
      <c r="A20" s="459" t="s">
        <v>720</v>
      </c>
      <c r="B20" s="430"/>
      <c r="C20" s="430"/>
      <c r="D20" s="430"/>
    </row>
    <row r="21" spans="1:4" ht="15.75">
      <c r="A21" s="459"/>
      <c r="B21" s="430"/>
      <c r="C21" s="430"/>
      <c r="D21" s="430"/>
    </row>
    <row r="22" spans="1:4" ht="15.75">
      <c r="A22" s="327" t="s">
        <v>41</v>
      </c>
      <c r="B22" s="436">
        <f>SUM(B17:B20)</f>
        <v>0</v>
      </c>
      <c r="C22" s="436">
        <f>SUM(C17:C20)</f>
        <v>0</v>
      </c>
      <c r="D22" s="436">
        <f>SUM(D17:D20)</f>
        <v>0</v>
      </c>
    </row>
    <row r="23" spans="1:4" ht="15.75">
      <c r="A23" s="386"/>
      <c r="B23" s="283"/>
      <c r="C23" s="283"/>
      <c r="D23" s="283"/>
    </row>
    <row r="24" spans="1:4" ht="15.75">
      <c r="A24" s="459" t="s">
        <v>717</v>
      </c>
      <c r="B24" s="430"/>
      <c r="C24" s="430"/>
      <c r="D24" s="430"/>
    </row>
    <row r="25" spans="1:4" ht="15.75">
      <c r="A25" s="459" t="s">
        <v>718</v>
      </c>
      <c r="B25" s="430"/>
      <c r="C25" s="430"/>
      <c r="D25" s="430"/>
    </row>
    <row r="26" spans="1:4" ht="15.75">
      <c r="A26" s="459" t="s">
        <v>719</v>
      </c>
      <c r="B26" s="430"/>
      <c r="C26" s="430"/>
      <c r="D26" s="430"/>
    </row>
    <row r="27" spans="1:4" ht="15.75">
      <c r="A27" s="459" t="s">
        <v>720</v>
      </c>
      <c r="B27" s="430"/>
      <c r="C27" s="430"/>
      <c r="D27" s="430"/>
    </row>
    <row r="28" spans="1:4" ht="15.75">
      <c r="A28" s="459"/>
      <c r="B28" s="430"/>
      <c r="C28" s="430"/>
      <c r="D28" s="430"/>
    </row>
    <row r="29" spans="1:4" ht="15.75">
      <c r="A29" s="327" t="s">
        <v>41</v>
      </c>
      <c r="B29" s="436">
        <f>SUM(B24:B27)</f>
        <v>0</v>
      </c>
      <c r="C29" s="436">
        <f>SUM(C24:C27)</f>
        <v>0</v>
      </c>
      <c r="D29" s="436">
        <f>SUM(D24:D27)</f>
        <v>0</v>
      </c>
    </row>
    <row r="30" spans="1:4" ht="15.75">
      <c r="A30" s="386"/>
      <c r="B30" s="283"/>
      <c r="C30" s="283"/>
      <c r="D30" s="283"/>
    </row>
    <row r="31" spans="1:4" ht="15.75">
      <c r="A31" s="459" t="s">
        <v>717</v>
      </c>
      <c r="B31" s="430"/>
      <c r="C31" s="430"/>
      <c r="D31" s="430"/>
    </row>
    <row r="32" spans="1:4" ht="15.75">
      <c r="A32" s="459" t="s">
        <v>718</v>
      </c>
      <c r="B32" s="430"/>
      <c r="C32" s="430"/>
      <c r="D32" s="430"/>
    </row>
    <row r="33" spans="1:4" ht="15.75">
      <c r="A33" s="459" t="s">
        <v>719</v>
      </c>
      <c r="B33" s="430"/>
      <c r="C33" s="430"/>
      <c r="D33" s="430"/>
    </row>
    <row r="34" spans="1:4" ht="15.75">
      <c r="A34" s="459" t="s">
        <v>720</v>
      </c>
      <c r="B34" s="430"/>
      <c r="C34" s="430"/>
      <c r="D34" s="430"/>
    </row>
    <row r="35" spans="1:4" ht="15.75">
      <c r="A35" s="327" t="s">
        <v>41</v>
      </c>
      <c r="B35" s="436">
        <f>SUM(B31:B34)</f>
        <v>0</v>
      </c>
      <c r="C35" s="436">
        <f>SUM(C31:C34)</f>
        <v>0</v>
      </c>
      <c r="D35" s="436">
        <f>SUM(D31:D34)</f>
        <v>0</v>
      </c>
    </row>
    <row r="36" spans="1:4" ht="15.75">
      <c r="A36" s="386"/>
      <c r="B36" s="283"/>
      <c r="C36" s="283"/>
      <c r="D36" s="283"/>
    </row>
    <row r="37" spans="1:4" ht="15.75">
      <c r="A37" s="459" t="s">
        <v>717</v>
      </c>
      <c r="B37" s="430"/>
      <c r="C37" s="430"/>
      <c r="D37" s="430"/>
    </row>
    <row r="38" spans="1:4" ht="15.75">
      <c r="A38" s="459" t="s">
        <v>718</v>
      </c>
      <c r="B38" s="430"/>
      <c r="C38" s="430"/>
      <c r="D38" s="430"/>
    </row>
    <row r="39" spans="1:4" ht="15.75">
      <c r="A39" s="459" t="s">
        <v>719</v>
      </c>
      <c r="B39" s="430"/>
      <c r="C39" s="430"/>
      <c r="D39" s="430"/>
    </row>
    <row r="40" spans="1:4" ht="15.75">
      <c r="A40" s="459" t="s">
        <v>720</v>
      </c>
      <c r="B40" s="430"/>
      <c r="C40" s="430"/>
      <c r="D40" s="430"/>
    </row>
    <row r="41" spans="1:4" ht="15.75">
      <c r="A41" s="459"/>
      <c r="B41" s="430"/>
      <c r="C41" s="430"/>
      <c r="D41" s="430"/>
    </row>
    <row r="42" spans="1:4" ht="15.75">
      <c r="A42" s="327" t="s">
        <v>41</v>
      </c>
      <c r="B42" s="436">
        <f>SUM(B37:B40)</f>
        <v>0</v>
      </c>
      <c r="C42" s="436">
        <f>SUM(C37:C40)</f>
        <v>0</v>
      </c>
      <c r="D42" s="436">
        <f>SUM(D37:D40)</f>
        <v>0</v>
      </c>
    </row>
    <row r="43" spans="1:4" ht="15.75">
      <c r="A43" s="386"/>
      <c r="B43" s="283"/>
      <c r="C43" s="283"/>
      <c r="D43" s="283"/>
    </row>
    <row r="44" spans="1:4" ht="15.75">
      <c r="A44" s="459" t="s">
        <v>717</v>
      </c>
      <c r="B44" s="430"/>
      <c r="C44" s="430"/>
      <c r="D44" s="430"/>
    </row>
    <row r="45" spans="1:4" ht="15.75">
      <c r="A45" s="459" t="s">
        <v>718</v>
      </c>
      <c r="B45" s="430"/>
      <c r="C45" s="430"/>
      <c r="D45" s="430"/>
    </row>
    <row r="46" spans="1:4" ht="15.75">
      <c r="A46" s="459" t="s">
        <v>719</v>
      </c>
      <c r="B46" s="430"/>
      <c r="C46" s="430"/>
      <c r="D46" s="430"/>
    </row>
    <row r="47" spans="1:4" ht="15.75">
      <c r="A47" s="459" t="s">
        <v>720</v>
      </c>
      <c r="B47" s="430"/>
      <c r="C47" s="430"/>
      <c r="D47" s="430"/>
    </row>
    <row r="48" spans="1:4" ht="15.75">
      <c r="A48" s="459"/>
      <c r="B48" s="430"/>
      <c r="C48" s="430"/>
      <c r="D48" s="430"/>
    </row>
    <row r="49" spans="1:4" ht="15.75">
      <c r="A49" s="327" t="s">
        <v>41</v>
      </c>
      <c r="B49" s="436">
        <f>SUM(B44:B47)</f>
        <v>0</v>
      </c>
      <c r="C49" s="436">
        <f>SUM(C44:C47)</f>
        <v>0</v>
      </c>
      <c r="D49" s="436">
        <f>SUM(D44:D47)</f>
        <v>0</v>
      </c>
    </row>
    <row r="50" spans="1:4" ht="15.75">
      <c r="A50" s="386"/>
      <c r="B50" s="283"/>
      <c r="C50" s="283"/>
      <c r="D50" s="283"/>
    </row>
    <row r="51" spans="1:4" ht="15.75">
      <c r="A51" s="459" t="s">
        <v>717</v>
      </c>
      <c r="B51" s="430"/>
      <c r="C51" s="430"/>
      <c r="D51" s="430"/>
    </row>
    <row r="52" spans="1:4" ht="15.75">
      <c r="A52" s="459" t="s">
        <v>718</v>
      </c>
      <c r="B52" s="430"/>
      <c r="C52" s="430"/>
      <c r="D52" s="430"/>
    </row>
    <row r="53" spans="1:4" ht="15.75">
      <c r="A53" s="459" t="s">
        <v>719</v>
      </c>
      <c r="B53" s="430"/>
      <c r="C53" s="430"/>
      <c r="D53" s="430"/>
    </row>
    <row r="54" spans="1:4" ht="15.75">
      <c r="A54" s="459" t="s">
        <v>720</v>
      </c>
      <c r="B54" s="430"/>
      <c r="C54" s="430"/>
      <c r="D54" s="430"/>
    </row>
    <row r="55" spans="1:4" ht="15.75">
      <c r="A55" s="459"/>
      <c r="B55" s="430"/>
      <c r="C55" s="430"/>
      <c r="D55" s="430"/>
    </row>
    <row r="56" spans="1:4" ht="15.75">
      <c r="A56" s="327" t="s">
        <v>41</v>
      </c>
      <c r="B56" s="436">
        <f>SUM(B51:B54)</f>
        <v>0</v>
      </c>
      <c r="C56" s="436">
        <f>SUM(C51:C54)</f>
        <v>0</v>
      </c>
      <c r="D56" s="436">
        <f>SUM(D51:D54)</f>
        <v>0</v>
      </c>
    </row>
    <row r="57" spans="1:4" ht="15.75">
      <c r="A57" s="386"/>
      <c r="B57" s="283"/>
      <c r="C57" s="283"/>
      <c r="D57" s="283"/>
    </row>
    <row r="58" spans="1:4" ht="15.75">
      <c r="A58" s="459" t="s">
        <v>717</v>
      </c>
      <c r="B58" s="430"/>
      <c r="C58" s="430"/>
      <c r="D58" s="430"/>
    </row>
    <row r="59" spans="1:4" ht="15.75">
      <c r="A59" s="459" t="s">
        <v>718</v>
      </c>
      <c r="B59" s="430"/>
      <c r="C59" s="430"/>
      <c r="D59" s="430"/>
    </row>
    <row r="60" spans="1:4" ht="15.75">
      <c r="A60" s="459" t="s">
        <v>719</v>
      </c>
      <c r="B60" s="430"/>
      <c r="C60" s="430"/>
      <c r="D60" s="430"/>
    </row>
    <row r="61" spans="1:4" ht="15.75">
      <c r="A61" s="459" t="s">
        <v>720</v>
      </c>
      <c r="B61" s="430"/>
      <c r="C61" s="430"/>
      <c r="D61" s="430"/>
    </row>
    <row r="62" spans="1:4" ht="15.75">
      <c r="A62" s="459"/>
      <c r="B62" s="430"/>
      <c r="C62" s="430"/>
      <c r="D62" s="430"/>
    </row>
    <row r="63" spans="1:4" ht="15.75">
      <c r="A63" s="327" t="s">
        <v>41</v>
      </c>
      <c r="B63" s="436">
        <f>SUM(B58:B61)</f>
        <v>0</v>
      </c>
      <c r="C63" s="436">
        <f>SUM(C58:C61)</f>
        <v>0</v>
      </c>
      <c r="D63" s="436">
        <f>SUM(D58:D61)</f>
        <v>0</v>
      </c>
    </row>
    <row r="64" spans="1:4" ht="15.75">
      <c r="A64" s="121"/>
      <c r="B64" s="283"/>
      <c r="C64" s="283"/>
      <c r="D64" s="283"/>
    </row>
    <row r="65" spans="1:4" ht="16.5" thickBot="1">
      <c r="A65" s="327" t="s">
        <v>721</v>
      </c>
      <c r="B65" s="460">
        <f>B15+B22+B29+B35+B42+B49+B56+B63</f>
        <v>0</v>
      </c>
      <c r="C65" s="460">
        <f>C15+C22+C29+C35+C42+C49+C56+C63</f>
        <v>0</v>
      </c>
      <c r="D65" s="460">
        <f>D15+D22+D29+D35+D42+D49+D56+D63</f>
        <v>0</v>
      </c>
    </row>
    <row r="66" spans="1:4" ht="16.5" thickTop="1">
      <c r="A66" s="121"/>
      <c r="B66" s="283"/>
      <c r="C66" s="283"/>
      <c r="D66" s="283"/>
    </row>
    <row r="67" spans="1:4" ht="15.75">
      <c r="A67" s="121"/>
      <c r="B67" s="452" t="s">
        <v>722</v>
      </c>
      <c r="C67" s="283"/>
      <c r="D67" s="283"/>
    </row>
  </sheetData>
  <sheetProtection sheet="1" objects="1" scenarios="1"/>
  <printOptions/>
  <pageMargins left="0.75" right="0.75" top="1" bottom="1" header="0.5" footer="0.5"/>
  <pageSetup blackAndWhite="1" fitToHeight="1" fitToWidth="1" horizontalDpi="600" verticalDpi="600" orientation="portrait" scale="69" r:id="rId1"/>
  <headerFooter alignWithMargins="0">
    <oddHeader>&amp;RState of Kansas
City</oddHeader>
    <oddFooter>&amp;Lrevised 8/06/07</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H16" sqref="H16"/>
    </sheetView>
  </sheetViews>
  <sheetFormatPr defaultColWidth="8.8984375" defaultRowHeight="15"/>
  <cols>
    <col min="1" max="1" width="28.796875" style="2" customWidth="1"/>
    <col min="2" max="2" width="9.59765625" style="2" customWidth="1"/>
    <col min="3" max="3" width="10.3984375" style="2" customWidth="1"/>
    <col min="4" max="4" width="5.796875" style="2" customWidth="1"/>
    <col min="5" max="5" width="9.69921875" style="2" customWidth="1"/>
    <col min="6" max="6" width="6.69921875" style="2" customWidth="1"/>
    <col min="7" max="7" width="16.19921875" style="2" customWidth="1"/>
    <col min="8" max="16384" width="8.8984375" style="2" customWidth="1"/>
  </cols>
  <sheetData>
    <row r="1" spans="1:7" ht="15.75">
      <c r="A1" s="26" t="str">
        <f>(inputPrYr!D2)</f>
        <v>CITY OF BOGUE</v>
      </c>
      <c r="B1" s="26"/>
      <c r="C1" s="26"/>
      <c r="D1" s="11"/>
      <c r="E1" s="11"/>
      <c r="F1" s="11"/>
      <c r="G1" s="49">
        <f>inputPrYr!$C$5</f>
        <v>2014</v>
      </c>
    </row>
    <row r="2" spans="1:7" ht="15.75">
      <c r="A2" s="11"/>
      <c r="B2" s="11"/>
      <c r="C2" s="11"/>
      <c r="D2" s="11"/>
      <c r="E2" s="11"/>
      <c r="F2" s="11"/>
      <c r="G2" s="13"/>
    </row>
    <row r="3" spans="1:7" ht="15.75">
      <c r="A3" s="27" t="s">
        <v>700</v>
      </c>
      <c r="B3" s="27"/>
      <c r="C3" s="27"/>
      <c r="D3" s="29"/>
      <c r="E3" s="29"/>
      <c r="F3" s="29"/>
      <c r="G3" s="12"/>
    </row>
    <row r="4" spans="1:7" ht="15.75">
      <c r="A4" s="11"/>
      <c r="B4" s="11"/>
      <c r="C4" s="22"/>
      <c r="D4" s="20"/>
      <c r="E4" s="34"/>
      <c r="F4" s="34"/>
      <c r="G4" s="34"/>
    </row>
    <row r="5" spans="1:7" ht="15.75">
      <c r="A5" s="14" t="s">
        <v>71</v>
      </c>
      <c r="B5" s="99"/>
      <c r="C5" s="616" t="s">
        <v>89</v>
      </c>
      <c r="D5" s="617"/>
      <c r="E5" s="612" t="s">
        <v>219</v>
      </c>
      <c r="F5" s="613"/>
      <c r="G5" s="21" t="s">
        <v>220</v>
      </c>
    </row>
    <row r="6" spans="1:7" ht="15.75">
      <c r="A6" s="71" t="str">
        <f>+(inputPrYr!B18)</f>
        <v>Debt Service</v>
      </c>
      <c r="B6" s="100"/>
      <c r="C6" s="614">
        <f>inputPrYr!$C$5-2</f>
        <v>2012</v>
      </c>
      <c r="D6" s="618"/>
      <c r="E6" s="614">
        <f>inputPrYr!$C$5-1</f>
        <v>2013</v>
      </c>
      <c r="F6" s="615"/>
      <c r="G6" s="35">
        <f>inputPrYr!$C$5</f>
        <v>2014</v>
      </c>
    </row>
    <row r="7" spans="1:7" ht="15.75">
      <c r="A7" s="50" t="s">
        <v>188</v>
      </c>
      <c r="B7" s="86"/>
      <c r="C7" s="608"/>
      <c r="D7" s="609"/>
      <c r="E7" s="606">
        <f>C55</f>
        <v>0</v>
      </c>
      <c r="F7" s="607"/>
      <c r="G7" s="32">
        <f>E55</f>
        <v>0</v>
      </c>
    </row>
    <row r="8" spans="1:7" ht="15.75">
      <c r="A8" s="84" t="s">
        <v>190</v>
      </c>
      <c r="B8" s="86"/>
      <c r="C8" s="610"/>
      <c r="D8" s="594"/>
      <c r="E8" s="604"/>
      <c r="F8" s="605"/>
      <c r="G8" s="32"/>
    </row>
    <row r="9" spans="1:7" ht="15.75">
      <c r="A9" s="50" t="s">
        <v>72</v>
      </c>
      <c r="B9" s="86"/>
      <c r="C9" s="608"/>
      <c r="D9" s="609"/>
      <c r="E9" s="604">
        <f>inputPrYr!E18</f>
        <v>0</v>
      </c>
      <c r="F9" s="605"/>
      <c r="G9" s="37" t="s">
        <v>59</v>
      </c>
    </row>
    <row r="10" spans="1:7" ht="15.75">
      <c r="A10" s="50" t="s">
        <v>73</v>
      </c>
      <c r="B10" s="86"/>
      <c r="C10" s="608"/>
      <c r="D10" s="609"/>
      <c r="E10" s="588"/>
      <c r="F10" s="589"/>
      <c r="G10" s="5"/>
    </row>
    <row r="11" spans="1:7" ht="15.75">
      <c r="A11" s="50" t="s">
        <v>74</v>
      </c>
      <c r="B11" s="86"/>
      <c r="C11" s="608"/>
      <c r="D11" s="609"/>
      <c r="E11" s="588"/>
      <c r="F11" s="589"/>
      <c r="G11" s="33" t="str">
        <f>Mvalloc!C9</f>
        <v>  </v>
      </c>
    </row>
    <row r="12" spans="1:7" ht="15.75">
      <c r="A12" s="50" t="s">
        <v>75</v>
      </c>
      <c r="B12" s="86"/>
      <c r="C12" s="608"/>
      <c r="D12" s="609"/>
      <c r="E12" s="588"/>
      <c r="F12" s="589"/>
      <c r="G12" s="33" t="str">
        <f>Mvalloc!D9</f>
        <v>  </v>
      </c>
    </row>
    <row r="13" spans="1:7" ht="15.75">
      <c r="A13" s="81" t="s">
        <v>128</v>
      </c>
      <c r="B13" s="86"/>
      <c r="C13" s="608"/>
      <c r="D13" s="609"/>
      <c r="E13" s="588"/>
      <c r="F13" s="589"/>
      <c r="G13" s="33" t="str">
        <f>Mvalloc!E9</f>
        <v>  </v>
      </c>
    </row>
    <row r="14" spans="1:7" ht="15.75">
      <c r="A14" s="81" t="s">
        <v>27</v>
      </c>
      <c r="B14" s="86"/>
      <c r="C14" s="608"/>
      <c r="D14" s="609"/>
      <c r="E14" s="588"/>
      <c r="F14" s="589"/>
      <c r="G14" s="33" t="str">
        <f>Mvalloc!F9</f>
        <v>  </v>
      </c>
    </row>
    <row r="15" spans="1:7" ht="15.75">
      <c r="A15" s="81"/>
      <c r="B15" s="86"/>
      <c r="C15" s="608"/>
      <c r="D15" s="609"/>
      <c r="E15" s="588"/>
      <c r="F15" s="589"/>
      <c r="G15" s="33"/>
    </row>
    <row r="16" spans="1:7" ht="15.75">
      <c r="A16" s="81"/>
      <c r="B16" s="86"/>
      <c r="C16" s="608"/>
      <c r="D16" s="609"/>
      <c r="E16" s="588"/>
      <c r="F16" s="589"/>
      <c r="G16" s="33"/>
    </row>
    <row r="17" spans="1:7" ht="15.75">
      <c r="A17" s="82"/>
      <c r="B17" s="87"/>
      <c r="C17" s="608"/>
      <c r="D17" s="609"/>
      <c r="E17" s="588"/>
      <c r="F17" s="589"/>
      <c r="G17" s="5"/>
    </row>
    <row r="18" spans="1:7" ht="15.75">
      <c r="A18" s="82"/>
      <c r="B18" s="87"/>
      <c r="C18" s="608"/>
      <c r="D18" s="609"/>
      <c r="E18" s="588"/>
      <c r="F18" s="589"/>
      <c r="G18" s="6"/>
    </row>
    <row r="19" spans="1:7" ht="15.75">
      <c r="A19" s="82"/>
      <c r="B19" s="87"/>
      <c r="C19" s="608"/>
      <c r="D19" s="609"/>
      <c r="E19" s="588"/>
      <c r="F19" s="589"/>
      <c r="G19" s="5"/>
    </row>
    <row r="20" spans="1:7" ht="15.75">
      <c r="A20" s="82"/>
      <c r="B20" s="87"/>
      <c r="C20" s="608"/>
      <c r="D20" s="609"/>
      <c r="E20" s="588"/>
      <c r="F20" s="589"/>
      <c r="G20" s="5"/>
    </row>
    <row r="21" spans="1:7" ht="15.75">
      <c r="A21" s="82"/>
      <c r="B21" s="87"/>
      <c r="C21" s="608"/>
      <c r="D21" s="609"/>
      <c r="E21" s="588"/>
      <c r="F21" s="589"/>
      <c r="G21" s="5"/>
    </row>
    <row r="22" spans="1:7" ht="15.75">
      <c r="A22" s="82"/>
      <c r="B22" s="87"/>
      <c r="C22" s="608"/>
      <c r="D22" s="609"/>
      <c r="E22" s="588"/>
      <c r="F22" s="589"/>
      <c r="G22" s="5"/>
    </row>
    <row r="23" spans="1:7" ht="15.75">
      <c r="A23" s="82"/>
      <c r="B23" s="87"/>
      <c r="C23" s="608"/>
      <c r="D23" s="609"/>
      <c r="E23" s="588"/>
      <c r="F23" s="589"/>
      <c r="G23" s="5"/>
    </row>
    <row r="24" spans="1:7" ht="15.75">
      <c r="A24" s="82"/>
      <c r="B24" s="87"/>
      <c r="C24" s="608"/>
      <c r="D24" s="609"/>
      <c r="E24" s="588"/>
      <c r="F24" s="589"/>
      <c r="G24" s="5"/>
    </row>
    <row r="25" spans="1:7" ht="15.75">
      <c r="A25" s="82"/>
      <c r="B25" s="87"/>
      <c r="C25" s="608"/>
      <c r="D25" s="609"/>
      <c r="E25" s="588"/>
      <c r="F25" s="589"/>
      <c r="G25" s="5"/>
    </row>
    <row r="26" spans="1:7" ht="15.75">
      <c r="A26" s="82" t="s">
        <v>76</v>
      </c>
      <c r="B26" s="87"/>
      <c r="C26" s="608"/>
      <c r="D26" s="609"/>
      <c r="E26" s="588"/>
      <c r="F26" s="589"/>
      <c r="G26" s="5"/>
    </row>
    <row r="27" spans="1:7" ht="15.75">
      <c r="A27" s="83" t="s">
        <v>77</v>
      </c>
      <c r="B27" s="87"/>
      <c r="C27" s="608"/>
      <c r="D27" s="609"/>
      <c r="E27" s="588"/>
      <c r="F27" s="589"/>
      <c r="G27" s="5"/>
    </row>
    <row r="28" spans="1:7" ht="15.75">
      <c r="A28" s="81" t="s">
        <v>167</v>
      </c>
      <c r="B28" s="86"/>
      <c r="C28" s="608"/>
      <c r="D28" s="609"/>
      <c r="E28" s="588"/>
      <c r="F28" s="589"/>
      <c r="G28" s="5"/>
    </row>
    <row r="29" spans="1:7" ht="15.75">
      <c r="A29" s="90" t="s">
        <v>702</v>
      </c>
      <c r="B29" s="86"/>
      <c r="C29" s="590">
        <f>IF(C30*0.1&lt;C28,"Exceed 10% Rule","")</f>
      </c>
      <c r="D29" s="594"/>
      <c r="E29" s="590">
        <f>IF(E30*0.1&lt;E28,"Exceed 10% Rule","")</f>
      </c>
      <c r="F29" s="591"/>
      <c r="G29" s="89">
        <f>IF(G30*0.1+G60&lt;G28,"Exceed 10% Rule","")</f>
      </c>
    </row>
    <row r="30" spans="1:7" ht="15.75">
      <c r="A30" s="36" t="s">
        <v>78</v>
      </c>
      <c r="B30" s="86"/>
      <c r="C30" s="595">
        <f>SUM(C9:C28)</f>
        <v>0</v>
      </c>
      <c r="D30" s="594"/>
      <c r="E30" s="592">
        <f>SUM(E9:E28)</f>
        <v>0</v>
      </c>
      <c r="F30" s="593"/>
      <c r="G30" s="75">
        <f>SUM(G9:G28)</f>
        <v>0</v>
      </c>
    </row>
    <row r="31" spans="1:7" ht="15.75">
      <c r="A31" s="36" t="s">
        <v>79</v>
      </c>
      <c r="B31" s="86"/>
      <c r="C31" s="595">
        <f>C7+C30</f>
        <v>0</v>
      </c>
      <c r="D31" s="594"/>
      <c r="E31" s="595">
        <f>E7+E30</f>
        <v>0</v>
      </c>
      <c r="F31" s="585"/>
      <c r="G31" s="74">
        <f>G7+G30</f>
        <v>0</v>
      </c>
    </row>
    <row r="32" spans="1:7" ht="15.75">
      <c r="A32" s="84" t="s">
        <v>80</v>
      </c>
      <c r="B32" s="86"/>
      <c r="C32" s="610"/>
      <c r="D32" s="594"/>
      <c r="E32" s="604"/>
      <c r="F32" s="605"/>
      <c r="G32" s="33"/>
    </row>
    <row r="33" spans="1:7" ht="15.75">
      <c r="A33" s="85"/>
      <c r="B33" s="87"/>
      <c r="C33" s="611"/>
      <c r="D33" s="564"/>
      <c r="E33" s="588"/>
      <c r="F33" s="589"/>
      <c r="G33" s="5"/>
    </row>
    <row r="34" spans="1:7" ht="15.75">
      <c r="A34" s="85"/>
      <c r="B34" s="87"/>
      <c r="C34" s="608"/>
      <c r="D34" s="589"/>
      <c r="E34" s="588"/>
      <c r="F34" s="589"/>
      <c r="G34" s="5"/>
    </row>
    <row r="35" spans="1:7" ht="15.75">
      <c r="A35" s="85"/>
      <c r="B35" s="87"/>
      <c r="C35" s="608"/>
      <c r="D35" s="589"/>
      <c r="E35" s="588"/>
      <c r="F35" s="589"/>
      <c r="G35" s="5"/>
    </row>
    <row r="36" spans="1:7" ht="15.75">
      <c r="A36" s="85"/>
      <c r="B36" s="87"/>
      <c r="C36" s="608"/>
      <c r="D36" s="589"/>
      <c r="E36" s="588"/>
      <c r="F36" s="589"/>
      <c r="G36" s="5"/>
    </row>
    <row r="37" spans="1:7" ht="15.75">
      <c r="A37" s="85"/>
      <c r="B37" s="87"/>
      <c r="C37" s="608"/>
      <c r="D37" s="589"/>
      <c r="E37" s="588"/>
      <c r="F37" s="589"/>
      <c r="G37" s="5"/>
    </row>
    <row r="38" spans="1:7" ht="15.75">
      <c r="A38" s="85"/>
      <c r="B38" s="87"/>
      <c r="C38" s="608"/>
      <c r="D38" s="589"/>
      <c r="E38" s="588"/>
      <c r="F38" s="589"/>
      <c r="G38" s="5"/>
    </row>
    <row r="39" spans="1:7" ht="15.75">
      <c r="A39" s="85"/>
      <c r="B39" s="87"/>
      <c r="C39" s="608"/>
      <c r="D39" s="589"/>
      <c r="E39" s="588"/>
      <c r="F39" s="589"/>
      <c r="G39" s="5"/>
    </row>
    <row r="40" spans="1:7" ht="15.75">
      <c r="A40" s="85"/>
      <c r="B40" s="87"/>
      <c r="C40" s="608"/>
      <c r="D40" s="589"/>
      <c r="E40" s="588"/>
      <c r="F40" s="589"/>
      <c r="G40" s="5"/>
    </row>
    <row r="41" spans="1:7" ht="15.75">
      <c r="A41" s="85"/>
      <c r="B41" s="87"/>
      <c r="C41" s="608"/>
      <c r="D41" s="589"/>
      <c r="E41" s="588"/>
      <c r="F41" s="589"/>
      <c r="G41" s="5"/>
    </row>
    <row r="42" spans="1:7" ht="15.75">
      <c r="A42" s="85"/>
      <c r="B42" s="87"/>
      <c r="C42" s="608"/>
      <c r="D42" s="589"/>
      <c r="E42" s="588"/>
      <c r="F42" s="589"/>
      <c r="G42" s="5"/>
    </row>
    <row r="43" spans="1:7" ht="15.75">
      <c r="A43" s="85"/>
      <c r="B43" s="87"/>
      <c r="C43" s="608"/>
      <c r="D43" s="589"/>
      <c r="E43" s="588"/>
      <c r="F43" s="589"/>
      <c r="G43" s="5"/>
    </row>
    <row r="44" spans="1:7" ht="15.75">
      <c r="A44" s="85"/>
      <c r="B44" s="87"/>
      <c r="C44" s="608"/>
      <c r="D44" s="589"/>
      <c r="E44" s="588"/>
      <c r="F44" s="589"/>
      <c r="G44" s="5"/>
    </row>
    <row r="45" spans="1:7" ht="15.75">
      <c r="A45" s="85"/>
      <c r="B45" s="87"/>
      <c r="C45" s="608"/>
      <c r="D45" s="589"/>
      <c r="E45" s="588"/>
      <c r="F45" s="589"/>
      <c r="G45" s="5"/>
    </row>
    <row r="46" spans="1:7" ht="15.75">
      <c r="A46" s="85"/>
      <c r="B46" s="87"/>
      <c r="C46" s="608"/>
      <c r="D46" s="589"/>
      <c r="E46" s="588"/>
      <c r="F46" s="589"/>
      <c r="G46" s="5"/>
    </row>
    <row r="47" spans="1:7" ht="15.75">
      <c r="A47" s="85"/>
      <c r="B47" s="87"/>
      <c r="C47" s="608"/>
      <c r="D47" s="589"/>
      <c r="E47" s="588"/>
      <c r="F47" s="589"/>
      <c r="G47" s="5"/>
    </row>
    <row r="48" spans="1:7" ht="15.75">
      <c r="A48" s="85"/>
      <c r="B48" s="87"/>
      <c r="C48" s="608"/>
      <c r="D48" s="589"/>
      <c r="E48" s="588"/>
      <c r="F48" s="589"/>
      <c r="G48" s="5"/>
    </row>
    <row r="49" spans="1:7" ht="15.75">
      <c r="A49" s="85"/>
      <c r="B49" s="87"/>
      <c r="C49" s="608"/>
      <c r="D49" s="589"/>
      <c r="E49" s="588"/>
      <c r="F49" s="589"/>
      <c r="G49" s="5"/>
    </row>
    <row r="50" spans="1:7" ht="15.75">
      <c r="A50" s="85"/>
      <c r="B50" s="87"/>
      <c r="C50" s="608"/>
      <c r="D50" s="589"/>
      <c r="E50" s="588"/>
      <c r="F50" s="589"/>
      <c r="G50" s="5"/>
    </row>
    <row r="51" spans="1:7" ht="15.75">
      <c r="A51" s="88" t="s">
        <v>701</v>
      </c>
      <c r="B51" s="86"/>
      <c r="C51" s="608"/>
      <c r="D51" s="609"/>
      <c r="E51" s="588"/>
      <c r="F51" s="589"/>
      <c r="G51" s="33">
        <f>Nhood!E8</f>
      </c>
    </row>
    <row r="52" spans="1:7" ht="15.75">
      <c r="A52" s="88" t="s">
        <v>167</v>
      </c>
      <c r="B52" s="86"/>
      <c r="C52" s="608"/>
      <c r="D52" s="609"/>
      <c r="E52" s="588"/>
      <c r="F52" s="589"/>
      <c r="G52" s="5"/>
    </row>
    <row r="53" spans="1:7" ht="15.75">
      <c r="A53" s="88" t="s">
        <v>703</v>
      </c>
      <c r="B53" s="86"/>
      <c r="C53" s="590">
        <f>IF(C54*0.1&lt;C52,"Exceed 10% Rule","")</f>
      </c>
      <c r="D53" s="594"/>
      <c r="E53" s="590">
        <f>IF(E54*0.1&lt;E52,"Exceed 10% Rule","")</f>
      </c>
      <c r="F53" s="591"/>
      <c r="G53" s="89">
        <f>IF(G54*0.1&lt;G52,"Exceed 10% Rule","")</f>
      </c>
    </row>
    <row r="54" spans="1:7" ht="15.75">
      <c r="A54" s="36" t="s">
        <v>81</v>
      </c>
      <c r="B54" s="86"/>
      <c r="C54" s="595">
        <f>SUM(C33:C52)</f>
        <v>0</v>
      </c>
      <c r="D54" s="594"/>
      <c r="E54" s="592">
        <f>SUM(E33:E52)</f>
        <v>0</v>
      </c>
      <c r="F54" s="593"/>
      <c r="G54" s="75">
        <f>SUM(G33:G52)</f>
        <v>0</v>
      </c>
    </row>
    <row r="55" spans="1:7" ht="15.75">
      <c r="A55" s="50" t="s">
        <v>189</v>
      </c>
      <c r="B55" s="86"/>
      <c r="C55" s="584">
        <f>C31-C54</f>
        <v>0</v>
      </c>
      <c r="D55" s="594"/>
      <c r="E55" s="584">
        <f>E31-E54</f>
        <v>0</v>
      </c>
      <c r="F55" s="585"/>
      <c r="G55" s="37" t="s">
        <v>59</v>
      </c>
    </row>
    <row r="56" spans="1:8" ht="15.75">
      <c r="A56" s="28" t="str">
        <f>CONCATENATE("",G1-2,"/",G1-1," Budget Authority Amount:")</f>
        <v>2012/2013 Budget Authority Amount:</v>
      </c>
      <c r="B56" s="68">
        <f>inputOth!B55</f>
        <v>0</v>
      </c>
      <c r="C56" s="68">
        <f>(inputPrYr!D18)</f>
        <v>0</v>
      </c>
      <c r="D56" s="599" t="s">
        <v>4</v>
      </c>
      <c r="E56" s="600"/>
      <c r="F56" s="601"/>
      <c r="G56" s="3"/>
      <c r="H56" s="78">
        <f>IF(G54/0.95-G54&lt;G56,"Exceeds 5%","")</f>
      </c>
    </row>
    <row r="57" spans="1:7" ht="15.75">
      <c r="A57" s="28"/>
      <c r="B57" s="382">
        <f>IF(C54&gt;B56,"See Tab A","")</f>
      </c>
      <c r="C57" s="382">
        <f>IF(E54&gt;C56,"See Tab C","")</f>
      </c>
      <c r="D57" s="11"/>
      <c r="E57" s="602" t="s">
        <v>5</v>
      </c>
      <c r="F57" s="603"/>
      <c r="G57" s="10">
        <f>G54+G56</f>
        <v>0</v>
      </c>
    </row>
    <row r="58" spans="1:7" ht="15.75">
      <c r="A58" s="28"/>
      <c r="B58" s="382">
        <f>IF(C55&lt;0,"See Tab B","")</f>
      </c>
      <c r="C58" s="382">
        <f>IF(E55&lt;0,"See Tab D","")</f>
      </c>
      <c r="D58" s="11"/>
      <c r="E58" s="602" t="s">
        <v>82</v>
      </c>
      <c r="F58" s="603"/>
      <c r="G58" s="72">
        <f>IF(G57-G31&gt;0,G57-G31,0)</f>
        <v>0</v>
      </c>
    </row>
    <row r="59" spans="1:7" ht="15.75">
      <c r="A59" s="13"/>
      <c r="B59" s="13"/>
      <c r="C59" s="13"/>
      <c r="D59" s="586" t="s">
        <v>6</v>
      </c>
      <c r="E59" s="587"/>
      <c r="F59" s="69">
        <f>(inputOth!E40)</f>
        <v>0.03</v>
      </c>
      <c r="G59" s="10">
        <f>ROUND(IF(F59&gt;0,(G58*F59),0),0)</f>
        <v>0</v>
      </c>
    </row>
    <row r="60" spans="1:7" ht="15.75">
      <c r="A60" s="11"/>
      <c r="B60" s="11"/>
      <c r="C60" s="596" t="str">
        <f>CONCATENATE("Amount of  ",G1-1," Ad Valorem Tax")</f>
        <v>Amount of  2013 Ad Valorem Tax</v>
      </c>
      <c r="D60" s="597"/>
      <c r="E60" s="597"/>
      <c r="F60" s="598"/>
      <c r="G60" s="101">
        <f>G58+G59</f>
        <v>0</v>
      </c>
    </row>
    <row r="61" spans="1:7" ht="15.75">
      <c r="A61" s="13"/>
      <c r="B61" s="13"/>
      <c r="C61" s="13"/>
      <c r="D61" s="11"/>
      <c r="E61" s="11"/>
      <c r="F61" s="11"/>
      <c r="G61" s="11"/>
    </row>
    <row r="62" spans="1:7" ht="15.75">
      <c r="A62" s="28"/>
      <c r="B62" s="28" t="s">
        <v>84</v>
      </c>
      <c r="C62" s="4"/>
      <c r="D62" s="98"/>
      <c r="E62" s="98"/>
      <c r="F62" s="11"/>
      <c r="G62" s="11"/>
    </row>
  </sheetData>
  <sheetProtection sheet="1"/>
  <mergeCells count="107">
    <mergeCell ref="E5:F5"/>
    <mergeCell ref="E6:F6"/>
    <mergeCell ref="C7:D7"/>
    <mergeCell ref="C11:D11"/>
    <mergeCell ref="C8:D8"/>
    <mergeCell ref="C9:D9"/>
    <mergeCell ref="C10:D10"/>
    <mergeCell ref="C5:D5"/>
    <mergeCell ref="C6:D6"/>
    <mergeCell ref="E11:F11"/>
    <mergeCell ref="C12:D12"/>
    <mergeCell ref="C13:D13"/>
    <mergeCell ref="C14:D14"/>
    <mergeCell ref="E12:F12"/>
    <mergeCell ref="E13:F13"/>
    <mergeCell ref="E14:F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45:D45"/>
    <mergeCell ref="C46:D46"/>
    <mergeCell ref="C39:D39"/>
    <mergeCell ref="C40:D40"/>
    <mergeCell ref="C41:D41"/>
    <mergeCell ref="C42:D42"/>
    <mergeCell ref="E18:F18"/>
    <mergeCell ref="C51:D51"/>
    <mergeCell ref="C52:D52"/>
    <mergeCell ref="C53:D53"/>
    <mergeCell ref="C47:D47"/>
    <mergeCell ref="C48:D48"/>
    <mergeCell ref="C49:D49"/>
    <mergeCell ref="C50:D50"/>
    <mergeCell ref="C43:D43"/>
    <mergeCell ref="C44:D44"/>
    <mergeCell ref="E15:F15"/>
    <mergeCell ref="E16:F16"/>
    <mergeCell ref="E17:F17"/>
    <mergeCell ref="E7:F7"/>
    <mergeCell ref="E8:F8"/>
    <mergeCell ref="E9:F9"/>
    <mergeCell ref="E10:F10"/>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C60:F60"/>
    <mergeCell ref="D56:F56"/>
    <mergeCell ref="E57:F57"/>
    <mergeCell ref="E58:F58"/>
    <mergeCell ref="E55:F55"/>
    <mergeCell ref="D59:E59"/>
    <mergeCell ref="E51:F51"/>
    <mergeCell ref="E52:F52"/>
    <mergeCell ref="E53:F53"/>
    <mergeCell ref="E54:F54"/>
    <mergeCell ref="C55:D55"/>
    <mergeCell ref="C54:D54"/>
  </mergeCells>
  <conditionalFormatting sqref="G52">
    <cfRule type="cellIs" priority="2" dxfId="4" operator="greaterThan" stopIfTrue="1">
      <formula>$G$54*0.1</formula>
    </cfRule>
  </conditionalFormatting>
  <conditionalFormatting sqref="G56">
    <cfRule type="cellIs" priority="3" dxfId="4" operator="greaterThan" stopIfTrue="1">
      <formula>$G$54/0.95-$G$54</formula>
    </cfRule>
  </conditionalFormatting>
  <conditionalFormatting sqref="C55:D55">
    <cfRule type="cellIs" priority="4" dxfId="1" operator="lessThan" stopIfTrue="1">
      <formula>0</formula>
    </cfRule>
  </conditionalFormatting>
  <conditionalFormatting sqref="C54:D54">
    <cfRule type="cellIs" priority="5" dxfId="1" operator="greaterThan" stopIfTrue="1">
      <formula>$B$56</formula>
    </cfRule>
  </conditionalFormatting>
  <conditionalFormatting sqref="E54:F54">
    <cfRule type="cellIs" priority="6" dxfId="1" operator="greaterThan" stopIfTrue="1">
      <formula>$C$56</formula>
    </cfRule>
  </conditionalFormatting>
  <conditionalFormatting sqref="C52:D52">
    <cfRule type="cellIs" priority="7" dxfId="1" operator="greaterThan" stopIfTrue="1">
      <formula>$C$54*0.1</formula>
    </cfRule>
  </conditionalFormatting>
  <conditionalFormatting sqref="E52:F52">
    <cfRule type="cellIs" priority="8" dxfId="1" operator="greaterThan" stopIfTrue="1">
      <formula>$E$54*0.1</formula>
    </cfRule>
  </conditionalFormatting>
  <conditionalFormatting sqref="G28">
    <cfRule type="cellIs" priority="9" dxfId="4" operator="greaterThan" stopIfTrue="1">
      <formula>$G$30*0.1+G60</formula>
    </cfRule>
  </conditionalFormatting>
  <conditionalFormatting sqref="E28:F28">
    <cfRule type="cellIs" priority="10" dxfId="4" operator="greaterThan" stopIfTrue="1">
      <formula>$E$30*0.1</formula>
    </cfRule>
  </conditionalFormatting>
  <conditionalFormatting sqref="C28:D28">
    <cfRule type="cellIs" priority="11" dxfId="4" operator="greaterThan" stopIfTrue="1">
      <formula>$C$30*0.1</formula>
    </cfRule>
  </conditionalFormatting>
  <conditionalFormatting sqref="E55:F55">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City</oddHeader>
    <oddFooter>&amp;Lrevised 10/2/09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0">
      <selection activeCell="C74" sqref="C74"/>
    </sheetView>
  </sheetViews>
  <sheetFormatPr defaultColWidth="8.8984375" defaultRowHeight="15"/>
  <cols>
    <col min="1" max="1" width="30.3984375" style="122" customWidth="1"/>
    <col min="2" max="2" width="9.59765625" style="122" customWidth="1"/>
    <col min="3" max="3" width="10.3984375" style="122" customWidth="1"/>
    <col min="4" max="4" width="5.796875" style="122" customWidth="1"/>
    <col min="5" max="5" width="9.69921875" style="122" customWidth="1"/>
    <col min="6" max="6" width="6.69921875" style="122" customWidth="1"/>
    <col min="7" max="7" width="16.19921875" style="122" customWidth="1"/>
    <col min="8" max="16384" width="8.8984375" style="122" customWidth="1"/>
  </cols>
  <sheetData>
    <row r="1" spans="1:7" ht="15.75">
      <c r="A1" s="283" t="str">
        <f>(inputPrYr!D2)</f>
        <v>CITY OF BOGUE</v>
      </c>
      <c r="B1" s="283"/>
      <c r="C1" s="283"/>
      <c r="D1" s="121"/>
      <c r="E1" s="121"/>
      <c r="F1" s="121"/>
      <c r="G1" s="225">
        <f>inputPrYr!$C$5</f>
        <v>2014</v>
      </c>
    </row>
    <row r="2" spans="1:7" ht="15.75">
      <c r="A2" s="121"/>
      <c r="B2" s="121"/>
      <c r="C2" s="121"/>
      <c r="D2" s="121"/>
      <c r="E2" s="121"/>
      <c r="F2" s="121"/>
      <c r="G2" s="300"/>
    </row>
    <row r="3" spans="1:7" ht="15.75">
      <c r="A3" s="140" t="s">
        <v>133</v>
      </c>
      <c r="B3" s="140"/>
      <c r="C3" s="140"/>
      <c r="D3" s="360"/>
      <c r="E3" s="360"/>
      <c r="F3" s="360"/>
      <c r="G3" s="227"/>
    </row>
    <row r="4" spans="1:7" ht="15.75">
      <c r="A4" s="128" t="s">
        <v>71</v>
      </c>
      <c r="B4" s="128"/>
      <c r="C4" s="521" t="s">
        <v>89</v>
      </c>
      <c r="D4" s="627"/>
      <c r="E4" s="575" t="s">
        <v>219</v>
      </c>
      <c r="F4" s="576"/>
      <c r="G4" s="239" t="s">
        <v>220</v>
      </c>
    </row>
    <row r="5" spans="1:7" ht="15.75">
      <c r="A5" s="442">
        <f>(inputPrYr!B20)</f>
        <v>0</v>
      </c>
      <c r="B5" s="272"/>
      <c r="C5" s="559">
        <f>inputPrYr!$C$5-2</f>
        <v>2012</v>
      </c>
      <c r="D5" s="628"/>
      <c r="E5" s="559">
        <f>inputPrYr!$C$5-1</f>
        <v>2013</v>
      </c>
      <c r="F5" s="629"/>
      <c r="G5" s="311">
        <f>inputPrYr!$C$5</f>
        <v>2014</v>
      </c>
    </row>
    <row r="6" spans="1:7" ht="15.75">
      <c r="A6" s="243" t="s">
        <v>188</v>
      </c>
      <c r="B6" s="361"/>
      <c r="C6" s="633"/>
      <c r="D6" s="634"/>
      <c r="E6" s="622">
        <f>C33</f>
        <v>0</v>
      </c>
      <c r="F6" s="526"/>
      <c r="G6" s="254">
        <f>E33</f>
        <v>0</v>
      </c>
    </row>
    <row r="7" spans="1:7" ht="15.75">
      <c r="A7" s="243" t="s">
        <v>190</v>
      </c>
      <c r="B7" s="361"/>
      <c r="C7" s="632"/>
      <c r="D7" s="526"/>
      <c r="E7" s="622"/>
      <c r="F7" s="526"/>
      <c r="G7" s="254"/>
    </row>
    <row r="8" spans="1:7" ht="15.75">
      <c r="A8" s="243" t="s">
        <v>72</v>
      </c>
      <c r="B8" s="361"/>
      <c r="C8" s="611"/>
      <c r="D8" s="631"/>
      <c r="E8" s="622">
        <f>inputPrYr!E20</f>
        <v>0</v>
      </c>
      <c r="F8" s="526"/>
      <c r="G8" s="449" t="s">
        <v>59</v>
      </c>
    </row>
    <row r="9" spans="1:7" ht="15.75">
      <c r="A9" s="243" t="s">
        <v>73</v>
      </c>
      <c r="B9" s="361"/>
      <c r="C9" s="611"/>
      <c r="D9" s="631"/>
      <c r="E9" s="620"/>
      <c r="F9" s="621"/>
      <c r="G9" s="146"/>
    </row>
    <row r="10" spans="1:7" ht="15.75">
      <c r="A10" s="243" t="s">
        <v>74</v>
      </c>
      <c r="B10" s="361"/>
      <c r="C10" s="611"/>
      <c r="D10" s="631"/>
      <c r="E10" s="620"/>
      <c r="F10" s="621"/>
      <c r="G10" s="254" t="str">
        <f>Mvalloc!C10</f>
        <v>  </v>
      </c>
    </row>
    <row r="11" spans="1:7" ht="15.75">
      <c r="A11" s="243" t="s">
        <v>75</v>
      </c>
      <c r="B11" s="361"/>
      <c r="C11" s="611"/>
      <c r="D11" s="631"/>
      <c r="E11" s="620"/>
      <c r="F11" s="621"/>
      <c r="G11" s="254" t="str">
        <f>Mvalloc!D10</f>
        <v>  </v>
      </c>
    </row>
    <row r="12" spans="1:7" ht="15.75">
      <c r="A12" s="257" t="s">
        <v>128</v>
      </c>
      <c r="B12" s="361"/>
      <c r="C12" s="611"/>
      <c r="D12" s="631"/>
      <c r="E12" s="620"/>
      <c r="F12" s="621"/>
      <c r="G12" s="254" t="str">
        <f>Mvalloc!E10</f>
        <v>  </v>
      </c>
    </row>
    <row r="13" spans="1:7" ht="15.75">
      <c r="A13" s="257" t="s">
        <v>27</v>
      </c>
      <c r="B13" s="361"/>
      <c r="C13" s="611"/>
      <c r="D13" s="631"/>
      <c r="E13" s="620"/>
      <c r="F13" s="621"/>
      <c r="G13" s="254" t="str">
        <f>Mvalloc!F10</f>
        <v>  </v>
      </c>
    </row>
    <row r="14" spans="1:7" ht="15.75">
      <c r="A14" s="453"/>
      <c r="B14" s="370"/>
      <c r="C14" s="611"/>
      <c r="D14" s="631"/>
      <c r="E14" s="620"/>
      <c r="F14" s="621"/>
      <c r="G14" s="146"/>
    </row>
    <row r="15" spans="1:7" ht="15.75">
      <c r="A15" s="453"/>
      <c r="B15" s="370"/>
      <c r="C15" s="611"/>
      <c r="D15" s="631"/>
      <c r="E15" s="620"/>
      <c r="F15" s="621"/>
      <c r="G15" s="146"/>
    </row>
    <row r="16" spans="1:7" ht="15.75">
      <c r="A16" s="453"/>
      <c r="B16" s="370"/>
      <c r="C16" s="611"/>
      <c r="D16" s="631"/>
      <c r="E16" s="620"/>
      <c r="F16" s="621"/>
      <c r="G16" s="146"/>
    </row>
    <row r="17" spans="1:7" ht="15.75">
      <c r="A17" s="433" t="s">
        <v>77</v>
      </c>
      <c r="B17" s="370"/>
      <c r="C17" s="611"/>
      <c r="D17" s="631"/>
      <c r="E17" s="620"/>
      <c r="F17" s="621"/>
      <c r="G17" s="146"/>
    </row>
    <row r="18" spans="1:7" ht="15.75">
      <c r="A18" s="243" t="s">
        <v>167</v>
      </c>
      <c r="B18" s="361"/>
      <c r="C18" s="611"/>
      <c r="D18" s="631"/>
      <c r="E18" s="620"/>
      <c r="F18" s="621"/>
      <c r="G18" s="146"/>
    </row>
    <row r="19" spans="1:7" ht="15.75">
      <c r="A19" s="243" t="s">
        <v>702</v>
      </c>
      <c r="B19" s="361"/>
      <c r="C19" s="623">
        <f>IF(C20*0.1&lt;C18,"Exceed 10% Rule","")</f>
      </c>
      <c r="D19" s="526"/>
      <c r="E19" s="623">
        <f>IF(E20*0.1&lt;E18,"Exceed 10% Rule","")</f>
      </c>
      <c r="F19" s="624"/>
      <c r="G19" s="434">
        <f>IF(G20*0.1+G37&lt;G18,"Exceed 10% Rule","")</f>
      </c>
    </row>
    <row r="20" spans="1:7" ht="15.75">
      <c r="A20" s="376" t="s">
        <v>78</v>
      </c>
      <c r="B20" s="361"/>
      <c r="C20" s="630">
        <f>SUM(C8:C18)</f>
        <v>0</v>
      </c>
      <c r="D20" s="526"/>
      <c r="E20" s="630">
        <f>SUM(E8:E18)</f>
        <v>0</v>
      </c>
      <c r="F20" s="526"/>
      <c r="G20" s="454">
        <f>SUM(G8:G18)</f>
        <v>0</v>
      </c>
    </row>
    <row r="21" spans="1:7" ht="15.75">
      <c r="A21" s="376" t="s">
        <v>79</v>
      </c>
      <c r="B21" s="361"/>
      <c r="C21" s="630">
        <f>C6+C20</f>
        <v>0</v>
      </c>
      <c r="D21" s="526"/>
      <c r="E21" s="630">
        <f>E6+E20</f>
        <v>0</v>
      </c>
      <c r="F21" s="526"/>
      <c r="G21" s="454">
        <f>G6+G20</f>
        <v>0</v>
      </c>
    </row>
    <row r="22" spans="1:7" ht="15.75">
      <c r="A22" s="243" t="s">
        <v>80</v>
      </c>
      <c r="B22" s="361"/>
      <c r="C22" s="626"/>
      <c r="D22" s="526"/>
      <c r="E22" s="622"/>
      <c r="F22" s="526"/>
      <c r="G22" s="254"/>
    </row>
    <row r="23" spans="1:7" ht="15.75">
      <c r="A23" s="453"/>
      <c r="B23" s="370"/>
      <c r="C23" s="611"/>
      <c r="D23" s="564"/>
      <c r="E23" s="620"/>
      <c r="F23" s="621"/>
      <c r="G23" s="146"/>
    </row>
    <row r="24" spans="1:7" ht="15.75">
      <c r="A24" s="453"/>
      <c r="B24" s="370"/>
      <c r="C24" s="611"/>
      <c r="D24" s="564"/>
      <c r="E24" s="620"/>
      <c r="F24" s="621"/>
      <c r="G24" s="146"/>
    </row>
    <row r="25" spans="1:7" ht="15.75">
      <c r="A25" s="453"/>
      <c r="B25" s="370"/>
      <c r="C25" s="611"/>
      <c r="D25" s="564"/>
      <c r="E25" s="620"/>
      <c r="F25" s="621"/>
      <c r="G25" s="146"/>
    </row>
    <row r="26" spans="1:7" ht="15.75">
      <c r="A26" s="453"/>
      <c r="B26" s="370"/>
      <c r="C26" s="611"/>
      <c r="D26" s="564"/>
      <c r="E26" s="620"/>
      <c r="F26" s="621"/>
      <c r="G26" s="146"/>
    </row>
    <row r="27" spans="1:7" ht="15.75">
      <c r="A27" s="453"/>
      <c r="B27" s="370"/>
      <c r="C27" s="611"/>
      <c r="D27" s="564"/>
      <c r="E27" s="620"/>
      <c r="F27" s="621"/>
      <c r="G27" s="146"/>
    </row>
    <row r="28" spans="1:7" ht="15.75">
      <c r="A28" s="453"/>
      <c r="B28" s="370"/>
      <c r="C28" s="611"/>
      <c r="D28" s="564"/>
      <c r="E28" s="620"/>
      <c r="F28" s="621"/>
      <c r="G28" s="146"/>
    </row>
    <row r="29" spans="1:7" ht="15.75">
      <c r="A29" s="444" t="s">
        <v>701</v>
      </c>
      <c r="B29" s="361"/>
      <c r="C29" s="611"/>
      <c r="D29" s="564"/>
      <c r="E29" s="620"/>
      <c r="F29" s="621"/>
      <c r="G29" s="254">
        <f>Nhood!E9</f>
      </c>
    </row>
    <row r="30" spans="1:7" ht="15.75">
      <c r="A30" s="444" t="s">
        <v>167</v>
      </c>
      <c r="B30" s="361"/>
      <c r="C30" s="611"/>
      <c r="D30" s="564"/>
      <c r="E30" s="620"/>
      <c r="F30" s="621"/>
      <c r="G30" s="146"/>
    </row>
    <row r="31" spans="1:7" ht="15.75">
      <c r="A31" s="444" t="s">
        <v>704</v>
      </c>
      <c r="B31" s="361"/>
      <c r="C31" s="570">
        <f>IF(C32*0.1&lt;C30,"Exceed 10% Rule","")</f>
      </c>
      <c r="D31" s="526"/>
      <c r="E31" s="570">
        <f>IF(E32*0.1&lt;E30,"Exceed 10% Rule","")</f>
      </c>
      <c r="F31" s="624"/>
      <c r="G31" s="375">
        <f>IF(G32*0.1&lt;G30,"Exceed 10% Rule","")</f>
      </c>
    </row>
    <row r="32" spans="1:7" ht="15.75">
      <c r="A32" s="376" t="s">
        <v>81</v>
      </c>
      <c r="B32" s="361"/>
      <c r="C32" s="619">
        <f>SUM(C23:C30)</f>
        <v>0</v>
      </c>
      <c r="D32" s="526"/>
      <c r="E32" s="619">
        <f>SUM(E23:E30)</f>
        <v>0</v>
      </c>
      <c r="F32" s="526"/>
      <c r="G32" s="438">
        <f>SUM(G23:G30)</f>
        <v>0</v>
      </c>
    </row>
    <row r="33" spans="1:7" ht="15.75">
      <c r="A33" s="243" t="s">
        <v>189</v>
      </c>
      <c r="B33" s="361"/>
      <c r="C33" s="625">
        <f>C21-C32</f>
        <v>0</v>
      </c>
      <c r="D33" s="526"/>
      <c r="E33" s="625">
        <f>E21-E32</f>
        <v>0</v>
      </c>
      <c r="F33" s="526"/>
      <c r="G33" s="449" t="s">
        <v>59</v>
      </c>
    </row>
    <row r="34" spans="1:8" ht="15.75">
      <c r="A34" s="292" t="str">
        <f>CONCATENATE("",G1-2,"/",G1-1," Budget Authority Amount:")</f>
        <v>2012/2013 Budget Authority Amount:</v>
      </c>
      <c r="B34" s="380">
        <f>inputOth!B56</f>
        <v>0</v>
      </c>
      <c r="C34" s="380">
        <f>inputPrYr!D20</f>
        <v>0</v>
      </c>
      <c r="D34" s="581" t="s">
        <v>4</v>
      </c>
      <c r="E34" s="582"/>
      <c r="F34" s="583"/>
      <c r="G34" s="146"/>
      <c r="H34" s="381">
        <f>IF(G32/0.95-G32&lt;G34,"Exceeds 5%","")</f>
      </c>
    </row>
    <row r="35" spans="1:7" ht="15.75">
      <c r="A35" s="292"/>
      <c r="B35" s="382">
        <f>IF(C32&gt;B34,"See Tab A","")</f>
      </c>
      <c r="C35" s="382">
        <f>IF(E32&gt;C34,"See Tab C","")</f>
      </c>
      <c r="D35" s="121"/>
      <c r="E35" s="579" t="s">
        <v>5</v>
      </c>
      <c r="F35" s="580"/>
      <c r="G35" s="254">
        <f>G32+G34</f>
        <v>0</v>
      </c>
    </row>
    <row r="36" spans="1:7" ht="15.75">
      <c r="A36" s="292"/>
      <c r="B36" s="382">
        <f>IF(C33&lt;0,"See Tab B","")</f>
      </c>
      <c r="C36" s="382">
        <f>IF(E33&lt;0,"See Tab D","")</f>
      </c>
      <c r="D36" s="121"/>
      <c r="E36" s="579" t="s">
        <v>82</v>
      </c>
      <c r="F36" s="580"/>
      <c r="G36" s="153">
        <f>IF(G35-G21&gt;0,G35-G21,0)</f>
        <v>0</v>
      </c>
    </row>
    <row r="37" spans="1:7" ht="15.75">
      <c r="A37" s="300"/>
      <c r="B37" s="300"/>
      <c r="C37" s="300"/>
      <c r="D37" s="519" t="s">
        <v>6</v>
      </c>
      <c r="E37" s="520"/>
      <c r="F37" s="455">
        <f>inputOth!E40</f>
        <v>0.03</v>
      </c>
      <c r="G37" s="254">
        <f>ROUND(IF(F37&gt;0,(G36*F37),0),0)</f>
        <v>0</v>
      </c>
    </row>
    <row r="38" spans="1:7" ht="15.75">
      <c r="A38" s="121"/>
      <c r="B38" s="121"/>
      <c r="C38" s="565" t="str">
        <f>CONCATENATE("Amount of  ",G1-1," Ad Valorem Tax")</f>
        <v>Amount of  2013 Ad Valorem Tax</v>
      </c>
      <c r="D38" s="566"/>
      <c r="E38" s="566"/>
      <c r="F38" s="567"/>
      <c r="G38" s="451">
        <f>G36+G37</f>
        <v>0</v>
      </c>
    </row>
    <row r="39" spans="1:7" ht="15.75">
      <c r="A39" s="128" t="s">
        <v>71</v>
      </c>
      <c r="B39" s="128"/>
      <c r="C39" s="128"/>
      <c r="D39" s="360"/>
      <c r="E39" s="360"/>
      <c r="F39" s="360"/>
      <c r="G39" s="360"/>
    </row>
    <row r="40" spans="1:7" ht="15.75">
      <c r="A40" s="121"/>
      <c r="B40" s="121"/>
      <c r="C40" s="521" t="s">
        <v>89</v>
      </c>
      <c r="D40" s="627"/>
      <c r="E40" s="575" t="s">
        <v>219</v>
      </c>
      <c r="F40" s="576"/>
      <c r="G40" s="239" t="s">
        <v>220</v>
      </c>
    </row>
    <row r="41" spans="1:7" ht="15.75">
      <c r="A41" s="272">
        <f>(inputPrYr!B21)</f>
        <v>0</v>
      </c>
      <c r="B41" s="272"/>
      <c r="C41" s="559">
        <f>inputPrYr!$C$5-2</f>
        <v>2012</v>
      </c>
      <c r="D41" s="628"/>
      <c r="E41" s="559">
        <f>inputPrYr!$C$5-1</f>
        <v>2013</v>
      </c>
      <c r="F41" s="629"/>
      <c r="G41" s="311">
        <f>inputPrYr!$C$5</f>
        <v>2014</v>
      </c>
    </row>
    <row r="42" spans="1:7" ht="15.75">
      <c r="A42" s="243" t="s">
        <v>188</v>
      </c>
      <c r="B42" s="361"/>
      <c r="C42" s="611"/>
      <c r="D42" s="564"/>
      <c r="E42" s="622">
        <f>C68</f>
        <v>0</v>
      </c>
      <c r="F42" s="526"/>
      <c r="G42" s="254">
        <f>E68</f>
        <v>0</v>
      </c>
    </row>
    <row r="43" spans="1:7" ht="15.75">
      <c r="A43" s="363" t="s">
        <v>190</v>
      </c>
      <c r="B43" s="361"/>
      <c r="C43" s="626"/>
      <c r="D43" s="526"/>
      <c r="E43" s="622"/>
      <c r="F43" s="526"/>
      <c r="G43" s="254"/>
    </row>
    <row r="44" spans="1:7" ht="15.75">
      <c r="A44" s="243" t="s">
        <v>72</v>
      </c>
      <c r="B44" s="361"/>
      <c r="C44" s="611"/>
      <c r="D44" s="564"/>
      <c r="E44" s="622">
        <f>inputPrYr!E21</f>
        <v>0</v>
      </c>
      <c r="F44" s="526"/>
      <c r="G44" s="449" t="s">
        <v>59</v>
      </c>
    </row>
    <row r="45" spans="1:7" ht="15.75">
      <c r="A45" s="243" t="s">
        <v>73</v>
      </c>
      <c r="B45" s="361"/>
      <c r="C45" s="611"/>
      <c r="D45" s="564"/>
      <c r="E45" s="620"/>
      <c r="F45" s="621"/>
      <c r="G45" s="146"/>
    </row>
    <row r="46" spans="1:7" ht="15.75">
      <c r="A46" s="243" t="s">
        <v>74</v>
      </c>
      <c r="B46" s="361"/>
      <c r="C46" s="611"/>
      <c r="D46" s="564"/>
      <c r="E46" s="620"/>
      <c r="F46" s="621"/>
      <c r="G46" s="254" t="str">
        <f>Mvalloc!C11</f>
        <v>  </v>
      </c>
    </row>
    <row r="47" spans="1:7" ht="15.75">
      <c r="A47" s="243" t="s">
        <v>75</v>
      </c>
      <c r="B47" s="361"/>
      <c r="C47" s="611"/>
      <c r="D47" s="564"/>
      <c r="E47" s="620"/>
      <c r="F47" s="621"/>
      <c r="G47" s="254" t="str">
        <f>Mvalloc!D11</f>
        <v>  </v>
      </c>
    </row>
    <row r="48" spans="1:7" ht="15.75">
      <c r="A48" s="257" t="s">
        <v>128</v>
      </c>
      <c r="B48" s="361"/>
      <c r="C48" s="611"/>
      <c r="D48" s="564"/>
      <c r="E48" s="620"/>
      <c r="F48" s="621"/>
      <c r="G48" s="254" t="str">
        <f>Mvalloc!E11</f>
        <v>  </v>
      </c>
    </row>
    <row r="49" spans="1:7" ht="15.75">
      <c r="A49" s="257" t="s">
        <v>27</v>
      </c>
      <c r="B49" s="361"/>
      <c r="C49" s="611"/>
      <c r="D49" s="564"/>
      <c r="E49" s="620"/>
      <c r="F49" s="621"/>
      <c r="G49" s="254" t="str">
        <f>Mvalloc!F11</f>
        <v>  </v>
      </c>
    </row>
    <row r="50" spans="1:7" ht="15.75">
      <c r="A50" s="453"/>
      <c r="B50" s="370"/>
      <c r="C50" s="611"/>
      <c r="D50" s="564"/>
      <c r="E50" s="620"/>
      <c r="F50" s="621"/>
      <c r="G50" s="146"/>
    </row>
    <row r="51" spans="1:7" ht="15.75">
      <c r="A51" s="453"/>
      <c r="B51" s="370"/>
      <c r="C51" s="611"/>
      <c r="D51" s="564"/>
      <c r="E51" s="620"/>
      <c r="F51" s="621"/>
      <c r="G51" s="146"/>
    </row>
    <row r="52" spans="1:7" ht="15.75">
      <c r="A52" s="433" t="s">
        <v>77</v>
      </c>
      <c r="B52" s="370"/>
      <c r="C52" s="611"/>
      <c r="D52" s="564"/>
      <c r="E52" s="620"/>
      <c r="F52" s="621"/>
      <c r="G52" s="146"/>
    </row>
    <row r="53" spans="1:7" ht="15.75">
      <c r="A53" s="243" t="s">
        <v>167</v>
      </c>
      <c r="B53" s="361"/>
      <c r="C53" s="611"/>
      <c r="D53" s="564"/>
      <c r="E53" s="620"/>
      <c r="F53" s="621"/>
      <c r="G53" s="146"/>
    </row>
    <row r="54" spans="1:7" ht="15.75">
      <c r="A54" s="243" t="s">
        <v>702</v>
      </c>
      <c r="B54" s="361"/>
      <c r="C54" s="623">
        <f>IF(C55*0.1&lt;C53,"Exceed 10% Rule","")</f>
      </c>
      <c r="D54" s="526"/>
      <c r="E54" s="623">
        <f>IF(E55*0.1&lt;E53,"Exceed 10% Rule","")</f>
      </c>
      <c r="F54" s="624"/>
      <c r="G54" s="434">
        <f>IF(G55*0.1+G72&lt;G53,"Exceed 10% Rule","")</f>
      </c>
    </row>
    <row r="55" spans="1:7" ht="15.75">
      <c r="A55" s="376" t="s">
        <v>78</v>
      </c>
      <c r="B55" s="361"/>
      <c r="C55" s="619">
        <f>SUM(C44:C53)</f>
        <v>0</v>
      </c>
      <c r="D55" s="526"/>
      <c r="E55" s="619">
        <f>SUM(E44:E53)</f>
        <v>0</v>
      </c>
      <c r="F55" s="526"/>
      <c r="G55" s="438">
        <f>SUM(G44:G53)</f>
        <v>0</v>
      </c>
    </row>
    <row r="56" spans="1:7" ht="15.75">
      <c r="A56" s="376" t="s">
        <v>79</v>
      </c>
      <c r="B56" s="361"/>
      <c r="C56" s="619">
        <f>C42+C55</f>
        <v>0</v>
      </c>
      <c r="D56" s="526"/>
      <c r="E56" s="619">
        <f>E42+E55</f>
        <v>0</v>
      </c>
      <c r="F56" s="526"/>
      <c r="G56" s="438">
        <f>G42+G55</f>
        <v>0</v>
      </c>
    </row>
    <row r="57" spans="1:7" ht="15.75">
      <c r="A57" s="243" t="s">
        <v>80</v>
      </c>
      <c r="B57" s="361"/>
      <c r="C57" s="626"/>
      <c r="D57" s="526"/>
      <c r="E57" s="622"/>
      <c r="F57" s="526"/>
      <c r="G57" s="254"/>
    </row>
    <row r="58" spans="1:7" ht="15.75">
      <c r="A58" s="453"/>
      <c r="B58" s="370"/>
      <c r="C58" s="611"/>
      <c r="D58" s="564"/>
      <c r="E58" s="620"/>
      <c r="F58" s="621"/>
      <c r="G58" s="146"/>
    </row>
    <row r="59" spans="1:7" ht="15.75">
      <c r="A59" s="453"/>
      <c r="B59" s="370"/>
      <c r="C59" s="611"/>
      <c r="D59" s="564"/>
      <c r="E59" s="620"/>
      <c r="F59" s="621"/>
      <c r="G59" s="146"/>
    </row>
    <row r="60" spans="1:7" ht="15.75">
      <c r="A60" s="453"/>
      <c r="B60" s="370"/>
      <c r="C60" s="611"/>
      <c r="D60" s="564"/>
      <c r="E60" s="620"/>
      <c r="F60" s="621"/>
      <c r="G60" s="146"/>
    </row>
    <row r="61" spans="1:7" ht="15.75">
      <c r="A61" s="453"/>
      <c r="B61" s="370"/>
      <c r="C61" s="611"/>
      <c r="D61" s="564"/>
      <c r="E61" s="620"/>
      <c r="F61" s="621"/>
      <c r="G61" s="146"/>
    </row>
    <row r="62" spans="1:7" ht="15.75">
      <c r="A62" s="453"/>
      <c r="B62" s="370"/>
      <c r="C62" s="611"/>
      <c r="D62" s="564"/>
      <c r="E62" s="620"/>
      <c r="F62" s="621"/>
      <c r="G62" s="146"/>
    </row>
    <row r="63" spans="1:7" ht="15.75">
      <c r="A63" s="453"/>
      <c r="B63" s="370"/>
      <c r="C63" s="611"/>
      <c r="D63" s="564"/>
      <c r="E63" s="620"/>
      <c r="F63" s="621"/>
      <c r="G63" s="146"/>
    </row>
    <row r="64" spans="1:7" ht="15.75">
      <c r="A64" s="257" t="s">
        <v>701</v>
      </c>
      <c r="B64" s="361"/>
      <c r="C64" s="611"/>
      <c r="D64" s="564"/>
      <c r="E64" s="620"/>
      <c r="F64" s="621"/>
      <c r="G64" s="254">
        <f>Nhood!E10</f>
      </c>
    </row>
    <row r="65" spans="1:7" ht="15.75">
      <c r="A65" s="257" t="s">
        <v>167</v>
      </c>
      <c r="B65" s="361"/>
      <c r="C65" s="611"/>
      <c r="D65" s="564"/>
      <c r="E65" s="620"/>
      <c r="F65" s="621"/>
      <c r="G65" s="146"/>
    </row>
    <row r="66" spans="1:7" ht="15.75">
      <c r="A66" s="257" t="s">
        <v>703</v>
      </c>
      <c r="B66" s="361"/>
      <c r="C66" s="623">
        <f>IF(C67*0.1&lt;C65,"Exceed 10% Rule","")</f>
      </c>
      <c r="D66" s="526"/>
      <c r="E66" s="623">
        <f>IF(E67*0.1&lt;E65,"Exceed 10% Rule","")</f>
      </c>
      <c r="F66" s="624"/>
      <c r="G66" s="434">
        <f>IF(G67*0.1&lt;G65,"Exceed 10% Rule","")</f>
      </c>
    </row>
    <row r="67" spans="1:7" ht="15.75">
      <c r="A67" s="376" t="s">
        <v>81</v>
      </c>
      <c r="B67" s="361"/>
      <c r="C67" s="619">
        <f>SUM(C58:C65)</f>
        <v>0</v>
      </c>
      <c r="D67" s="526"/>
      <c r="E67" s="619">
        <f>SUM(E58:E65)</f>
        <v>0</v>
      </c>
      <c r="F67" s="526"/>
      <c r="G67" s="438">
        <f>SUM(G58:G65)</f>
        <v>0</v>
      </c>
    </row>
    <row r="68" spans="1:7" ht="15.75">
      <c r="A68" s="243" t="s">
        <v>189</v>
      </c>
      <c r="B68" s="361"/>
      <c r="C68" s="625">
        <f>C56-C67</f>
        <v>0</v>
      </c>
      <c r="D68" s="526"/>
      <c r="E68" s="625">
        <f>E56-E67</f>
        <v>0</v>
      </c>
      <c r="F68" s="526"/>
      <c r="G68" s="449" t="s">
        <v>59</v>
      </c>
    </row>
    <row r="69" spans="1:8" ht="15.75">
      <c r="A69" s="292" t="str">
        <f>CONCATENATE("",G1-2,"/",G1-1," Budget Authority Amount:")</f>
        <v>2012/2013 Budget Authority Amount:</v>
      </c>
      <c r="B69" s="380">
        <f>inputOth!B57</f>
        <v>0</v>
      </c>
      <c r="C69" s="380">
        <f>(inputPrYr!D21)</f>
        <v>0</v>
      </c>
      <c r="D69" s="581" t="s">
        <v>4</v>
      </c>
      <c r="E69" s="582"/>
      <c r="F69" s="583"/>
      <c r="G69" s="146"/>
      <c r="H69" s="381">
        <f>IF(G67/0.95-G67&lt;G69,"Exceeds 5%","")</f>
      </c>
    </row>
    <row r="70" spans="1:7" ht="15.75">
      <c r="A70" s="292"/>
      <c r="B70" s="382">
        <f>IF(C67&gt;B69,"See Tab A","")</f>
      </c>
      <c r="C70" s="382">
        <f>IF(E67&gt;C69,"See Tab C","")</f>
      </c>
      <c r="D70" s="121"/>
      <c r="E70" s="579" t="s">
        <v>5</v>
      </c>
      <c r="F70" s="580"/>
      <c r="G70" s="254">
        <f>G67+G69</f>
        <v>0</v>
      </c>
    </row>
    <row r="71" spans="1:7" ht="15.75">
      <c r="A71" s="292"/>
      <c r="B71" s="382">
        <f>IF(C68&lt;0,"See Tab B","")</f>
      </c>
      <c r="C71" s="382">
        <f>IF(E68&lt;0,"See Tab D","")</f>
      </c>
      <c r="D71" s="121"/>
      <c r="E71" s="579" t="s">
        <v>82</v>
      </c>
      <c r="F71" s="580"/>
      <c r="G71" s="153">
        <f>IF(G70-G56&gt;0,G70-G56,0)</f>
        <v>0</v>
      </c>
    </row>
    <row r="72" spans="1:7" ht="15.75">
      <c r="A72" s="300"/>
      <c r="B72" s="300"/>
      <c r="C72" s="300"/>
      <c r="D72" s="519" t="s">
        <v>6</v>
      </c>
      <c r="E72" s="520"/>
      <c r="F72" s="455">
        <f>inputOth!E40</f>
        <v>0.03</v>
      </c>
      <c r="G72" s="254">
        <f>ROUND(IF(F72&gt;0,(G71*F72),0),0)</f>
        <v>0</v>
      </c>
    </row>
    <row r="73" spans="1:7" ht="15.75">
      <c r="A73" s="121"/>
      <c r="B73" s="121"/>
      <c r="C73" s="565" t="str">
        <f>CONCATENATE("Amount of  ",G1-1," Ad Valorem Tax")</f>
        <v>Amount of  2013 Ad Valorem Tax</v>
      </c>
      <c r="D73" s="566"/>
      <c r="E73" s="566"/>
      <c r="F73" s="567"/>
      <c r="G73" s="451">
        <f>G71+G72</f>
        <v>0</v>
      </c>
    </row>
    <row r="74" spans="1:7" ht="15.75">
      <c r="A74" s="300"/>
      <c r="B74" s="300" t="s">
        <v>84</v>
      </c>
      <c r="C74" s="452"/>
      <c r="D74" s="177"/>
      <c r="E74" s="177"/>
      <c r="F74" s="121"/>
      <c r="G74" s="121"/>
    </row>
    <row r="76" spans="1:3" ht="15.75">
      <c r="A76" s="185"/>
      <c r="B76" s="185"/>
      <c r="C76" s="185"/>
    </row>
  </sheetData>
  <sheetProtection sheet="1"/>
  <mergeCells count="128">
    <mergeCell ref="C54:D54"/>
    <mergeCell ref="C55:D55"/>
    <mergeCell ref="C4:D4"/>
    <mergeCell ref="C5:D5"/>
    <mergeCell ref="C8:D8"/>
    <mergeCell ref="C9:D9"/>
    <mergeCell ref="C10:D10"/>
    <mergeCell ref="C11:D11"/>
    <mergeCell ref="C14:D14"/>
    <mergeCell ref="C15:D15"/>
    <mergeCell ref="E4:F4"/>
    <mergeCell ref="E5:F5"/>
    <mergeCell ref="E6:F6"/>
    <mergeCell ref="C6:D6"/>
    <mergeCell ref="C7:D7"/>
    <mergeCell ref="E7:F7"/>
    <mergeCell ref="E8:F8"/>
    <mergeCell ref="E9:F9"/>
    <mergeCell ref="E10:F10"/>
    <mergeCell ref="E11:F11"/>
    <mergeCell ref="C12:D12"/>
    <mergeCell ref="C13:D13"/>
    <mergeCell ref="E12:F12"/>
    <mergeCell ref="E13:F13"/>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E14:F14"/>
    <mergeCell ref="E15:F15"/>
    <mergeCell ref="E16:F16"/>
    <mergeCell ref="E17:F17"/>
    <mergeCell ref="E18:F18"/>
    <mergeCell ref="E19:F19"/>
    <mergeCell ref="E20:F20"/>
    <mergeCell ref="E21:F21"/>
    <mergeCell ref="E22:F22"/>
    <mergeCell ref="E23:F23"/>
    <mergeCell ref="E40:F40"/>
    <mergeCell ref="E41:F41"/>
    <mergeCell ref="E35:F35"/>
    <mergeCell ref="E24:F24"/>
    <mergeCell ref="E25:F25"/>
    <mergeCell ref="E26:F26"/>
    <mergeCell ref="E27:F27"/>
    <mergeCell ref="E28:F28"/>
    <mergeCell ref="E29:F29"/>
    <mergeCell ref="E45:F45"/>
    <mergeCell ref="E46:F46"/>
    <mergeCell ref="E30:F30"/>
    <mergeCell ref="E31:F31"/>
    <mergeCell ref="E32:F32"/>
    <mergeCell ref="E33:F33"/>
    <mergeCell ref="C38:F38"/>
    <mergeCell ref="C42:D42"/>
    <mergeCell ref="C41:D41"/>
    <mergeCell ref="C40:D40"/>
    <mergeCell ref="E54:F54"/>
    <mergeCell ref="E55:F55"/>
    <mergeCell ref="E36:F36"/>
    <mergeCell ref="D37:E37"/>
    <mergeCell ref="C43:D43"/>
    <mergeCell ref="C44:D44"/>
    <mergeCell ref="C45:D45"/>
    <mergeCell ref="E52:F52"/>
    <mergeCell ref="C52:D52"/>
    <mergeCell ref="C32:D32"/>
    <mergeCell ref="C33:D33"/>
    <mergeCell ref="D34:F34"/>
    <mergeCell ref="C53:D53"/>
    <mergeCell ref="E43:F43"/>
    <mergeCell ref="E42:F42"/>
    <mergeCell ref="C50:D50"/>
    <mergeCell ref="C51:D51"/>
    <mergeCell ref="E53:F53"/>
    <mergeCell ref="E44:F44"/>
    <mergeCell ref="E64:F64"/>
    <mergeCell ref="E59:F59"/>
    <mergeCell ref="E60:F60"/>
    <mergeCell ref="C58:D58"/>
    <mergeCell ref="C59:D59"/>
    <mergeCell ref="C60:D60"/>
    <mergeCell ref="C61:D61"/>
    <mergeCell ref="C62:D62"/>
    <mergeCell ref="D69:F69"/>
    <mergeCell ref="C67:D67"/>
    <mergeCell ref="C68:D68"/>
    <mergeCell ref="E51:F51"/>
    <mergeCell ref="C57:D57"/>
    <mergeCell ref="C66:D66"/>
    <mergeCell ref="E61:F61"/>
    <mergeCell ref="E62:F62"/>
    <mergeCell ref="E63:F63"/>
    <mergeCell ref="C65:D65"/>
    <mergeCell ref="E47:F47"/>
    <mergeCell ref="E48:F48"/>
    <mergeCell ref="E49:F49"/>
    <mergeCell ref="E50:F50"/>
    <mergeCell ref="C47:D47"/>
    <mergeCell ref="C46:D46"/>
    <mergeCell ref="C48:D48"/>
    <mergeCell ref="C49:D49"/>
    <mergeCell ref="D72:E72"/>
    <mergeCell ref="C73:F73"/>
    <mergeCell ref="C63:D63"/>
    <mergeCell ref="C64:D64"/>
    <mergeCell ref="E71:F71"/>
    <mergeCell ref="E65:F65"/>
    <mergeCell ref="E66:F66"/>
    <mergeCell ref="E67:F67"/>
    <mergeCell ref="E70:F70"/>
    <mergeCell ref="E68:F68"/>
    <mergeCell ref="E56:F56"/>
    <mergeCell ref="E58:F58"/>
    <mergeCell ref="E57:F57"/>
    <mergeCell ref="C56:D56"/>
  </mergeCells>
  <conditionalFormatting sqref="G65">
    <cfRule type="cellIs" priority="3" dxfId="4" operator="greaterThan" stopIfTrue="1">
      <formula>$G$67*0.1</formula>
    </cfRule>
  </conditionalFormatting>
  <conditionalFormatting sqref="G69">
    <cfRule type="cellIs" priority="4" dxfId="4" operator="greaterThan" stopIfTrue="1">
      <formula>$G$67/0.95-$G$67</formula>
    </cfRule>
  </conditionalFormatting>
  <conditionalFormatting sqref="G30">
    <cfRule type="cellIs" priority="5" dxfId="4" operator="greaterThan" stopIfTrue="1">
      <formula>$G$32*0.1</formula>
    </cfRule>
  </conditionalFormatting>
  <conditionalFormatting sqref="G34">
    <cfRule type="cellIs" priority="6" dxfId="4" operator="greaterThan" stopIfTrue="1">
      <formula>$G$32/0.95-$G$32</formula>
    </cfRule>
  </conditionalFormatting>
  <conditionalFormatting sqref="C67:D67">
    <cfRule type="cellIs" priority="7" dxfId="1" operator="greaterThan" stopIfTrue="1">
      <formula>$B$69</formula>
    </cfRule>
  </conditionalFormatting>
  <conditionalFormatting sqref="C68:D68 C33:D33">
    <cfRule type="cellIs" priority="8" dxfId="1" operator="lessThan" stopIfTrue="1">
      <formula>0</formula>
    </cfRule>
  </conditionalFormatting>
  <conditionalFormatting sqref="E67:F67">
    <cfRule type="cellIs" priority="9" dxfId="1" operator="greaterThan" stopIfTrue="1">
      <formula>$C$69</formula>
    </cfRule>
  </conditionalFormatting>
  <conditionalFormatting sqref="C32:D32">
    <cfRule type="cellIs" priority="10" dxfId="1" operator="greaterThan" stopIfTrue="1">
      <formula>$B$34</formula>
    </cfRule>
  </conditionalFormatting>
  <conditionalFormatting sqref="E32:F32">
    <cfRule type="cellIs" priority="11" dxfId="1" operator="greaterThan" stopIfTrue="1">
      <formula>$C$34</formula>
    </cfRule>
  </conditionalFormatting>
  <conditionalFormatting sqref="C30:D30">
    <cfRule type="cellIs" priority="12" dxfId="1" operator="greaterThan" stopIfTrue="1">
      <formula>$C$32*0.1</formula>
    </cfRule>
  </conditionalFormatting>
  <conditionalFormatting sqref="E30:F30">
    <cfRule type="cellIs" priority="13" dxfId="1" operator="greaterThan" stopIfTrue="1">
      <formula>$E$32*0.1</formula>
    </cfRule>
  </conditionalFormatting>
  <conditionalFormatting sqref="C65:D65">
    <cfRule type="cellIs" priority="14" dxfId="1" operator="greaterThan" stopIfTrue="1">
      <formula>$C$67*0.1</formula>
    </cfRule>
  </conditionalFormatting>
  <conditionalFormatting sqref="E65:F65">
    <cfRule type="cellIs" priority="15" dxfId="1" operator="greaterThan" stopIfTrue="1">
      <formula>$E$67*0.1</formula>
    </cfRule>
  </conditionalFormatting>
  <conditionalFormatting sqref="E18:F18">
    <cfRule type="cellIs" priority="16" dxfId="1" operator="greaterThan" stopIfTrue="1">
      <formula>$E$20*0.1</formula>
    </cfRule>
  </conditionalFormatting>
  <conditionalFormatting sqref="C18:D18">
    <cfRule type="cellIs" priority="17" dxfId="1" operator="greaterThan" stopIfTrue="1">
      <formula>$C$20*0.1</formula>
    </cfRule>
  </conditionalFormatting>
  <conditionalFormatting sqref="G18">
    <cfRule type="cellIs" priority="18" dxfId="4" operator="greaterThan" stopIfTrue="1">
      <formula>$G$20*0.1+G37</formula>
    </cfRule>
  </conditionalFormatting>
  <conditionalFormatting sqref="C53:D53">
    <cfRule type="cellIs" priority="19" dxfId="4" operator="greaterThan" stopIfTrue="1">
      <formula>$C$55*0.1</formula>
    </cfRule>
  </conditionalFormatting>
  <conditionalFormatting sqref="E53:F53">
    <cfRule type="cellIs" priority="20" dxfId="4" operator="greaterThan" stopIfTrue="1">
      <formula>$E$55*0.1</formula>
    </cfRule>
  </conditionalFormatting>
  <conditionalFormatting sqref="G53">
    <cfRule type="cellIs" priority="21" dxfId="4" operator="greaterThan" stopIfTrue="1">
      <formula>$G$55*0.1+G72</formula>
    </cfRule>
  </conditionalFormatting>
  <conditionalFormatting sqref="E68:F68">
    <cfRule type="cellIs" priority="2" dxfId="0" operator="lessThan" stopIfTrue="1">
      <formula>0</formula>
    </cfRule>
  </conditionalFormatting>
  <conditionalFormatting sqref="E33:F3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oddFooter>&amp;Lrevised 10/2/09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A57" sqref="A57:A62"/>
    </sheetView>
  </sheetViews>
  <sheetFormatPr defaultColWidth="8.8984375" defaultRowHeight="15"/>
  <cols>
    <col min="1" max="1" width="30.19921875" style="122" customWidth="1"/>
    <col min="2" max="2" width="9.59765625" style="122" customWidth="1"/>
    <col min="3" max="3" width="10.3984375" style="122" customWidth="1"/>
    <col min="4" max="4" width="5.796875" style="122" customWidth="1"/>
    <col min="5" max="5" width="9.69921875" style="122" customWidth="1"/>
    <col min="6" max="6" width="6.69921875" style="122" customWidth="1"/>
    <col min="7" max="7" width="16.19921875" style="122" customWidth="1"/>
    <col min="8" max="16384" width="8.8984375" style="122" customWidth="1"/>
  </cols>
  <sheetData>
    <row r="1" spans="1:7" ht="15.75">
      <c r="A1" s="283" t="str">
        <f>(inputPrYr!D2)</f>
        <v>CITY OF BOGUE</v>
      </c>
      <c r="B1" s="283"/>
      <c r="C1" s="283"/>
      <c r="D1" s="121"/>
      <c r="E1" s="121"/>
      <c r="F1" s="121"/>
      <c r="G1" s="225">
        <f>inputPrYr!$C$5</f>
        <v>2014</v>
      </c>
    </row>
    <row r="2" spans="1:7" ht="15.75">
      <c r="A2" s="121"/>
      <c r="B2" s="121"/>
      <c r="C2" s="121"/>
      <c r="D2" s="121"/>
      <c r="E2" s="121"/>
      <c r="F2" s="121"/>
      <c r="G2" s="300"/>
    </row>
    <row r="3" spans="1:7" ht="15.75">
      <c r="A3" s="140" t="s">
        <v>133</v>
      </c>
      <c r="B3" s="140"/>
      <c r="C3" s="446"/>
      <c r="D3" s="237"/>
      <c r="E3" s="237"/>
      <c r="F3" s="237"/>
      <c r="G3" s="227"/>
    </row>
    <row r="4" spans="1:7" ht="15.75">
      <c r="A4" s="128" t="s">
        <v>71</v>
      </c>
      <c r="B4" s="447"/>
      <c r="C4" s="637" t="s">
        <v>89</v>
      </c>
      <c r="D4" s="638"/>
      <c r="E4" s="575" t="s">
        <v>219</v>
      </c>
      <c r="F4" s="576"/>
      <c r="G4" s="239" t="s">
        <v>220</v>
      </c>
    </row>
    <row r="5" spans="1:7" ht="15.75">
      <c r="A5" s="272">
        <f>(inputPrYr!B22)</f>
        <v>0</v>
      </c>
      <c r="B5" s="448"/>
      <c r="C5" s="636">
        <f>inputPrYr!$C$5-2</f>
        <v>2012</v>
      </c>
      <c r="D5" s="628"/>
      <c r="E5" s="559">
        <f>inputPrYr!$C$5-1</f>
        <v>2013</v>
      </c>
      <c r="F5" s="629"/>
      <c r="G5" s="311">
        <f>inputPrYr!$C$5</f>
        <v>2014</v>
      </c>
    </row>
    <row r="6" spans="1:7" ht="15.75">
      <c r="A6" s="243" t="s">
        <v>188</v>
      </c>
      <c r="B6" s="361"/>
      <c r="C6" s="611"/>
      <c r="D6" s="631"/>
      <c r="E6" s="622">
        <f>C32</f>
        <v>0</v>
      </c>
      <c r="F6" s="526"/>
      <c r="G6" s="254">
        <f>E32</f>
        <v>0</v>
      </c>
    </row>
    <row r="7" spans="1:7" ht="15.75">
      <c r="A7" s="363" t="s">
        <v>190</v>
      </c>
      <c r="B7" s="361"/>
      <c r="C7" s="626"/>
      <c r="D7" s="526"/>
      <c r="E7" s="622"/>
      <c r="F7" s="526"/>
      <c r="G7" s="254"/>
    </row>
    <row r="8" spans="1:7" ht="15.75">
      <c r="A8" s="243" t="s">
        <v>72</v>
      </c>
      <c r="B8" s="361"/>
      <c r="C8" s="620"/>
      <c r="D8" s="621"/>
      <c r="E8" s="622">
        <f>inputPrYr!E22</f>
        <v>0</v>
      </c>
      <c r="F8" s="526"/>
      <c r="G8" s="449" t="s">
        <v>59</v>
      </c>
    </row>
    <row r="9" spans="1:7" ht="15.75">
      <c r="A9" s="243" t="s">
        <v>73</v>
      </c>
      <c r="B9" s="361"/>
      <c r="C9" s="620"/>
      <c r="D9" s="621"/>
      <c r="E9" s="620"/>
      <c r="F9" s="621"/>
      <c r="G9" s="146"/>
    </row>
    <row r="10" spans="1:7" ht="15.75">
      <c r="A10" s="243" t="s">
        <v>74</v>
      </c>
      <c r="B10" s="361"/>
      <c r="C10" s="620"/>
      <c r="D10" s="621"/>
      <c r="E10" s="620"/>
      <c r="F10" s="621"/>
      <c r="G10" s="254" t="str">
        <f>Mvalloc!C12</f>
        <v>  </v>
      </c>
    </row>
    <row r="11" spans="1:7" ht="15.75">
      <c r="A11" s="243" t="s">
        <v>75</v>
      </c>
      <c r="B11" s="361"/>
      <c r="C11" s="620"/>
      <c r="D11" s="621"/>
      <c r="E11" s="620"/>
      <c r="F11" s="621"/>
      <c r="G11" s="254" t="str">
        <f>Mvalloc!D12</f>
        <v>  </v>
      </c>
    </row>
    <row r="12" spans="1:7" ht="15.75">
      <c r="A12" s="257" t="s">
        <v>128</v>
      </c>
      <c r="B12" s="361"/>
      <c r="C12" s="620"/>
      <c r="D12" s="621"/>
      <c r="E12" s="620"/>
      <c r="F12" s="621"/>
      <c r="G12" s="254" t="str">
        <f>Mvalloc!E12</f>
        <v>  </v>
      </c>
    </row>
    <row r="13" spans="1:7" ht="15.75">
      <c r="A13" s="257" t="s">
        <v>27</v>
      </c>
      <c r="B13" s="361"/>
      <c r="C13" s="620"/>
      <c r="D13" s="621"/>
      <c r="E13" s="620"/>
      <c r="F13" s="621"/>
      <c r="G13" s="254" t="str">
        <f>Mvalloc!F12</f>
        <v>  </v>
      </c>
    </row>
    <row r="14" spans="1:7" ht="15.75">
      <c r="A14" s="379"/>
      <c r="B14" s="370"/>
      <c r="C14" s="620"/>
      <c r="D14" s="621"/>
      <c r="E14" s="620"/>
      <c r="F14" s="621"/>
      <c r="G14" s="146"/>
    </row>
    <row r="15" spans="1:7" ht="15.75">
      <c r="A15" s="379"/>
      <c r="B15" s="370"/>
      <c r="C15" s="620"/>
      <c r="D15" s="621"/>
      <c r="E15" s="620"/>
      <c r="F15" s="621"/>
      <c r="G15" s="146"/>
    </row>
    <row r="16" spans="1:7" ht="15.75">
      <c r="A16" s="433" t="s">
        <v>77</v>
      </c>
      <c r="B16" s="370"/>
      <c r="C16" s="620"/>
      <c r="D16" s="621"/>
      <c r="E16" s="620"/>
      <c r="F16" s="621"/>
      <c r="G16" s="146"/>
    </row>
    <row r="17" spans="1:7" ht="15.75">
      <c r="A17" s="441" t="s">
        <v>167</v>
      </c>
      <c r="B17" s="361"/>
      <c r="C17" s="620"/>
      <c r="D17" s="621"/>
      <c r="E17" s="620"/>
      <c r="F17" s="621"/>
      <c r="G17" s="146"/>
    </row>
    <row r="18" spans="1:7" ht="15.75">
      <c r="A18" s="441" t="s">
        <v>702</v>
      </c>
      <c r="B18" s="361"/>
      <c r="C18" s="623">
        <f>IF(C19*0.1&lt;C17,"Exceed 10% Rule","")</f>
      </c>
      <c r="D18" s="526"/>
      <c r="E18" s="623">
        <f>IF(E19*0.1&lt;E17,"Exceed 10% Rule","")</f>
      </c>
      <c r="F18" s="624"/>
      <c r="G18" s="434">
        <f>IF(G19*0.1+G37&lt;G17,"Exceed 10% Rule","")</f>
      </c>
    </row>
    <row r="19" spans="1:7" ht="15.75">
      <c r="A19" s="376" t="s">
        <v>78</v>
      </c>
      <c r="B19" s="361"/>
      <c r="C19" s="619">
        <f>SUM(C8:C17)</f>
        <v>0</v>
      </c>
      <c r="D19" s="526"/>
      <c r="E19" s="619">
        <f>SUM(E8:E17)</f>
        <v>0</v>
      </c>
      <c r="F19" s="526"/>
      <c r="G19" s="438">
        <f>SUM(G8:G17)</f>
        <v>0</v>
      </c>
    </row>
    <row r="20" spans="1:7" ht="15.75">
      <c r="A20" s="376" t="s">
        <v>79</v>
      </c>
      <c r="B20" s="361"/>
      <c r="C20" s="619">
        <f>C6+C19</f>
        <v>0</v>
      </c>
      <c r="D20" s="526"/>
      <c r="E20" s="619">
        <f>E6+E19</f>
        <v>0</v>
      </c>
      <c r="F20" s="526"/>
      <c r="G20" s="438">
        <f>G6+G19</f>
        <v>0</v>
      </c>
    </row>
    <row r="21" spans="1:7" ht="15.75">
      <c r="A21" s="243" t="s">
        <v>80</v>
      </c>
      <c r="B21" s="361"/>
      <c r="C21" s="626"/>
      <c r="D21" s="526"/>
      <c r="E21" s="622"/>
      <c r="F21" s="526"/>
      <c r="G21" s="254"/>
    </row>
    <row r="22" spans="1:7" ht="15.75">
      <c r="A22" s="379"/>
      <c r="B22" s="370"/>
      <c r="C22" s="620"/>
      <c r="D22" s="621"/>
      <c r="E22" s="620"/>
      <c r="F22" s="621"/>
      <c r="G22" s="146"/>
    </row>
    <row r="23" spans="1:7" ht="15.75">
      <c r="A23" s="379"/>
      <c r="B23" s="370"/>
      <c r="C23" s="620"/>
      <c r="D23" s="621"/>
      <c r="E23" s="620"/>
      <c r="F23" s="621"/>
      <c r="G23" s="146"/>
    </row>
    <row r="24" spans="1:7" ht="15.75">
      <c r="A24" s="379"/>
      <c r="B24" s="370"/>
      <c r="C24" s="620"/>
      <c r="D24" s="621"/>
      <c r="E24" s="620"/>
      <c r="F24" s="621"/>
      <c r="G24" s="146"/>
    </row>
    <row r="25" spans="1:7" ht="15.75">
      <c r="A25" s="379"/>
      <c r="B25" s="370"/>
      <c r="C25" s="620"/>
      <c r="D25" s="621"/>
      <c r="E25" s="620"/>
      <c r="F25" s="621"/>
      <c r="G25" s="146"/>
    </row>
    <row r="26" spans="1:7" ht="15.75">
      <c r="A26" s="379"/>
      <c r="B26" s="370"/>
      <c r="C26" s="620"/>
      <c r="D26" s="621"/>
      <c r="E26" s="620"/>
      <c r="F26" s="621"/>
      <c r="G26" s="146"/>
    </row>
    <row r="27" spans="1:7" ht="15.75">
      <c r="A27" s="379"/>
      <c r="B27" s="370"/>
      <c r="C27" s="620"/>
      <c r="D27" s="621"/>
      <c r="E27" s="620"/>
      <c r="F27" s="621"/>
      <c r="G27" s="146"/>
    </row>
    <row r="28" spans="1:7" ht="15.75">
      <c r="A28" s="257" t="s">
        <v>701</v>
      </c>
      <c r="B28" s="361"/>
      <c r="C28" s="620"/>
      <c r="D28" s="621"/>
      <c r="E28" s="620"/>
      <c r="F28" s="621"/>
      <c r="G28" s="254">
        <f>Nhood!E11</f>
      </c>
    </row>
    <row r="29" spans="1:7" ht="15.75">
      <c r="A29" s="257" t="s">
        <v>167</v>
      </c>
      <c r="B29" s="361"/>
      <c r="C29" s="620"/>
      <c r="D29" s="621"/>
      <c r="E29" s="620"/>
      <c r="F29" s="621"/>
      <c r="G29" s="146"/>
    </row>
    <row r="30" spans="1:7" ht="15.75">
      <c r="A30" s="257" t="s">
        <v>703</v>
      </c>
      <c r="B30" s="361"/>
      <c r="C30" s="623">
        <f>IF(C31*0.1&lt;C29,"Exceed 10% Rule","")</f>
      </c>
      <c r="D30" s="526"/>
      <c r="E30" s="623">
        <f>IF(E31*0.1&lt;E29,"Exceed 10% Rule","")</f>
      </c>
      <c r="F30" s="624"/>
      <c r="G30" s="434">
        <f>IF(G31*0.1&lt;G29,"Exceed 10% Rule","")</f>
      </c>
    </row>
    <row r="31" spans="1:7" ht="15.75">
      <c r="A31" s="376" t="s">
        <v>81</v>
      </c>
      <c r="B31" s="361"/>
      <c r="C31" s="619">
        <f>SUM(C22:C29)</f>
        <v>0</v>
      </c>
      <c r="D31" s="526"/>
      <c r="E31" s="619">
        <f>SUM(E22:E29)</f>
        <v>0</v>
      </c>
      <c r="F31" s="526"/>
      <c r="G31" s="438">
        <f>SUM(G22:G29)</f>
        <v>0</v>
      </c>
    </row>
    <row r="32" spans="1:7" ht="15.75">
      <c r="A32" s="243" t="s">
        <v>189</v>
      </c>
      <c r="B32" s="361"/>
      <c r="C32" s="625">
        <f>C20-C31</f>
        <v>0</v>
      </c>
      <c r="D32" s="526"/>
      <c r="E32" s="625">
        <f>E20-E31</f>
        <v>0</v>
      </c>
      <c r="F32" s="526"/>
      <c r="G32" s="449" t="s">
        <v>59</v>
      </c>
    </row>
    <row r="33" spans="1:8" ht="15.75">
      <c r="A33" s="292" t="str">
        <f>CONCATENATE("",G1-2,"/",G1-1," Budget Authority Amount:")</f>
        <v>2012/2013 Budget Authority Amount:</v>
      </c>
      <c r="B33" s="380">
        <f>inputOth!B58</f>
        <v>0</v>
      </c>
      <c r="C33" s="380">
        <f>inputPrYr!D22</f>
        <v>0</v>
      </c>
      <c r="D33" s="581" t="s">
        <v>4</v>
      </c>
      <c r="E33" s="582"/>
      <c r="F33" s="583"/>
      <c r="G33" s="146"/>
      <c r="H33" s="381">
        <f>IF(G31/0.95-G31&lt;G33,"Exceeds 5%","")</f>
      </c>
    </row>
    <row r="34" spans="1:7" ht="15.75">
      <c r="A34" s="292"/>
      <c r="B34" s="382">
        <f>IF(C31&gt;B33,"See Tab A","")</f>
      </c>
      <c r="C34" s="382">
        <f>IF(E31&gt;C33,"See Tab C","")</f>
      </c>
      <c r="D34" s="121"/>
      <c r="E34" s="579" t="s">
        <v>5</v>
      </c>
      <c r="F34" s="580"/>
      <c r="G34" s="254">
        <f>G31+G33</f>
        <v>0</v>
      </c>
    </row>
    <row r="35" spans="1:7" ht="15.75">
      <c r="A35" s="292"/>
      <c r="B35" s="382">
        <f>IF(C32&lt;0,"See Tab B","")</f>
      </c>
      <c r="C35" s="382">
        <f>IF(E32&lt;0,"See Tab D","")</f>
      </c>
      <c r="D35" s="121"/>
      <c r="E35" s="579" t="s">
        <v>82</v>
      </c>
      <c r="F35" s="580"/>
      <c r="G35" s="153">
        <f>IF(G34-G20&gt;0,G34-G20,0)</f>
        <v>0</v>
      </c>
    </row>
    <row r="36" spans="1:7" ht="15.75">
      <c r="A36" s="300"/>
      <c r="B36" s="300"/>
      <c r="C36" s="300"/>
      <c r="D36" s="519" t="s">
        <v>6</v>
      </c>
      <c r="E36" s="520"/>
      <c r="F36" s="450">
        <f>inputOth!E40</f>
        <v>0.03</v>
      </c>
      <c r="G36" s="254">
        <f>ROUND(IF(F36&gt;0,(G35*F36),0),0)</f>
        <v>0</v>
      </c>
    </row>
    <row r="37" spans="1:7" ht="15.75">
      <c r="A37" s="121"/>
      <c r="B37" s="121"/>
      <c r="C37" s="639" t="str">
        <f>CONCATENATE("Amount of  ",G1-1," Ad Valorem Tax")</f>
        <v>Amount of  2013 Ad Valorem Tax</v>
      </c>
      <c r="D37" s="640"/>
      <c r="E37" s="640"/>
      <c r="F37" s="638"/>
      <c r="G37" s="451">
        <f>G35+G36</f>
        <v>0</v>
      </c>
    </row>
    <row r="38" spans="1:7" ht="15.75">
      <c r="A38" s="128" t="s">
        <v>71</v>
      </c>
      <c r="B38" s="128"/>
      <c r="C38" s="150"/>
      <c r="D38" s="237"/>
      <c r="E38" s="237"/>
      <c r="F38" s="237"/>
      <c r="G38" s="237"/>
    </row>
    <row r="39" spans="1:7" ht="15.75">
      <c r="A39" s="121"/>
      <c r="B39" s="233"/>
      <c r="C39" s="637" t="s">
        <v>89</v>
      </c>
      <c r="D39" s="638"/>
      <c r="E39" s="575" t="s">
        <v>219</v>
      </c>
      <c r="F39" s="576"/>
      <c r="G39" s="239" t="s">
        <v>220</v>
      </c>
    </row>
    <row r="40" spans="1:7" ht="15.75">
      <c r="A40" s="442">
        <f>(inputPrYr!B23)</f>
        <v>0</v>
      </c>
      <c r="B40" s="448"/>
      <c r="C40" s="636">
        <f>inputPrYr!$C$5-2</f>
        <v>2012</v>
      </c>
      <c r="D40" s="628"/>
      <c r="E40" s="559">
        <f>inputPrYr!$C$5-1</f>
        <v>2013</v>
      </c>
      <c r="F40" s="629"/>
      <c r="G40" s="311">
        <f>inputPrYr!$C$5</f>
        <v>2014</v>
      </c>
    </row>
    <row r="41" spans="1:7" ht="15.75">
      <c r="A41" s="243" t="s">
        <v>188</v>
      </c>
      <c r="B41" s="361"/>
      <c r="C41" s="633"/>
      <c r="D41" s="634"/>
      <c r="E41" s="622">
        <f>C67</f>
        <v>0</v>
      </c>
      <c r="F41" s="526"/>
      <c r="G41" s="254">
        <f>E67</f>
        <v>0</v>
      </c>
    </row>
    <row r="42" spans="1:7" ht="15.75">
      <c r="A42" s="243" t="s">
        <v>190</v>
      </c>
      <c r="B42" s="361"/>
      <c r="C42" s="626"/>
      <c r="D42" s="526"/>
      <c r="E42" s="622"/>
      <c r="F42" s="526"/>
      <c r="G42" s="254"/>
    </row>
    <row r="43" spans="1:7" ht="15.75">
      <c r="A43" s="243" t="s">
        <v>72</v>
      </c>
      <c r="B43" s="361"/>
      <c r="C43" s="611"/>
      <c r="D43" s="631"/>
      <c r="E43" s="622">
        <f>inputPrYr!E23</f>
        <v>0</v>
      </c>
      <c r="F43" s="526"/>
      <c r="G43" s="449" t="s">
        <v>59</v>
      </c>
    </row>
    <row r="44" spans="1:7" ht="15.75">
      <c r="A44" s="243" t="s">
        <v>73</v>
      </c>
      <c r="B44" s="361"/>
      <c r="C44" s="611"/>
      <c r="D44" s="631"/>
      <c r="E44" s="611"/>
      <c r="F44" s="631"/>
      <c r="G44" s="146"/>
    </row>
    <row r="45" spans="1:7" ht="15.75">
      <c r="A45" s="243" t="s">
        <v>74</v>
      </c>
      <c r="B45" s="361"/>
      <c r="C45" s="611"/>
      <c r="D45" s="631"/>
      <c r="E45" s="611"/>
      <c r="F45" s="631"/>
      <c r="G45" s="254" t="str">
        <f>Mvalloc!C13</f>
        <v>  </v>
      </c>
    </row>
    <row r="46" spans="1:7" ht="15.75">
      <c r="A46" s="243" t="s">
        <v>75</v>
      </c>
      <c r="B46" s="361"/>
      <c r="C46" s="611"/>
      <c r="D46" s="631"/>
      <c r="E46" s="611"/>
      <c r="F46" s="631"/>
      <c r="G46" s="254" t="str">
        <f>Mvalloc!D13</f>
        <v>  </v>
      </c>
    </row>
    <row r="47" spans="1:7" ht="15.75">
      <c r="A47" s="257" t="s">
        <v>128</v>
      </c>
      <c r="B47" s="361"/>
      <c r="C47" s="611"/>
      <c r="D47" s="631"/>
      <c r="E47" s="611"/>
      <c r="F47" s="631"/>
      <c r="G47" s="254" t="str">
        <f>Mvalloc!E13</f>
        <v>  </v>
      </c>
    </row>
    <row r="48" spans="1:7" ht="15.75">
      <c r="A48" s="257" t="s">
        <v>27</v>
      </c>
      <c r="B48" s="361"/>
      <c r="C48" s="611"/>
      <c r="D48" s="631"/>
      <c r="E48" s="611"/>
      <c r="F48" s="631"/>
      <c r="G48" s="254" t="str">
        <f>Mvalloc!F13</f>
        <v>  </v>
      </c>
    </row>
    <row r="49" spans="1:7" ht="15.75">
      <c r="A49" s="379"/>
      <c r="B49" s="370"/>
      <c r="C49" s="611"/>
      <c r="D49" s="631"/>
      <c r="E49" s="611"/>
      <c r="F49" s="631"/>
      <c r="G49" s="146"/>
    </row>
    <row r="50" spans="1:7" ht="15.75">
      <c r="A50" s="379"/>
      <c r="B50" s="370"/>
      <c r="C50" s="611"/>
      <c r="D50" s="631"/>
      <c r="E50" s="611"/>
      <c r="F50" s="631"/>
      <c r="G50" s="146"/>
    </row>
    <row r="51" spans="1:7" ht="15.75">
      <c r="A51" s="433" t="s">
        <v>77</v>
      </c>
      <c r="B51" s="370"/>
      <c r="C51" s="611"/>
      <c r="D51" s="631"/>
      <c r="E51" s="611"/>
      <c r="F51" s="631"/>
      <c r="G51" s="146"/>
    </row>
    <row r="52" spans="1:7" ht="15.75">
      <c r="A52" s="243" t="s">
        <v>167</v>
      </c>
      <c r="B52" s="361"/>
      <c r="C52" s="611"/>
      <c r="D52" s="631"/>
      <c r="E52" s="611"/>
      <c r="F52" s="631"/>
      <c r="G52" s="146"/>
    </row>
    <row r="53" spans="1:7" ht="15.75">
      <c r="A53" s="243" t="s">
        <v>702</v>
      </c>
      <c r="B53" s="361"/>
      <c r="C53" s="635">
        <f>IF(C54*0.1&lt;C52,"Exceed 10% Rule","")</f>
      </c>
      <c r="D53" s="573"/>
      <c r="E53" s="623">
        <f>IF(E54*0.1&lt;E52,"Exceed 10% Rule","")</f>
      </c>
      <c r="F53" s="624"/>
      <c r="G53" s="434">
        <f>IF(G54*0.1+G72&lt;G52,"Exceed 10% Rule","")</f>
      </c>
    </row>
    <row r="54" spans="1:7" ht="15.75">
      <c r="A54" s="376" t="s">
        <v>78</v>
      </c>
      <c r="B54" s="361"/>
      <c r="C54" s="619">
        <f>SUM(C43:C52)</f>
        <v>0</v>
      </c>
      <c r="D54" s="526"/>
      <c r="E54" s="619">
        <f>SUM(E43:E52)</f>
        <v>0</v>
      </c>
      <c r="F54" s="526"/>
      <c r="G54" s="438">
        <f>SUM(G43:G52)</f>
        <v>0</v>
      </c>
    </row>
    <row r="55" spans="1:7" ht="15.75">
      <c r="A55" s="376" t="s">
        <v>79</v>
      </c>
      <c r="B55" s="361"/>
      <c r="C55" s="619">
        <f>C41+C54</f>
        <v>0</v>
      </c>
      <c r="D55" s="526"/>
      <c r="E55" s="619">
        <f>E41+E54</f>
        <v>0</v>
      </c>
      <c r="F55" s="526"/>
      <c r="G55" s="438">
        <f>G41+G54</f>
        <v>0</v>
      </c>
    </row>
    <row r="56" spans="1:7" ht="15.75">
      <c r="A56" s="243" t="s">
        <v>80</v>
      </c>
      <c r="B56" s="361"/>
      <c r="C56" s="626"/>
      <c r="D56" s="526"/>
      <c r="E56" s="622"/>
      <c r="F56" s="526"/>
      <c r="G56" s="254"/>
    </row>
    <row r="57" spans="1:7" ht="15.75">
      <c r="A57" s="379"/>
      <c r="B57" s="370"/>
      <c r="C57" s="611"/>
      <c r="D57" s="631"/>
      <c r="E57" s="611"/>
      <c r="F57" s="631"/>
      <c r="G57" s="146"/>
    </row>
    <row r="58" spans="1:7" ht="15.75">
      <c r="A58" s="379"/>
      <c r="B58" s="370"/>
      <c r="C58" s="611"/>
      <c r="D58" s="631"/>
      <c r="E58" s="611"/>
      <c r="F58" s="631"/>
      <c r="G58" s="146"/>
    </row>
    <row r="59" spans="1:7" ht="15.75">
      <c r="A59" s="379"/>
      <c r="B59" s="370"/>
      <c r="C59" s="611"/>
      <c r="D59" s="631"/>
      <c r="E59" s="611"/>
      <c r="F59" s="631"/>
      <c r="G59" s="146"/>
    </row>
    <row r="60" spans="1:7" ht="15.75">
      <c r="A60" s="379"/>
      <c r="B60" s="370"/>
      <c r="C60" s="611"/>
      <c r="D60" s="631"/>
      <c r="E60" s="611"/>
      <c r="F60" s="631"/>
      <c r="G60" s="146"/>
    </row>
    <row r="61" spans="1:7" ht="15.75">
      <c r="A61" s="379"/>
      <c r="B61" s="370"/>
      <c r="C61" s="611"/>
      <c r="D61" s="631"/>
      <c r="E61" s="611"/>
      <c r="F61" s="631"/>
      <c r="G61" s="146"/>
    </row>
    <row r="62" spans="1:7" ht="15.75">
      <c r="A62" s="379"/>
      <c r="B62" s="370"/>
      <c r="C62" s="611"/>
      <c r="D62" s="631"/>
      <c r="E62" s="611"/>
      <c r="F62" s="631"/>
      <c r="G62" s="146"/>
    </row>
    <row r="63" spans="1:7" ht="15.75">
      <c r="A63" s="257" t="s">
        <v>701</v>
      </c>
      <c r="B63" s="361"/>
      <c r="C63" s="611"/>
      <c r="D63" s="631"/>
      <c r="E63" s="611"/>
      <c r="F63" s="631"/>
      <c r="G63" s="254">
        <f>Nhood!E12</f>
      </c>
    </row>
    <row r="64" spans="1:7" ht="15.75">
      <c r="A64" s="257" t="s">
        <v>167</v>
      </c>
      <c r="B64" s="361"/>
      <c r="C64" s="611"/>
      <c r="D64" s="631"/>
      <c r="E64" s="611"/>
      <c r="F64" s="631"/>
      <c r="G64" s="427"/>
    </row>
    <row r="65" spans="1:7" ht="15.75">
      <c r="A65" s="257" t="s">
        <v>703</v>
      </c>
      <c r="B65" s="361"/>
      <c r="C65" s="623">
        <f>IF(C66*0.1&lt;C64,"Exceed 10% Rule","")</f>
      </c>
      <c r="D65" s="526"/>
      <c r="E65" s="623">
        <f>IF(E66*0.1&lt;E64,"Exceed 10% Rule","")</f>
      </c>
      <c r="F65" s="624"/>
      <c r="G65" s="434">
        <f>IF(G66*0.1&lt;G64,"Exceed 10% Rule","")</f>
      </c>
    </row>
    <row r="66" spans="1:7" ht="15.75">
      <c r="A66" s="376" t="s">
        <v>81</v>
      </c>
      <c r="B66" s="361"/>
      <c r="C66" s="619">
        <f>SUM(C57:C64)</f>
        <v>0</v>
      </c>
      <c r="D66" s="526"/>
      <c r="E66" s="619">
        <f>SUM(E57:E64)</f>
        <v>0</v>
      </c>
      <c r="F66" s="526"/>
      <c r="G66" s="438">
        <f>SUM(G57:G64)</f>
        <v>0</v>
      </c>
    </row>
    <row r="67" spans="1:7" ht="15.75">
      <c r="A67" s="243" t="s">
        <v>189</v>
      </c>
      <c r="B67" s="361"/>
      <c r="C67" s="625">
        <f>C55-C66</f>
        <v>0</v>
      </c>
      <c r="D67" s="526"/>
      <c r="E67" s="625">
        <f>E55-E66</f>
        <v>0</v>
      </c>
      <c r="F67" s="526"/>
      <c r="G67" s="449" t="s">
        <v>59</v>
      </c>
    </row>
    <row r="68" spans="1:8" ht="15.75">
      <c r="A68" s="292" t="str">
        <f>CONCATENATE("",G1-2,"/",G1-1," Budget Authority Amount:")</f>
        <v>2012/2013 Budget Authority Amount:</v>
      </c>
      <c r="B68" s="380">
        <f>inputOth!B59</f>
        <v>0</v>
      </c>
      <c r="C68" s="380">
        <f>inputPrYr!D23</f>
        <v>0</v>
      </c>
      <c r="D68" s="581" t="s">
        <v>4</v>
      </c>
      <c r="E68" s="582"/>
      <c r="F68" s="583"/>
      <c r="G68" s="146"/>
      <c r="H68" s="381">
        <f>IF(G66/0.95-G66&lt;G68,"Exceeds 5%","")</f>
      </c>
    </row>
    <row r="69" spans="1:7" ht="15.75">
      <c r="A69" s="292"/>
      <c r="B69" s="382">
        <f>IF(C66&gt;B68,"See Tab A","")</f>
      </c>
      <c r="C69" s="382">
        <f>IF(E66&gt;C68,"See Tab C","")</f>
      </c>
      <c r="D69" s="121"/>
      <c r="E69" s="579" t="s">
        <v>5</v>
      </c>
      <c r="F69" s="580"/>
      <c r="G69" s="254">
        <f>G66+G68</f>
        <v>0</v>
      </c>
    </row>
    <row r="70" spans="1:7" ht="15.75">
      <c r="A70" s="292"/>
      <c r="B70" s="382">
        <f>IF(C67&lt;0,"See Tab B","")</f>
      </c>
      <c r="C70" s="382">
        <f>IF(E67&lt;0,"See Tab D","")</f>
      </c>
      <c r="D70" s="121"/>
      <c r="E70" s="579" t="s">
        <v>82</v>
      </c>
      <c r="F70" s="580"/>
      <c r="G70" s="153">
        <f>IF(G69-G55&gt;0,G69-G55,0)</f>
        <v>0</v>
      </c>
    </row>
    <row r="71" spans="1:7" ht="15.75">
      <c r="A71" s="300"/>
      <c r="B71" s="300"/>
      <c r="C71" s="300"/>
      <c r="D71" s="519" t="s">
        <v>6</v>
      </c>
      <c r="E71" s="520"/>
      <c r="F71" s="450">
        <f>inputOth!E40</f>
        <v>0.03</v>
      </c>
      <c r="G71" s="254">
        <f>ROUND(IF(F71&gt;0,(G70*F71),0),0)</f>
        <v>0</v>
      </c>
    </row>
    <row r="72" spans="1:7" ht="15.75">
      <c r="A72" s="121"/>
      <c r="B72" s="121"/>
      <c r="C72" s="639" t="str">
        <f>CONCATENATE("Amount of  ",G1-1," Ad Valorem Tax")</f>
        <v>Amount of  2013 Ad Valorem Tax</v>
      </c>
      <c r="D72" s="640"/>
      <c r="E72" s="640"/>
      <c r="F72" s="638"/>
      <c r="G72" s="451">
        <f>G70+G71</f>
        <v>0</v>
      </c>
    </row>
    <row r="73" spans="1:7" ht="15.75">
      <c r="A73" s="121"/>
      <c r="B73" s="121"/>
      <c r="C73" s="121"/>
      <c r="D73" s="121"/>
      <c r="E73" s="121"/>
      <c r="F73" s="121"/>
      <c r="G73" s="121"/>
    </row>
    <row r="74" spans="1:7" ht="15.75">
      <c r="A74" s="300"/>
      <c r="B74" s="300" t="s">
        <v>84</v>
      </c>
      <c r="C74" s="452"/>
      <c r="D74" s="177"/>
      <c r="E74" s="177"/>
      <c r="F74" s="121"/>
      <c r="G74" s="121"/>
    </row>
    <row r="76" spans="1:3" ht="15.75">
      <c r="A76" s="185"/>
      <c r="B76" s="185"/>
      <c r="C76" s="185"/>
    </row>
  </sheetData>
  <sheetProtection sheet="1"/>
  <mergeCells count="126">
    <mergeCell ref="C6:D6"/>
    <mergeCell ref="C7:D7"/>
    <mergeCell ref="E6:F6"/>
    <mergeCell ref="E7:F7"/>
    <mergeCell ref="C4:D4"/>
    <mergeCell ref="C5:D5"/>
    <mergeCell ref="E5:F5"/>
    <mergeCell ref="E4:F4"/>
    <mergeCell ref="E10:F10"/>
    <mergeCell ref="E11:F11"/>
    <mergeCell ref="C8:D8"/>
    <mergeCell ref="C9:D9"/>
    <mergeCell ref="C10:D10"/>
    <mergeCell ref="C11:D11"/>
    <mergeCell ref="E8:F8"/>
    <mergeCell ref="E9:F9"/>
    <mergeCell ref="E12:F12"/>
    <mergeCell ref="E13:F13"/>
    <mergeCell ref="E23:F23"/>
    <mergeCell ref="E24:F24"/>
    <mergeCell ref="C18:D18"/>
    <mergeCell ref="C21:D21"/>
    <mergeCell ref="E25:F25"/>
    <mergeCell ref="E14:F14"/>
    <mergeCell ref="E15:F15"/>
    <mergeCell ref="E16:F16"/>
    <mergeCell ref="E17:F17"/>
    <mergeCell ref="E18:F18"/>
    <mergeCell ref="E21:F21"/>
    <mergeCell ref="E22:F22"/>
    <mergeCell ref="C26:D26"/>
    <mergeCell ref="C27:D27"/>
    <mergeCell ref="C22:D22"/>
    <mergeCell ref="C23:D23"/>
    <mergeCell ref="C24:D24"/>
    <mergeCell ref="C25:D25"/>
    <mergeCell ref="C17:D17"/>
    <mergeCell ref="C12:D12"/>
    <mergeCell ref="C13:D13"/>
    <mergeCell ref="C14:D14"/>
    <mergeCell ref="C15:D15"/>
    <mergeCell ref="C16:D16"/>
    <mergeCell ref="C19:D19"/>
    <mergeCell ref="C20:D20"/>
    <mergeCell ref="E19:F19"/>
    <mergeCell ref="E20:F20"/>
    <mergeCell ref="C30:D30"/>
    <mergeCell ref="E30:F30"/>
    <mergeCell ref="C28:D28"/>
    <mergeCell ref="C29:D29"/>
    <mergeCell ref="E26:F26"/>
    <mergeCell ref="E27:F27"/>
    <mergeCell ref="E28:F28"/>
    <mergeCell ref="E29:F29"/>
    <mergeCell ref="C31:D31"/>
    <mergeCell ref="C32:D32"/>
    <mergeCell ref="E31:F31"/>
    <mergeCell ref="E32:F32"/>
    <mergeCell ref="C37:F37"/>
    <mergeCell ref="C72:F72"/>
    <mergeCell ref="D68:F68"/>
    <mergeCell ref="E69:F69"/>
    <mergeCell ref="E70:F70"/>
    <mergeCell ref="E41:F41"/>
    <mergeCell ref="C42:D42"/>
    <mergeCell ref="E42:F42"/>
    <mergeCell ref="C43:D43"/>
    <mergeCell ref="E43:F43"/>
    <mergeCell ref="D33:F33"/>
    <mergeCell ref="E34:F34"/>
    <mergeCell ref="E35:F35"/>
    <mergeCell ref="D71:E71"/>
    <mergeCell ref="D36:E36"/>
    <mergeCell ref="C40:D40"/>
    <mergeCell ref="C39:D39"/>
    <mergeCell ref="E40:F40"/>
    <mergeCell ref="E39:F39"/>
    <mergeCell ref="C41:D41"/>
    <mergeCell ref="C53:D53"/>
    <mergeCell ref="E53:F53"/>
    <mergeCell ref="C54:D54"/>
    <mergeCell ref="E54:F54"/>
    <mergeCell ref="C55:D55"/>
    <mergeCell ref="E55:F55"/>
    <mergeCell ref="C56:D56"/>
    <mergeCell ref="E56:F56"/>
    <mergeCell ref="C44:D44"/>
    <mergeCell ref="C45:D45"/>
    <mergeCell ref="C46:D46"/>
    <mergeCell ref="C47:D47"/>
    <mergeCell ref="C48:D48"/>
    <mergeCell ref="C49:D49"/>
    <mergeCell ref="C50:D50"/>
    <mergeCell ref="C51:D51"/>
    <mergeCell ref="C52:D52"/>
    <mergeCell ref="E44:F44"/>
    <mergeCell ref="E45:F45"/>
    <mergeCell ref="E46:F46"/>
    <mergeCell ref="E47:F47"/>
    <mergeCell ref="E48:F48"/>
    <mergeCell ref="E49:F49"/>
    <mergeCell ref="E50:F50"/>
    <mergeCell ref="E51:F51"/>
    <mergeCell ref="E52:F52"/>
    <mergeCell ref="C57:D57"/>
    <mergeCell ref="C58:D58"/>
    <mergeCell ref="C59:D59"/>
    <mergeCell ref="C60:D60"/>
    <mergeCell ref="C61:D61"/>
    <mergeCell ref="C62:D62"/>
    <mergeCell ref="C63:D63"/>
    <mergeCell ref="C64:D64"/>
    <mergeCell ref="E57:F57"/>
    <mergeCell ref="E58:F58"/>
    <mergeCell ref="E59:F59"/>
    <mergeCell ref="E60:F60"/>
    <mergeCell ref="E61:F61"/>
    <mergeCell ref="E62:F62"/>
    <mergeCell ref="E63:F63"/>
    <mergeCell ref="E64:F64"/>
    <mergeCell ref="C67:D67"/>
    <mergeCell ref="E67:F67"/>
    <mergeCell ref="C65:D65"/>
    <mergeCell ref="E65:F65"/>
    <mergeCell ref="C66:D66"/>
    <mergeCell ref="E66:F66"/>
  </mergeCells>
  <conditionalFormatting sqref="G64">
    <cfRule type="cellIs" priority="3" dxfId="4" operator="greaterThan" stopIfTrue="1">
      <formula>$G$66*0.1</formula>
    </cfRule>
  </conditionalFormatting>
  <conditionalFormatting sqref="G68">
    <cfRule type="cellIs" priority="4" dxfId="4" operator="greaterThan" stopIfTrue="1">
      <formula>$G$66/0.95-$G$66</formula>
    </cfRule>
  </conditionalFormatting>
  <conditionalFormatting sqref="G29">
    <cfRule type="cellIs" priority="5" dxfId="4" operator="greaterThan" stopIfTrue="1">
      <formula>$G$31*0.1</formula>
    </cfRule>
  </conditionalFormatting>
  <conditionalFormatting sqref="G33">
    <cfRule type="cellIs" priority="6" dxfId="4" operator="greaterThan" stopIfTrue="1">
      <formula>$G$31/0.95-$G$31</formula>
    </cfRule>
  </conditionalFormatting>
  <conditionalFormatting sqref="C67:D67 C32:D32">
    <cfRule type="cellIs" priority="7" dxfId="1" operator="lessThan" stopIfTrue="1">
      <formula>0</formula>
    </cfRule>
  </conditionalFormatting>
  <conditionalFormatting sqref="C66:D66">
    <cfRule type="cellIs" priority="8" dxfId="1" operator="greaterThan" stopIfTrue="1">
      <formula>$B$68</formula>
    </cfRule>
  </conditionalFormatting>
  <conditionalFormatting sqref="E66:F66">
    <cfRule type="cellIs" priority="9" dxfId="1" operator="greaterThan" stopIfTrue="1">
      <formula>$C$68</formula>
    </cfRule>
  </conditionalFormatting>
  <conditionalFormatting sqref="C31:D31">
    <cfRule type="cellIs" priority="10" dxfId="1" operator="greaterThan" stopIfTrue="1">
      <formula>$B$33</formula>
    </cfRule>
  </conditionalFormatting>
  <conditionalFormatting sqref="E31:F31">
    <cfRule type="cellIs" priority="11" dxfId="1" operator="greaterThan" stopIfTrue="1">
      <formula>$C$33</formula>
    </cfRule>
  </conditionalFormatting>
  <conditionalFormatting sqref="G52">
    <cfRule type="cellIs" priority="12" dxfId="4" operator="greaterThan" stopIfTrue="1">
      <formula>$G$54*0.1+G72</formula>
    </cfRule>
  </conditionalFormatting>
  <conditionalFormatting sqref="G17">
    <cfRule type="cellIs" priority="13" dxfId="4" operator="greaterThan" stopIfTrue="1">
      <formula>$G$19*0.1+G37</formula>
    </cfRule>
  </conditionalFormatting>
  <conditionalFormatting sqref="E17:F17">
    <cfRule type="cellIs" priority="14" dxfId="4" operator="greaterThan" stopIfTrue="1">
      <formula>$E$19*0.1</formula>
    </cfRule>
  </conditionalFormatting>
  <conditionalFormatting sqref="C17:D17">
    <cfRule type="cellIs" priority="15" dxfId="4" operator="greaterThan" stopIfTrue="1">
      <formula>$C$19*0.1</formula>
    </cfRule>
  </conditionalFormatting>
  <conditionalFormatting sqref="C29:D29">
    <cfRule type="cellIs" priority="16" dxfId="4" operator="greaterThan" stopIfTrue="1">
      <formula>$C$31*0.1</formula>
    </cfRule>
  </conditionalFormatting>
  <conditionalFormatting sqref="E29:F29">
    <cfRule type="cellIs" priority="17" dxfId="4" operator="greaterThan" stopIfTrue="1">
      <formula>$E$31*0.1</formula>
    </cfRule>
  </conditionalFormatting>
  <conditionalFormatting sqref="E52:F52">
    <cfRule type="cellIs" priority="18" dxfId="4" operator="greaterThan" stopIfTrue="1">
      <formula>$E$54*0.1</formula>
    </cfRule>
  </conditionalFormatting>
  <conditionalFormatting sqref="C52:D52">
    <cfRule type="cellIs" priority="19" dxfId="4" operator="greaterThan" stopIfTrue="1">
      <formula>$C$54*0.1</formula>
    </cfRule>
  </conditionalFormatting>
  <conditionalFormatting sqref="C64:D64">
    <cfRule type="cellIs" priority="20" dxfId="4" operator="greaterThan" stopIfTrue="1">
      <formula>$C$66*0.1</formula>
    </cfRule>
  </conditionalFormatting>
  <conditionalFormatting sqref="E64:F64">
    <cfRule type="cellIs" priority="21" dxfId="4" operator="greaterThan" stopIfTrue="1">
      <formula>$E$66*0.1</formula>
    </cfRule>
  </conditionalFormatting>
  <conditionalFormatting sqref="E67:F67">
    <cfRule type="cellIs" priority="2" dxfId="0" operator="lessThan" stopIfTrue="1">
      <formula>0</formula>
    </cfRule>
  </conditionalFormatting>
  <conditionalFormatting sqref="E32:F3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oddFooter>&amp;Lrevised 10/2/09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16">
      <selection activeCell="E70" sqref="E70"/>
    </sheetView>
  </sheetViews>
  <sheetFormatPr defaultColWidth="8.8984375" defaultRowHeight="15"/>
  <cols>
    <col min="1" max="1" width="30.69921875" style="122" customWidth="1"/>
    <col min="2" max="2" width="9.59765625" style="122" customWidth="1"/>
    <col min="3" max="4" width="15.796875" style="122" customWidth="1"/>
    <col min="5" max="5" width="16.09765625" style="122" customWidth="1"/>
    <col min="6" max="16384" width="8.8984375" style="122" customWidth="1"/>
  </cols>
  <sheetData>
    <row r="1" spans="1:5" ht="15.75">
      <c r="A1" s="283" t="str">
        <f>(inputPrYr!D2)</f>
        <v>CITY OF BOGUE</v>
      </c>
      <c r="B1" s="283"/>
      <c r="C1" s="121"/>
      <c r="D1" s="121"/>
      <c r="E1" s="225">
        <f>inputPrYr!$C$5</f>
        <v>2014</v>
      </c>
    </row>
    <row r="2" spans="1:5" ht="15.75">
      <c r="A2" s="121"/>
      <c r="B2" s="121"/>
      <c r="C2" s="121"/>
      <c r="D2" s="121"/>
      <c r="E2" s="300"/>
    </row>
    <row r="3" spans="1:5" ht="15.75">
      <c r="A3" s="140" t="s">
        <v>134</v>
      </c>
      <c r="B3" s="140"/>
      <c r="C3" s="423"/>
      <c r="D3" s="423"/>
      <c r="E3" s="424"/>
    </row>
    <row r="4" spans="1:5" ht="15.75">
      <c r="A4" s="128" t="s">
        <v>71</v>
      </c>
      <c r="B4" s="128"/>
      <c r="C4" s="425" t="s">
        <v>89</v>
      </c>
      <c r="D4" s="239" t="s">
        <v>219</v>
      </c>
      <c r="E4" s="239" t="s">
        <v>220</v>
      </c>
    </row>
    <row r="5" spans="1:5" ht="15.75">
      <c r="A5" s="272" t="str">
        <f>(inputPrYr!B26)</f>
        <v>Special Highway</v>
      </c>
      <c r="B5" s="272"/>
      <c r="C5" s="426">
        <f>inputPrYr!$C$5-2</f>
        <v>2012</v>
      </c>
      <c r="D5" s="426">
        <f>inputPrYr!$C$5-1</f>
        <v>2013</v>
      </c>
      <c r="E5" s="311">
        <f>inputPrYr!$C$5</f>
        <v>2014</v>
      </c>
    </row>
    <row r="6" spans="1:5" ht="15.75">
      <c r="A6" s="243" t="s">
        <v>188</v>
      </c>
      <c r="B6" s="361"/>
      <c r="C6" s="427">
        <v>0</v>
      </c>
      <c r="D6" s="254">
        <v>0</v>
      </c>
      <c r="E6" s="254">
        <f>D34</f>
        <v>0</v>
      </c>
    </row>
    <row r="7" spans="1:5" ht="15.75">
      <c r="A7" s="363" t="s">
        <v>190</v>
      </c>
      <c r="B7" s="361"/>
      <c r="C7" s="203"/>
      <c r="D7" s="254"/>
      <c r="E7" s="254"/>
    </row>
    <row r="8" spans="1:5" ht="15.75">
      <c r="A8" s="444" t="s">
        <v>86</v>
      </c>
      <c r="B8" s="361"/>
      <c r="C8" s="427">
        <v>3730</v>
      </c>
      <c r="D8" s="254">
        <v>4000</v>
      </c>
      <c r="E8" s="254">
        <v>4500</v>
      </c>
    </row>
    <row r="9" spans="1:5" ht="15.75">
      <c r="A9" s="444" t="s">
        <v>237</v>
      </c>
      <c r="B9" s="361"/>
      <c r="C9" s="427"/>
      <c r="D9" s="254">
        <f>inputOth!E47</f>
        <v>0</v>
      </c>
      <c r="E9" s="254">
        <f>inputOth!E45</f>
        <v>0</v>
      </c>
    </row>
    <row r="10" spans="1:5" ht="15.75">
      <c r="A10" s="379"/>
      <c r="B10" s="370"/>
      <c r="C10" s="427"/>
      <c r="D10" s="146"/>
      <c r="E10" s="146"/>
    </row>
    <row r="11" spans="1:5" ht="15.75">
      <c r="A11" s="379"/>
      <c r="B11" s="370"/>
      <c r="C11" s="427"/>
      <c r="D11" s="146"/>
      <c r="E11" s="146"/>
    </row>
    <row r="12" spans="1:5" ht="15.75">
      <c r="A12" s="379"/>
      <c r="B12" s="370"/>
      <c r="C12" s="427"/>
      <c r="D12" s="146"/>
      <c r="E12" s="146"/>
    </row>
    <row r="13" spans="1:5" ht="15.75">
      <c r="A13" s="379"/>
      <c r="B13" s="370"/>
      <c r="C13" s="427"/>
      <c r="D13" s="146"/>
      <c r="E13" s="146"/>
    </row>
    <row r="14" spans="1:5" ht="15.75">
      <c r="A14" s="379"/>
      <c r="B14" s="370"/>
      <c r="C14" s="427"/>
      <c r="D14" s="146"/>
      <c r="E14" s="146"/>
    </row>
    <row r="15" spans="1:5" ht="15.75">
      <c r="A15" s="379"/>
      <c r="B15" s="370"/>
      <c r="C15" s="427"/>
      <c r="D15" s="146"/>
      <c r="E15" s="146"/>
    </row>
    <row r="16" spans="1:5" ht="15.75">
      <c r="A16" s="433" t="s">
        <v>77</v>
      </c>
      <c r="B16" s="370"/>
      <c r="C16" s="427"/>
      <c r="D16" s="146"/>
      <c r="E16" s="146"/>
    </row>
    <row r="17" spans="1:5" ht="15.75">
      <c r="A17" s="441" t="s">
        <v>167</v>
      </c>
      <c r="B17" s="361"/>
      <c r="C17" s="427"/>
      <c r="D17" s="146"/>
      <c r="E17" s="146"/>
    </row>
    <row r="18" spans="1:5" ht="15.75">
      <c r="A18" s="441" t="s">
        <v>702</v>
      </c>
      <c r="B18" s="361"/>
      <c r="C18" s="434">
        <f>IF(C19*0.1&lt;C17,"Exceed 10% Rule","")</f>
      </c>
      <c r="D18" s="434"/>
      <c r="E18" s="434"/>
    </row>
    <row r="19" spans="1:5" ht="15.75">
      <c r="A19" s="376" t="s">
        <v>78</v>
      </c>
      <c r="B19" s="361"/>
      <c r="C19" s="437">
        <f>SUM(C8:C17)</f>
        <v>3730</v>
      </c>
      <c r="D19" s="438">
        <v>4000</v>
      </c>
      <c r="E19" s="438">
        <v>4500</v>
      </c>
    </row>
    <row r="20" spans="1:5" ht="15.75">
      <c r="A20" s="376" t="s">
        <v>79</v>
      </c>
      <c r="B20" s="361"/>
      <c r="C20" s="437">
        <f>C6+C19</f>
        <v>3730</v>
      </c>
      <c r="D20" s="438">
        <v>4000</v>
      </c>
      <c r="E20" s="438">
        <v>4500</v>
      </c>
    </row>
    <row r="21" spans="1:5" ht="15.75">
      <c r="A21" s="243" t="s">
        <v>80</v>
      </c>
      <c r="B21" s="361"/>
      <c r="C21" s="203"/>
      <c r="D21" s="254"/>
      <c r="E21" s="254"/>
    </row>
    <row r="22" spans="1:5" ht="15.75">
      <c r="A22" s="379" t="s">
        <v>596</v>
      </c>
      <c r="B22" s="370"/>
      <c r="C22" s="427">
        <v>1814</v>
      </c>
      <c r="D22" s="146">
        <v>2000</v>
      </c>
      <c r="E22" s="146">
        <v>2000</v>
      </c>
    </row>
    <row r="23" spans="1:5" ht="15.75">
      <c r="A23" s="379" t="s">
        <v>604</v>
      </c>
      <c r="B23" s="370"/>
      <c r="C23" s="427">
        <v>1916</v>
      </c>
      <c r="D23" s="146">
        <v>2000</v>
      </c>
      <c r="E23" s="146">
        <v>2500</v>
      </c>
    </row>
    <row r="24" spans="1:5" ht="15.75">
      <c r="A24" s="379"/>
      <c r="B24" s="370"/>
      <c r="C24" s="427"/>
      <c r="D24" s="146"/>
      <c r="E24" s="146"/>
    </row>
    <row r="25" spans="1:5" ht="15.75">
      <c r="A25" s="379"/>
      <c r="B25" s="370"/>
      <c r="C25" s="427"/>
      <c r="D25" s="146"/>
      <c r="E25" s="146"/>
    </row>
    <row r="26" spans="1:5" ht="15.75">
      <c r="A26" s="379"/>
      <c r="B26" s="370"/>
      <c r="C26" s="427"/>
      <c r="D26" s="146"/>
      <c r="E26" s="146"/>
    </row>
    <row r="27" spans="1:5" ht="15.75">
      <c r="A27" s="379"/>
      <c r="B27" s="370"/>
      <c r="C27" s="427"/>
      <c r="D27" s="146"/>
      <c r="E27" s="146"/>
    </row>
    <row r="28" spans="1:5" ht="15.75">
      <c r="A28" s="379"/>
      <c r="B28" s="370"/>
      <c r="C28" s="427"/>
      <c r="D28" s="146"/>
      <c r="E28" s="146"/>
    </row>
    <row r="29" spans="1:5" ht="15.75">
      <c r="A29" s="379"/>
      <c r="B29" s="370"/>
      <c r="C29" s="427"/>
      <c r="D29" s="146"/>
      <c r="E29" s="146"/>
    </row>
    <row r="30" spans="1:5" ht="15.75">
      <c r="A30" s="379"/>
      <c r="B30" s="370"/>
      <c r="C30" s="427"/>
      <c r="D30" s="146"/>
      <c r="E30" s="146"/>
    </row>
    <row r="31" spans="1:5" ht="15.75">
      <c r="A31" s="257" t="s">
        <v>167</v>
      </c>
      <c r="B31" s="361"/>
      <c r="C31" s="427"/>
      <c r="D31" s="146"/>
      <c r="E31" s="146"/>
    </row>
    <row r="32" spans="1:5" ht="15.75">
      <c r="A32" s="257" t="s">
        <v>703</v>
      </c>
      <c r="B32" s="361"/>
      <c r="C32" s="434">
        <f>IF(C33*0.1&lt;C31,"Exceed 10% Rule","")</f>
      </c>
      <c r="D32" s="434">
        <f>IF(D33*0.1&lt;D31,"Exceed 10% Rule","")</f>
      </c>
      <c r="E32" s="434">
        <f>IF(E33*0.1&lt;E31,"Exceed 10% Rule","")</f>
      </c>
    </row>
    <row r="33" spans="1:5" ht="15.75">
      <c r="A33" s="376" t="s">
        <v>81</v>
      </c>
      <c r="B33" s="361"/>
      <c r="C33" s="437">
        <f>SUM(C22:C31)</f>
        <v>3730</v>
      </c>
      <c r="D33" s="438">
        <f>SUM(D22:D31)</f>
        <v>4000</v>
      </c>
      <c r="E33" s="438">
        <f>SUM(E22:E31)</f>
        <v>4500</v>
      </c>
    </row>
    <row r="34" spans="1:5" ht="15.75">
      <c r="A34" s="243" t="s">
        <v>189</v>
      </c>
      <c r="B34" s="361"/>
      <c r="C34" s="439">
        <f>C20-C33</f>
        <v>0</v>
      </c>
      <c r="D34" s="153">
        <f>D20-D33</f>
        <v>0</v>
      </c>
      <c r="E34" s="153">
        <f>E20-E33</f>
        <v>0</v>
      </c>
    </row>
    <row r="35" spans="1:5" ht="15.75">
      <c r="A35" s="292" t="str">
        <f>CONCATENATE("",E1-2,"/",E1-1," Budget Authority Amount:")</f>
        <v>2012/2013 Budget Authority Amount:</v>
      </c>
      <c r="B35" s="380"/>
      <c r="C35" s="380">
        <v>4000</v>
      </c>
      <c r="D35" s="445">
        <v>4500</v>
      </c>
      <c r="E35" s="461">
        <f>IF(E34&lt;0,"See Tab E","")</f>
      </c>
    </row>
    <row r="36" spans="1:5" ht="15.75">
      <c r="A36" s="292"/>
      <c r="B36" s="382"/>
      <c r="C36" s="382">
        <f>IF(C33&gt;C35,"See Tab A","")</f>
      </c>
      <c r="D36" s="382">
        <f>IF(D33&gt;D35,"See Tab C","")</f>
      </c>
      <c r="E36" s="290"/>
    </row>
    <row r="37" spans="1:5" ht="15.75">
      <c r="A37" s="292"/>
      <c r="B37" s="382"/>
      <c r="C37" s="382">
        <f>IF(C34&lt;0,"See Tab B","")</f>
      </c>
      <c r="D37" s="382">
        <f>IF(D34&lt;0,"See Tab D","")</f>
      </c>
      <c r="E37" s="290"/>
    </row>
    <row r="38" spans="1:5" ht="15.75">
      <c r="A38" s="121"/>
      <c r="B38" s="121"/>
      <c r="C38" s="290"/>
      <c r="D38" s="290"/>
      <c r="E38" s="290"/>
    </row>
    <row r="39" spans="1:5" ht="15.75">
      <c r="A39" s="128" t="s">
        <v>71</v>
      </c>
      <c r="B39" s="128"/>
      <c r="C39" s="425" t="s">
        <v>89</v>
      </c>
      <c r="D39" s="239" t="s">
        <v>219</v>
      </c>
      <c r="E39" s="239" t="s">
        <v>220</v>
      </c>
    </row>
    <row r="40" spans="1:5" ht="15.75">
      <c r="A40" s="442" t="str">
        <f>(inputPrYr!B27)</f>
        <v>Utility</v>
      </c>
      <c r="B40" s="272"/>
      <c r="C40" s="426">
        <f>inputPrYr!$C$5-2</f>
        <v>2012</v>
      </c>
      <c r="D40" s="426">
        <f>inputPrYr!$C$5-1</f>
        <v>2013</v>
      </c>
      <c r="E40" s="311">
        <f>inputPrYr!$C$5</f>
        <v>2014</v>
      </c>
    </row>
    <row r="41" spans="1:5" ht="15.75">
      <c r="A41" s="243" t="s">
        <v>188</v>
      </c>
      <c r="B41" s="361"/>
      <c r="C41" s="427">
        <v>48659</v>
      </c>
      <c r="D41" s="254">
        <v>62612</v>
      </c>
      <c r="E41" s="254">
        <v>54512</v>
      </c>
    </row>
    <row r="42" spans="1:5" ht="15.75">
      <c r="A42" s="243" t="s">
        <v>190</v>
      </c>
      <c r="B42" s="361"/>
      <c r="C42" s="203"/>
      <c r="D42" s="254"/>
      <c r="E42" s="254"/>
    </row>
    <row r="43" spans="1:5" ht="15.75">
      <c r="A43" s="379"/>
      <c r="B43" s="370"/>
      <c r="C43" s="427"/>
      <c r="D43" s="146"/>
      <c r="E43" s="146"/>
    </row>
    <row r="44" spans="1:5" ht="15.75">
      <c r="A44" s="379" t="s">
        <v>87</v>
      </c>
      <c r="B44" s="370"/>
      <c r="C44" s="427">
        <v>67309</v>
      </c>
      <c r="D44" s="146">
        <v>60000</v>
      </c>
      <c r="E44" s="146">
        <v>62000</v>
      </c>
    </row>
    <row r="45" spans="1:5" ht="15.75">
      <c r="A45" s="379"/>
      <c r="B45" s="370"/>
      <c r="C45" s="427"/>
      <c r="D45" s="146"/>
      <c r="E45" s="146"/>
    </row>
    <row r="46" spans="1:5" ht="15.75">
      <c r="A46" s="379" t="s">
        <v>595</v>
      </c>
      <c r="B46" s="370"/>
      <c r="C46" s="427">
        <v>0</v>
      </c>
      <c r="D46" s="146">
        <v>0</v>
      </c>
      <c r="E46" s="146"/>
    </row>
    <row r="47" spans="1:5" ht="15.75">
      <c r="A47" s="379"/>
      <c r="B47" s="370"/>
      <c r="C47" s="427"/>
      <c r="D47" s="146"/>
      <c r="E47" s="146"/>
    </row>
    <row r="48" spans="1:5" ht="15.75">
      <c r="A48" s="379"/>
      <c r="B48" s="370"/>
      <c r="C48" s="427"/>
      <c r="D48" s="146"/>
      <c r="E48" s="146"/>
    </row>
    <row r="49" spans="1:5" ht="15.75">
      <c r="A49" s="433" t="s">
        <v>77</v>
      </c>
      <c r="B49" s="370"/>
      <c r="C49" s="427">
        <v>347</v>
      </c>
      <c r="D49" s="146">
        <v>400</v>
      </c>
      <c r="E49" s="146">
        <v>400</v>
      </c>
    </row>
    <row r="50" spans="1:5" ht="15.75">
      <c r="A50" s="441" t="s">
        <v>167</v>
      </c>
      <c r="B50" s="361"/>
      <c r="C50" s="427"/>
      <c r="D50" s="146"/>
      <c r="E50" s="146"/>
    </row>
    <row r="51" spans="1:5" ht="15.75">
      <c r="A51" s="441" t="s">
        <v>702</v>
      </c>
      <c r="B51" s="361"/>
      <c r="C51" s="434">
        <f>IF(C52*0.1&lt;C50,"Exceed 10% Rule","")</f>
      </c>
      <c r="D51" s="434"/>
      <c r="E51" s="434" t="s">
        <v>47</v>
      </c>
    </row>
    <row r="52" spans="1:5" ht="15.75">
      <c r="A52" s="376" t="s">
        <v>78</v>
      </c>
      <c r="B52" s="361"/>
      <c r="C52" s="437">
        <f>SUM(C43:C50)</f>
        <v>67656</v>
      </c>
      <c r="D52" s="438">
        <v>60400</v>
      </c>
      <c r="E52" s="438">
        <v>62400</v>
      </c>
    </row>
    <row r="53" spans="1:5" ht="15.75">
      <c r="A53" s="376" t="s">
        <v>79</v>
      </c>
      <c r="B53" s="361"/>
      <c r="C53" s="437">
        <f>C41+C52</f>
        <v>116315</v>
      </c>
      <c r="D53" s="438">
        <v>123012</v>
      </c>
      <c r="E53" s="438">
        <v>116912</v>
      </c>
    </row>
    <row r="54" spans="1:5" ht="15.75">
      <c r="A54" s="243" t="s">
        <v>80</v>
      </c>
      <c r="B54" s="361"/>
      <c r="C54" s="203"/>
      <c r="D54" s="254"/>
      <c r="E54" s="254"/>
    </row>
    <row r="55" spans="1:5" ht="15.75">
      <c r="A55" s="379" t="s">
        <v>605</v>
      </c>
      <c r="B55" s="370"/>
      <c r="C55" s="427">
        <v>15969</v>
      </c>
      <c r="D55" s="146">
        <v>23000</v>
      </c>
      <c r="E55" s="146">
        <v>24000</v>
      </c>
    </row>
    <row r="56" spans="1:5" ht="15.75">
      <c r="A56" s="379" t="s">
        <v>621</v>
      </c>
      <c r="B56" s="370"/>
      <c r="C56" s="427">
        <v>14468</v>
      </c>
      <c r="D56" s="146">
        <v>17000</v>
      </c>
      <c r="E56" s="146">
        <v>18000</v>
      </c>
    </row>
    <row r="57" spans="1:5" ht="15.75">
      <c r="A57" s="379" t="s">
        <v>606</v>
      </c>
      <c r="B57" s="370"/>
      <c r="C57" s="427">
        <v>1433</v>
      </c>
      <c r="D57" s="146">
        <v>1500</v>
      </c>
      <c r="E57" s="146">
        <v>1500</v>
      </c>
    </row>
    <row r="58" spans="1:5" ht="15.75">
      <c r="A58" s="379" t="s">
        <v>597</v>
      </c>
      <c r="B58" s="370"/>
      <c r="C58" s="427">
        <v>3833</v>
      </c>
      <c r="D58" s="146">
        <v>4000</v>
      </c>
      <c r="E58" s="146">
        <v>4200</v>
      </c>
    </row>
    <row r="59" spans="1:5" ht="15.75">
      <c r="A59" s="379" t="s">
        <v>607</v>
      </c>
      <c r="B59" s="370"/>
      <c r="C59" s="427">
        <v>15000</v>
      </c>
      <c r="D59" s="146">
        <v>20000</v>
      </c>
      <c r="E59" s="146">
        <v>66212</v>
      </c>
    </row>
    <row r="60" spans="1:5" ht="15.75">
      <c r="A60" s="379" t="s">
        <v>603</v>
      </c>
      <c r="B60" s="370"/>
      <c r="C60" s="427">
        <v>3000</v>
      </c>
      <c r="D60" s="146">
        <v>3000</v>
      </c>
      <c r="E60" s="146">
        <v>3000</v>
      </c>
    </row>
    <row r="61" spans="1:5" ht="15.75">
      <c r="A61" s="379"/>
      <c r="B61" s="370"/>
      <c r="C61" s="427"/>
      <c r="D61" s="146"/>
      <c r="E61" s="146"/>
    </row>
    <row r="62" spans="1:5" ht="15.75">
      <c r="A62" s="379"/>
      <c r="B62" s="370"/>
      <c r="C62" s="427"/>
      <c r="D62" s="146"/>
      <c r="E62" s="146"/>
    </row>
    <row r="63" spans="1:5" ht="15.75">
      <c r="A63" s="379"/>
      <c r="B63" s="370"/>
      <c r="C63" s="427"/>
      <c r="D63" s="146"/>
      <c r="E63" s="146"/>
    </row>
    <row r="64" spans="1:5" ht="15.75">
      <c r="A64" s="379"/>
      <c r="B64" s="370"/>
      <c r="C64" s="427"/>
      <c r="D64" s="146"/>
      <c r="E64" s="146"/>
    </row>
    <row r="65" spans="1:5" ht="15.75">
      <c r="A65" s="379"/>
      <c r="B65" s="370"/>
      <c r="C65" s="427"/>
      <c r="D65" s="146"/>
      <c r="E65" s="146"/>
    </row>
    <row r="66" spans="1:5" ht="15.75">
      <c r="A66" s="379"/>
      <c r="B66" s="370"/>
      <c r="C66" s="427"/>
      <c r="D66" s="146"/>
      <c r="E66" s="146"/>
    </row>
    <row r="67" spans="1:5" ht="15.75">
      <c r="A67" s="257" t="s">
        <v>167</v>
      </c>
      <c r="B67" s="361"/>
      <c r="C67" s="427"/>
      <c r="D67" s="146"/>
      <c r="E67" s="146"/>
    </row>
    <row r="68" spans="1:5" ht="15.75">
      <c r="A68" s="257" t="s">
        <v>703</v>
      </c>
      <c r="B68" s="361"/>
      <c r="C68" s="434">
        <f>IF(C69*0.1&lt;C67,"Exceed 10% Rule","")</f>
      </c>
      <c r="D68" s="434"/>
      <c r="E68" s="434"/>
    </row>
    <row r="69" spans="1:5" ht="15.75">
      <c r="A69" s="376" t="s">
        <v>81</v>
      </c>
      <c r="B69" s="361"/>
      <c r="C69" s="437">
        <f>SUM(C55:C67)</f>
        <v>53703</v>
      </c>
      <c r="D69" s="438">
        <v>68500</v>
      </c>
      <c r="E69" s="438">
        <f>SUM(E55:E67)</f>
        <v>116912</v>
      </c>
    </row>
    <row r="70" spans="1:5" ht="15.75">
      <c r="A70" s="243" t="s">
        <v>189</v>
      </c>
      <c r="B70" s="361"/>
      <c r="C70" s="439">
        <f>C53-C69</f>
        <v>62612</v>
      </c>
      <c r="D70" s="153">
        <f>D53-D69</f>
        <v>54512</v>
      </c>
      <c r="E70" s="153">
        <f>E53-E69</f>
        <v>0</v>
      </c>
    </row>
    <row r="71" spans="1:5" ht="15.75">
      <c r="A71" s="292" t="str">
        <f>CONCATENATE("",E1-2,"/",E1-1," Budget Authority Amount:")</f>
        <v>2012/2013 Budget Authority Amount:</v>
      </c>
      <c r="B71" s="380"/>
      <c r="C71" s="380">
        <f>inputOth!B61</f>
        <v>101440</v>
      </c>
      <c r="D71" s="380">
        <f>inputPrYr!D27</f>
        <v>102559</v>
      </c>
      <c r="E71" s="461">
        <f>IF(E70&lt;0,"See Tab E","")</f>
      </c>
    </row>
    <row r="72" spans="1:5" ht="15.75">
      <c r="A72" s="292"/>
      <c r="B72" s="382"/>
      <c r="C72" s="382">
        <f>IF(C69&gt;C71,"See Tab A","")</f>
      </c>
      <c r="D72" s="382">
        <f>IF(D69&gt;D71,"See Tab C","")</f>
      </c>
      <c r="E72" s="121"/>
    </row>
    <row r="73" spans="1:5" ht="15.75">
      <c r="A73" s="292"/>
      <c r="B73" s="382"/>
      <c r="C73" s="382">
        <f>IF(C70&lt;0,"See Tab B","")</f>
      </c>
      <c r="D73" s="382">
        <f>IF(D70&lt;0,"See Tab D","")</f>
      </c>
      <c r="E73" s="121"/>
    </row>
    <row r="74" spans="1:5" ht="15.75">
      <c r="A74" s="121"/>
      <c r="B74" s="121"/>
      <c r="C74" s="121"/>
      <c r="D74" s="121"/>
      <c r="E74" s="121"/>
    </row>
    <row r="75" spans="1:5" ht="15.75">
      <c r="A75" s="300"/>
      <c r="B75" s="300" t="s">
        <v>84</v>
      </c>
      <c r="C75" s="386">
        <v>8</v>
      </c>
      <c r="D75" s="121"/>
      <c r="E75" s="121"/>
    </row>
  </sheetData>
  <sheetProtection/>
  <conditionalFormatting sqref="C17">
    <cfRule type="cellIs" priority="9" dxfId="4" operator="greaterThan" stopIfTrue="1">
      <formula>$C$19*0.1</formula>
    </cfRule>
  </conditionalFormatting>
  <conditionalFormatting sqref="C50">
    <cfRule type="cellIs" priority="10" dxfId="4" operator="greaterThan" stopIfTrue="1">
      <formula>$C$52*0.1</formula>
    </cfRule>
  </conditionalFormatting>
  <conditionalFormatting sqref="D17">
    <cfRule type="cellIs" priority="11" dxfId="4" operator="greaterThan" stopIfTrue="1">
      <formula>$D$19*0.1</formula>
    </cfRule>
  </conditionalFormatting>
  <conditionalFormatting sqref="E17">
    <cfRule type="cellIs" priority="12" dxfId="4" operator="greaterThan" stopIfTrue="1">
      <formula>$E$19*0.1</formula>
    </cfRule>
  </conditionalFormatting>
  <conditionalFormatting sqref="D50">
    <cfRule type="cellIs" priority="13" dxfId="4" operator="greaterThan" stopIfTrue="1">
      <formula>$D$52*0.1</formula>
    </cfRule>
  </conditionalFormatting>
  <conditionalFormatting sqref="E50">
    <cfRule type="cellIs" priority="14" dxfId="4" operator="greaterThan" stopIfTrue="1">
      <formula>$E$52*0.1</formula>
    </cfRule>
  </conditionalFormatting>
  <conditionalFormatting sqref="C31">
    <cfRule type="cellIs" priority="15" dxfId="4" operator="greaterThan" stopIfTrue="1">
      <formula>$C$33*0.1</formula>
    </cfRule>
  </conditionalFormatting>
  <conditionalFormatting sqref="D31">
    <cfRule type="cellIs" priority="16" dxfId="4" operator="greaterThan" stopIfTrue="1">
      <formula>$D$33*0.1</formula>
    </cfRule>
  </conditionalFormatting>
  <conditionalFormatting sqref="E31">
    <cfRule type="cellIs" priority="17" dxfId="4" operator="greaterThan" stopIfTrue="1">
      <formula>$E$33*0.1</formula>
    </cfRule>
  </conditionalFormatting>
  <conditionalFormatting sqref="C67">
    <cfRule type="cellIs" priority="18" dxfId="4" operator="greaterThan" stopIfTrue="1">
      <formula>$C$69*0.1</formula>
    </cfRule>
  </conditionalFormatting>
  <conditionalFormatting sqref="D67">
    <cfRule type="cellIs" priority="19" dxfId="4" operator="greaterThan" stopIfTrue="1">
      <formula>$D$69*0.1</formula>
    </cfRule>
  </conditionalFormatting>
  <conditionalFormatting sqref="E67">
    <cfRule type="cellIs" priority="20" dxfId="4" operator="greaterThan" stopIfTrue="1">
      <formula>$E$69*0.1</formula>
    </cfRule>
  </conditionalFormatting>
  <conditionalFormatting sqref="E34 C70">
    <cfRule type="cellIs" priority="21" dxfId="1" operator="lessThan" stopIfTrue="1">
      <formula>0</formula>
    </cfRule>
  </conditionalFormatting>
  <conditionalFormatting sqref="D69">
    <cfRule type="cellIs" priority="22" dxfId="1" operator="greaterThan" stopIfTrue="1">
      <formula>$D$71</formula>
    </cfRule>
  </conditionalFormatting>
  <conditionalFormatting sqref="E70">
    <cfRule type="cellIs" priority="23" dxfId="1" operator="lessThan" stopIfTrue="1">
      <formula>0</formula>
    </cfRule>
  </conditionalFormatting>
  <conditionalFormatting sqref="D34">
    <cfRule type="cellIs" priority="6" dxfId="0" operator="lessThan" stopIfTrue="1">
      <formula>0</formula>
    </cfRule>
    <cfRule type="cellIs" priority="8" dxfId="0" operator="lessThan" stopIfTrue="1">
      <formula>0</formula>
    </cfRule>
  </conditionalFormatting>
  <conditionalFormatting sqref="D70">
    <cfRule type="cellIs" priority="7" dxfId="0" operator="lessThan" stopIfTrue="1">
      <formula>0</formula>
    </cfRule>
  </conditionalFormatting>
  <conditionalFormatting sqref="C34">
    <cfRule type="cellIs" priority="5" dxfId="0" operator="lessThan" stopIfTrue="1">
      <formula>0</formula>
    </cfRule>
  </conditionalFormatting>
  <conditionalFormatting sqref="D33">
    <cfRule type="cellIs" priority="3" dxfId="0" operator="greaterThan" stopIfTrue="1">
      <formula>$D$35</formula>
    </cfRule>
  </conditionalFormatting>
  <conditionalFormatting sqref="C33">
    <cfRule type="cellIs" priority="2" dxfId="0" operator="greaterThan" stopIfTrue="1">
      <formula>$C$35</formula>
    </cfRule>
  </conditionalFormatting>
  <conditionalFormatting sqref="C69">
    <cfRule type="cellIs" priority="1" dxfId="0" operator="greaterThan" stopIfTrue="1">
      <formula>$C$71</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oddFooter>&amp;Lrevised 10/2/09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1">
      <selection activeCell="C67" sqref="C67"/>
    </sheetView>
  </sheetViews>
  <sheetFormatPr defaultColWidth="8.8984375" defaultRowHeight="15"/>
  <cols>
    <col min="1" max="1" width="30.296875" style="122" customWidth="1"/>
    <col min="2" max="2" width="9.59765625" style="122" customWidth="1"/>
    <col min="3" max="4" width="15.796875" style="122" customWidth="1"/>
    <col min="5" max="5" width="16.19921875" style="122" customWidth="1"/>
    <col min="6" max="16384" width="8.8984375" style="122" customWidth="1"/>
  </cols>
  <sheetData>
    <row r="1" spans="1:5" ht="15.75">
      <c r="A1" s="283" t="str">
        <f>(inputPrYr!D2)</f>
        <v>CITY OF BOGUE</v>
      </c>
      <c r="B1" s="283"/>
      <c r="C1" s="121"/>
      <c r="D1" s="121"/>
      <c r="E1" s="225">
        <f>inputPrYr!$C$5</f>
        <v>2014</v>
      </c>
    </row>
    <row r="2" spans="1:5" ht="15.75">
      <c r="A2" s="121"/>
      <c r="B2" s="121"/>
      <c r="C2" s="121"/>
      <c r="D2" s="121"/>
      <c r="E2" s="300"/>
    </row>
    <row r="3" spans="1:5" ht="15.75">
      <c r="A3" s="140" t="s">
        <v>134</v>
      </c>
      <c r="B3" s="140"/>
      <c r="C3" s="237"/>
      <c r="D3" s="237"/>
      <c r="E3" s="227"/>
    </row>
    <row r="4" spans="1:5" ht="15.75">
      <c r="A4" s="128" t="s">
        <v>71</v>
      </c>
      <c r="B4" s="128"/>
      <c r="C4" s="425" t="s">
        <v>89</v>
      </c>
      <c r="D4" s="239" t="s">
        <v>219</v>
      </c>
      <c r="E4" s="239" t="s">
        <v>220</v>
      </c>
    </row>
    <row r="5" spans="1:5" ht="15.75">
      <c r="A5" s="272">
        <f>(inputPrYr!B28)</f>
        <v>0</v>
      </c>
      <c r="B5" s="272"/>
      <c r="C5" s="426">
        <f>inputPrYr!$C$5-2</f>
        <v>2012</v>
      </c>
      <c r="D5" s="426">
        <f>inputPrYr!$C$5-1</f>
        <v>2013</v>
      </c>
      <c r="E5" s="311">
        <f>inputPrYr!$C$5</f>
        <v>2014</v>
      </c>
    </row>
    <row r="6" spans="1:5" ht="15.75">
      <c r="A6" s="243" t="s">
        <v>188</v>
      </c>
      <c r="B6" s="361"/>
      <c r="C6" s="427"/>
      <c r="D6" s="254">
        <f>C30</f>
        <v>0</v>
      </c>
      <c r="E6" s="254">
        <f>D30</f>
        <v>0</v>
      </c>
    </row>
    <row r="7" spans="1:5" ht="15.75">
      <c r="A7" s="363" t="s">
        <v>190</v>
      </c>
      <c r="B7" s="361"/>
      <c r="C7" s="203"/>
      <c r="D7" s="254"/>
      <c r="E7" s="254"/>
    </row>
    <row r="8" spans="1:5" ht="15.75">
      <c r="A8" s="379"/>
      <c r="B8" s="370"/>
      <c r="C8" s="427"/>
      <c r="D8" s="146"/>
      <c r="E8" s="146"/>
    </row>
    <row r="9" spans="1:5" ht="15.75">
      <c r="A9" s="379"/>
      <c r="B9" s="370"/>
      <c r="C9" s="427"/>
      <c r="D9" s="146"/>
      <c r="E9" s="146"/>
    </row>
    <row r="10" spans="1:5" ht="15.75">
      <c r="A10" s="379"/>
      <c r="B10" s="370"/>
      <c r="C10" s="427"/>
      <c r="D10" s="146"/>
      <c r="E10" s="146"/>
    </row>
    <row r="11" spans="1:5" ht="15.75">
      <c r="A11" s="379"/>
      <c r="B11" s="370"/>
      <c r="C11" s="427"/>
      <c r="D11" s="146"/>
      <c r="E11" s="146"/>
    </row>
    <row r="12" spans="1:5" ht="15.75">
      <c r="A12" s="433" t="s">
        <v>77</v>
      </c>
      <c r="B12" s="370"/>
      <c r="C12" s="427"/>
      <c r="D12" s="146"/>
      <c r="E12" s="146"/>
    </row>
    <row r="13" spans="1:5" ht="15.75">
      <c r="A13" s="441" t="s">
        <v>167</v>
      </c>
      <c r="B13" s="361"/>
      <c r="C13" s="427"/>
      <c r="D13" s="146"/>
      <c r="E13" s="146"/>
    </row>
    <row r="14" spans="1:5" ht="15.75">
      <c r="A14" s="441" t="s">
        <v>702</v>
      </c>
      <c r="B14" s="361"/>
      <c r="C14" s="434">
        <f>IF(C15*0.1&lt;C13,"Exceed 10% Rule","")</f>
      </c>
      <c r="D14" s="434">
        <f>IF(D15*0.1&lt;D13,"Exceed 10% Rule","")</f>
      </c>
      <c r="E14" s="434">
        <f>IF(E15*0.1&lt;E13,"Exceed 10% Rule","")</f>
      </c>
    </row>
    <row r="15" spans="1:5" ht="15.75">
      <c r="A15" s="376" t="s">
        <v>78</v>
      </c>
      <c r="B15" s="361"/>
      <c r="C15" s="437">
        <f>SUM(C8:C13)</f>
        <v>0</v>
      </c>
      <c r="D15" s="438">
        <f>SUM(D8:D13)</f>
        <v>0</v>
      </c>
      <c r="E15" s="438">
        <f>SUM(E8:E13)</f>
        <v>0</v>
      </c>
    </row>
    <row r="16" spans="1:5" ht="15.75">
      <c r="A16" s="376" t="s">
        <v>79</v>
      </c>
      <c r="B16" s="361"/>
      <c r="C16" s="437">
        <f>C6+C15</f>
        <v>0</v>
      </c>
      <c r="D16" s="438">
        <f>D6+D15</f>
        <v>0</v>
      </c>
      <c r="E16" s="438">
        <f>E6+E15</f>
        <v>0</v>
      </c>
    </row>
    <row r="17" spans="1:5" ht="15.75">
      <c r="A17" s="243" t="s">
        <v>80</v>
      </c>
      <c r="B17" s="361"/>
      <c r="C17" s="203"/>
      <c r="D17" s="254"/>
      <c r="E17" s="254"/>
    </row>
    <row r="18" spans="1:5" ht="15.75">
      <c r="A18" s="379" t="s">
        <v>200</v>
      </c>
      <c r="B18" s="370"/>
      <c r="C18" s="427"/>
      <c r="D18" s="146"/>
      <c r="E18" s="146"/>
    </row>
    <row r="19" spans="1:5" ht="15.75">
      <c r="A19" s="379" t="s">
        <v>203</v>
      </c>
      <c r="B19" s="370"/>
      <c r="C19" s="427"/>
      <c r="D19" s="146"/>
      <c r="E19" s="146"/>
    </row>
    <row r="20" spans="1:5" ht="15.75">
      <c r="A20" s="379"/>
      <c r="B20" s="370"/>
      <c r="C20" s="427"/>
      <c r="D20" s="146"/>
      <c r="E20" s="146"/>
    </row>
    <row r="21" spans="1:5" ht="15.75">
      <c r="A21" s="379"/>
      <c r="B21" s="370"/>
      <c r="C21" s="427"/>
      <c r="D21" s="146"/>
      <c r="E21" s="146"/>
    </row>
    <row r="22" spans="1:5" ht="15.75">
      <c r="A22" s="379"/>
      <c r="B22" s="370"/>
      <c r="C22" s="427"/>
      <c r="D22" s="146"/>
      <c r="E22" s="146"/>
    </row>
    <row r="23" spans="1:5" ht="15.75">
      <c r="A23" s="379"/>
      <c r="B23" s="370"/>
      <c r="C23" s="427"/>
      <c r="D23" s="146"/>
      <c r="E23" s="146"/>
    </row>
    <row r="24" spans="1:5" ht="15.75">
      <c r="A24" s="379"/>
      <c r="B24" s="370"/>
      <c r="C24" s="427"/>
      <c r="D24" s="146"/>
      <c r="E24" s="146"/>
    </row>
    <row r="25" spans="1:5" ht="15.75">
      <c r="A25" s="379"/>
      <c r="B25" s="370"/>
      <c r="C25" s="427"/>
      <c r="D25" s="146"/>
      <c r="E25" s="146"/>
    </row>
    <row r="26" spans="1:5" ht="15.75">
      <c r="A26" s="379"/>
      <c r="B26" s="370"/>
      <c r="C26" s="427"/>
      <c r="D26" s="146"/>
      <c r="E26" s="146"/>
    </row>
    <row r="27" spans="1:5" ht="15.75">
      <c r="A27" s="257" t="s">
        <v>167</v>
      </c>
      <c r="B27" s="361"/>
      <c r="C27" s="427"/>
      <c r="D27" s="146"/>
      <c r="E27" s="146"/>
    </row>
    <row r="28" spans="1:5" ht="15.75">
      <c r="A28" s="257" t="s">
        <v>703</v>
      </c>
      <c r="B28" s="361"/>
      <c r="C28" s="434">
        <f>IF(C29*0.1&lt;C27,"Exceed 10% Rule","")</f>
      </c>
      <c r="D28" s="434">
        <f>IF(D29*0.1&lt;D27,"Exceed 10% Rule","")</f>
      </c>
      <c r="E28" s="434">
        <f>IF(E29*0.1&lt;E27,"Exceed 10% Rule","")</f>
      </c>
    </row>
    <row r="29" spans="1:5" ht="15.75">
      <c r="A29" s="376" t="s">
        <v>81</v>
      </c>
      <c r="B29" s="361"/>
      <c r="C29" s="437">
        <f>SUM(C18:C27)</f>
        <v>0</v>
      </c>
      <c r="D29" s="438">
        <f>SUM(D18:D27)</f>
        <v>0</v>
      </c>
      <c r="E29" s="438">
        <f>SUM(E18:E27)</f>
        <v>0</v>
      </c>
    </row>
    <row r="30" spans="1:5" ht="15.75">
      <c r="A30" s="243" t="s">
        <v>189</v>
      </c>
      <c r="B30" s="361"/>
      <c r="C30" s="439">
        <f>C16-C29</f>
        <v>0</v>
      </c>
      <c r="D30" s="153">
        <f>D16-D29</f>
        <v>0</v>
      </c>
      <c r="E30" s="153">
        <f>E16-E29</f>
        <v>0</v>
      </c>
    </row>
    <row r="31" spans="1:5" ht="15.75">
      <c r="A31" s="292" t="str">
        <f>CONCATENATE("",E1-2,"/",E1-1," Budget Authority Amount:")</f>
        <v>2012/2013 Budget Authority Amount:</v>
      </c>
      <c r="B31" s="380"/>
      <c r="C31" s="380">
        <f>inputOth!B62</f>
        <v>0</v>
      </c>
      <c r="D31" s="380">
        <f>inputPrYr!D28</f>
        <v>0</v>
      </c>
      <c r="E31" s="461">
        <f>IF(E30&lt;0,"See Tab E","")</f>
      </c>
    </row>
    <row r="32" spans="1:5" ht="15.75">
      <c r="A32" s="292"/>
      <c r="B32" s="382"/>
      <c r="C32" s="382">
        <f>IF(C29&gt;C31,"See Tab A","")</f>
      </c>
      <c r="D32" s="382">
        <f>IF(D29&gt;D31,"See Tab C","")</f>
      </c>
      <c r="E32" s="443"/>
    </row>
    <row r="33" spans="1:5" ht="15.75">
      <c r="A33" s="292"/>
      <c r="B33" s="382"/>
      <c r="C33" s="382">
        <f>IF(C30&lt;0,"See Tab B","")</f>
      </c>
      <c r="D33" s="382">
        <f>IF(D30&lt;0,"See Tab D","")</f>
      </c>
      <c r="E33" s="443"/>
    </row>
    <row r="34" spans="1:5" ht="15.75">
      <c r="A34" s="121"/>
      <c r="B34" s="121"/>
      <c r="C34" s="443"/>
      <c r="D34" s="443"/>
      <c r="E34" s="443"/>
    </row>
    <row r="35" spans="1:5" ht="15.75">
      <c r="A35" s="121"/>
      <c r="B35" s="121"/>
      <c r="C35" s="443"/>
      <c r="D35" s="443"/>
      <c r="E35" s="443"/>
    </row>
    <row r="36" spans="1:5" ht="15.75">
      <c r="A36" s="128" t="s">
        <v>71</v>
      </c>
      <c r="B36" s="128"/>
      <c r="C36" s="425" t="s">
        <v>89</v>
      </c>
      <c r="D36" s="239" t="s">
        <v>219</v>
      </c>
      <c r="E36" s="239" t="s">
        <v>220</v>
      </c>
    </row>
    <row r="37" spans="1:5" ht="15.75">
      <c r="A37" s="272">
        <f>(inputPrYr!B29)</f>
        <v>0</v>
      </c>
      <c r="B37" s="272"/>
      <c r="C37" s="426">
        <f>inputPrYr!$C$5-2</f>
        <v>2012</v>
      </c>
      <c r="D37" s="426">
        <f>inputPrYr!$C$5-1</f>
        <v>2013</v>
      </c>
      <c r="E37" s="311">
        <f>inputPrYr!$C$5</f>
        <v>2014</v>
      </c>
    </row>
    <row r="38" spans="1:5" ht="15.75">
      <c r="A38" s="243" t="s">
        <v>188</v>
      </c>
      <c r="B38" s="361"/>
      <c r="C38" s="427"/>
      <c r="D38" s="254">
        <f>C62</f>
        <v>0</v>
      </c>
      <c r="E38" s="254">
        <f>D62</f>
        <v>0</v>
      </c>
    </row>
    <row r="39" spans="1:5" ht="15.75">
      <c r="A39" s="363" t="s">
        <v>190</v>
      </c>
      <c r="B39" s="361"/>
      <c r="C39" s="203"/>
      <c r="D39" s="254"/>
      <c r="E39" s="254"/>
    </row>
    <row r="40" spans="1:5" ht="15.75">
      <c r="A40" s="379"/>
      <c r="B40" s="370"/>
      <c r="C40" s="427"/>
      <c r="D40" s="146"/>
      <c r="E40" s="146"/>
    </row>
    <row r="41" spans="1:5" ht="15.75">
      <c r="A41" s="379"/>
      <c r="B41" s="370"/>
      <c r="C41" s="427"/>
      <c r="D41" s="146"/>
      <c r="E41" s="146"/>
    </row>
    <row r="42" spans="1:5" ht="15.75">
      <c r="A42" s="379"/>
      <c r="B42" s="370"/>
      <c r="C42" s="427"/>
      <c r="D42" s="146"/>
      <c r="E42" s="146"/>
    </row>
    <row r="43" spans="1:5" ht="15.75">
      <c r="A43" s="379"/>
      <c r="B43" s="370"/>
      <c r="C43" s="427"/>
      <c r="D43" s="146"/>
      <c r="E43" s="146"/>
    </row>
    <row r="44" spans="1:5" ht="15.75">
      <c r="A44" s="433" t="s">
        <v>77</v>
      </c>
      <c r="B44" s="370"/>
      <c r="C44" s="427"/>
      <c r="D44" s="146"/>
      <c r="E44" s="146"/>
    </row>
    <row r="45" spans="1:5" ht="15.75">
      <c r="A45" s="441" t="s">
        <v>167</v>
      </c>
      <c r="B45" s="361"/>
      <c r="C45" s="427"/>
      <c r="D45" s="146"/>
      <c r="E45" s="146"/>
    </row>
    <row r="46" spans="1:5" ht="15.75">
      <c r="A46" s="441" t="s">
        <v>702</v>
      </c>
      <c r="B46" s="361"/>
      <c r="C46" s="434">
        <f>IF(C47*0.1&lt;C45,"Exceed 10% Rule","")</f>
      </c>
      <c r="D46" s="434">
        <f>IF(D47*0.1&lt;D45,"Exceed 10% Rule","")</f>
      </c>
      <c r="E46" s="434">
        <f>IF(E47*0.1&lt;E45,"Exceed 10% Rule","")</f>
      </c>
    </row>
    <row r="47" spans="1:5" ht="15.75">
      <c r="A47" s="376" t="s">
        <v>78</v>
      </c>
      <c r="B47" s="361"/>
      <c r="C47" s="437">
        <f>SUM(C40:C45)</f>
        <v>0</v>
      </c>
      <c r="D47" s="438">
        <f>SUM(D40:D45)</f>
        <v>0</v>
      </c>
      <c r="E47" s="438">
        <f>SUM(E40:E45)</f>
        <v>0</v>
      </c>
    </row>
    <row r="48" spans="1:5" ht="15.75">
      <c r="A48" s="376" t="s">
        <v>79</v>
      </c>
      <c r="B48" s="361"/>
      <c r="C48" s="437">
        <f>C38+C47</f>
        <v>0</v>
      </c>
      <c r="D48" s="438">
        <f>D38+D47</f>
        <v>0</v>
      </c>
      <c r="E48" s="438">
        <f>E38+E47</f>
        <v>0</v>
      </c>
    </row>
    <row r="49" spans="1:5" ht="15.75">
      <c r="A49" s="243" t="s">
        <v>80</v>
      </c>
      <c r="B49" s="361"/>
      <c r="C49" s="203"/>
      <c r="D49" s="254"/>
      <c r="E49" s="254"/>
    </row>
    <row r="50" spans="1:5" ht="15.75">
      <c r="A50" s="379" t="s">
        <v>200</v>
      </c>
      <c r="B50" s="370"/>
      <c r="C50" s="427"/>
      <c r="D50" s="146"/>
      <c r="E50" s="146"/>
    </row>
    <row r="51" spans="1:5" ht="15.75">
      <c r="A51" s="379" t="s">
        <v>201</v>
      </c>
      <c r="B51" s="370"/>
      <c r="C51" s="427"/>
      <c r="D51" s="146"/>
      <c r="E51" s="146"/>
    </row>
    <row r="52" spans="1:5" ht="15.75">
      <c r="A52" s="379"/>
      <c r="B52" s="370"/>
      <c r="C52" s="427"/>
      <c r="D52" s="146"/>
      <c r="E52" s="146"/>
    </row>
    <row r="53" spans="1:5" ht="15.75">
      <c r="A53" s="379"/>
      <c r="B53" s="370"/>
      <c r="C53" s="427"/>
      <c r="D53" s="146"/>
      <c r="E53" s="146"/>
    </row>
    <row r="54" spans="1:5" ht="15.75">
      <c r="A54" s="379"/>
      <c r="B54" s="370"/>
      <c r="C54" s="427"/>
      <c r="D54" s="146"/>
      <c r="E54" s="146"/>
    </row>
    <row r="55" spans="1:5" ht="15.75">
      <c r="A55" s="379"/>
      <c r="B55" s="370"/>
      <c r="C55" s="427"/>
      <c r="D55" s="146"/>
      <c r="E55" s="146"/>
    </row>
    <row r="56" spans="1:5" ht="15.75">
      <c r="A56" s="379"/>
      <c r="B56" s="370"/>
      <c r="C56" s="427"/>
      <c r="D56" s="146"/>
      <c r="E56" s="146"/>
    </row>
    <row r="57" spans="1:5" ht="15.75">
      <c r="A57" s="379"/>
      <c r="B57" s="370"/>
      <c r="C57" s="427"/>
      <c r="D57" s="146"/>
      <c r="E57" s="146"/>
    </row>
    <row r="58" spans="1:5" ht="15.75">
      <c r="A58" s="379"/>
      <c r="B58" s="370"/>
      <c r="C58" s="427"/>
      <c r="D58" s="146"/>
      <c r="E58" s="146"/>
    </row>
    <row r="59" spans="1:5" ht="15.75">
      <c r="A59" s="257" t="s">
        <v>167</v>
      </c>
      <c r="B59" s="361"/>
      <c r="C59" s="427"/>
      <c r="D59" s="427"/>
      <c r="E59" s="427"/>
    </row>
    <row r="60" spans="1:5" ht="15.75">
      <c r="A60" s="257" t="s">
        <v>703</v>
      </c>
      <c r="B60" s="361"/>
      <c r="C60" s="434">
        <f>IF(C61*0.1&lt;C59,"Exceed 10% Rule","")</f>
      </c>
      <c r="D60" s="434">
        <f>IF(D61*0.1&lt;D59,"Exceed 10% Rule","")</f>
      </c>
      <c r="E60" s="434">
        <f>IF(E61*0.1&lt;E59,"Exceed 10% Rule","")</f>
      </c>
    </row>
    <row r="61" spans="1:5" ht="15.75">
      <c r="A61" s="376" t="s">
        <v>81</v>
      </c>
      <c r="B61" s="361"/>
      <c r="C61" s="437">
        <f>SUM(C50:C59)</f>
        <v>0</v>
      </c>
      <c r="D61" s="438">
        <f>SUM(D50:D59)</f>
        <v>0</v>
      </c>
      <c r="E61" s="438">
        <f>SUM(E50:E59)</f>
        <v>0</v>
      </c>
    </row>
    <row r="62" spans="1:5" ht="15.75">
      <c r="A62" s="243" t="s">
        <v>189</v>
      </c>
      <c r="B62" s="361"/>
      <c r="C62" s="439">
        <f>C48-C61</f>
        <v>0</v>
      </c>
      <c r="D62" s="153">
        <f>D48-D61</f>
        <v>0</v>
      </c>
      <c r="E62" s="153">
        <f>E48-E61</f>
        <v>0</v>
      </c>
    </row>
    <row r="63" spans="1:5" ht="15.75">
      <c r="A63" s="292" t="str">
        <f>CONCATENATE("",E1-2,"/",E1-1," Budget Authority Amount:")</f>
        <v>2012/2013 Budget Authority Amount:</v>
      </c>
      <c r="B63" s="380"/>
      <c r="C63" s="380">
        <f>inputOth!B63</f>
        <v>0</v>
      </c>
      <c r="D63" s="380">
        <f>inputPrYr!D29</f>
        <v>0</v>
      </c>
      <c r="E63" s="461">
        <f>IF(E62&lt;0,"See Tab E","")</f>
      </c>
    </row>
    <row r="64" spans="1:5" ht="15.75">
      <c r="A64" s="292"/>
      <c r="B64" s="382"/>
      <c r="C64" s="382">
        <f>IF(C61&gt;C63,"See Tab A","")</f>
      </c>
      <c r="D64" s="382">
        <f>IF(D61&gt;D63,"See Tab C","")</f>
      </c>
      <c r="E64" s="121"/>
    </row>
    <row r="65" spans="1:5" ht="15.75">
      <c r="A65" s="292"/>
      <c r="B65" s="382"/>
      <c r="C65" s="382">
        <f>IF(C62&lt;0,"See Tab B","")</f>
      </c>
      <c r="D65" s="382">
        <f>IF(D62&lt;0,"See Tab D","")</f>
      </c>
      <c r="E65" s="121"/>
    </row>
    <row r="66" spans="1:5" ht="15.75">
      <c r="A66" s="121"/>
      <c r="B66" s="121"/>
      <c r="C66" s="121"/>
      <c r="D66" s="121"/>
      <c r="E66" s="121"/>
    </row>
    <row r="67" spans="1:5" ht="15.75">
      <c r="A67" s="300"/>
      <c r="B67" s="300" t="s">
        <v>84</v>
      </c>
      <c r="C67" s="386"/>
      <c r="D67" s="121"/>
      <c r="E67" s="121"/>
    </row>
  </sheetData>
  <sheetProtection sheet="1"/>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5">
    <cfRule type="cellIs" priority="7" dxfId="4" operator="greaterThan" stopIfTrue="1">
      <formula>$C$47*0.1</formula>
    </cfRule>
  </conditionalFormatting>
  <conditionalFormatting sqref="D45">
    <cfRule type="cellIs" priority="8" dxfId="4" operator="greaterThan" stopIfTrue="1">
      <formula>$D$47*0.1</formula>
    </cfRule>
  </conditionalFormatting>
  <conditionalFormatting sqref="E45">
    <cfRule type="cellIs" priority="9" dxfId="4" operator="greaterThan" stopIfTrue="1">
      <formula>$E$47*0.1</formula>
    </cfRule>
  </conditionalFormatting>
  <conditionalFormatting sqref="C59">
    <cfRule type="cellIs" priority="10" dxfId="4" operator="greaterThan" stopIfTrue="1">
      <formula>$C$61*0.1</formula>
    </cfRule>
  </conditionalFormatting>
  <conditionalFormatting sqref="D59">
    <cfRule type="cellIs" priority="11" dxfId="4" operator="greaterThan" stopIfTrue="1">
      <formula>$D$61*0.1</formula>
    </cfRule>
  </conditionalFormatting>
  <conditionalFormatting sqref="E59">
    <cfRule type="cellIs" priority="12" dxfId="4" operator="greaterThan" stopIfTrue="1">
      <formula>$E$61*0.1</formula>
    </cfRule>
  </conditionalFormatting>
  <conditionalFormatting sqref="C27">
    <cfRule type="cellIs" priority="13" dxfId="4" operator="greaterThan" stopIfTrue="1">
      <formula>$C$29*0.1</formula>
    </cfRule>
  </conditionalFormatting>
  <conditionalFormatting sqref="D27">
    <cfRule type="cellIs" priority="14" dxfId="4" operator="greaterThan" stopIfTrue="1">
      <formula>$D$29*0.1</formula>
    </cfRule>
  </conditionalFormatting>
  <conditionalFormatting sqref="E27">
    <cfRule type="cellIs" priority="15" dxfId="4" operator="greaterThan" stopIfTrue="1">
      <formula>$E$29*0.1</formula>
    </cfRule>
  </conditionalFormatting>
  <conditionalFormatting sqref="C30 C62 E30 E62">
    <cfRule type="cellIs" priority="16" dxfId="1" operator="lessThan" stopIfTrue="1">
      <formula>0</formula>
    </cfRule>
  </conditionalFormatting>
  <conditionalFormatting sqref="D29">
    <cfRule type="cellIs" priority="17" dxfId="1" operator="greaterThan" stopIfTrue="1">
      <formula>$D$31</formula>
    </cfRule>
  </conditionalFormatting>
  <conditionalFormatting sqref="C61">
    <cfRule type="cellIs" priority="18" dxfId="1" operator="greaterThan" stopIfTrue="1">
      <formula>$C$63</formula>
    </cfRule>
  </conditionalFormatting>
  <conditionalFormatting sqref="D61">
    <cfRule type="cellIs" priority="19" dxfId="1" operator="greaterThan" stopIfTrue="1">
      <formula>$D$63</formula>
    </cfRule>
  </conditionalFormatting>
  <conditionalFormatting sqref="D30">
    <cfRule type="cellIs" priority="3" dxfId="0" operator="lessThan" stopIfTrue="1">
      <formula>0</formula>
    </cfRule>
  </conditionalFormatting>
  <conditionalFormatting sqref="D62">
    <cfRule type="cellIs" priority="2" dxfId="0" operator="lessThan" stopIfTrue="1">
      <formula>0</formula>
    </cfRule>
  </conditionalFormatting>
  <conditionalFormatting sqref="C29">
    <cfRule type="cellIs" priority="1" dxfId="0" operator="greaterThan" stopIfTrue="1">
      <formula>$C$31</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
</oddHeader>
    <oddFooter>&amp;Lrevised 10/2/09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1">
      <selection activeCell="D25" sqref="D25"/>
    </sheetView>
  </sheetViews>
  <sheetFormatPr defaultColWidth="8.8984375" defaultRowHeight="15"/>
  <cols>
    <col min="1" max="1" width="30.59765625" style="122" customWidth="1"/>
    <col min="2" max="2" width="9.59765625" style="229" customWidth="1"/>
    <col min="3" max="4" width="15.796875" style="122" customWidth="1"/>
    <col min="5" max="5" width="16.296875" style="122" customWidth="1"/>
    <col min="6" max="16384" width="8.8984375" style="122" customWidth="1"/>
  </cols>
  <sheetData>
    <row r="1" spans="1:5" ht="15.75">
      <c r="A1" s="283" t="str">
        <f>(inputPrYr!D2)</f>
        <v>CITY OF BOGUE</v>
      </c>
      <c r="B1" s="272"/>
      <c r="C1" s="121"/>
      <c r="D1" s="121"/>
      <c r="E1" s="225">
        <f>inputPrYr!$C$5</f>
        <v>2014</v>
      </c>
    </row>
    <row r="2" spans="1:5" ht="15.75">
      <c r="A2" s="121"/>
      <c r="B2" s="155"/>
      <c r="C2" s="121"/>
      <c r="D2" s="121"/>
      <c r="E2" s="300"/>
    </row>
    <row r="3" spans="1:5" ht="15.75">
      <c r="A3" s="140" t="s">
        <v>134</v>
      </c>
      <c r="B3" s="440"/>
      <c r="C3" s="423"/>
      <c r="D3" s="423"/>
      <c r="E3" s="424"/>
    </row>
    <row r="4" spans="1:5" ht="15.75">
      <c r="A4" s="128" t="s">
        <v>71</v>
      </c>
      <c r="B4" s="158"/>
      <c r="C4" s="425" t="s">
        <v>89</v>
      </c>
      <c r="D4" s="239" t="s">
        <v>219</v>
      </c>
      <c r="E4" s="239" t="s">
        <v>220</v>
      </c>
    </row>
    <row r="5" spans="1:5" ht="15.75">
      <c r="A5" s="272">
        <f>(inputPrYr!B30)</f>
        <v>0</v>
      </c>
      <c r="B5" s="272"/>
      <c r="C5" s="426">
        <f>inputPrYr!$C$5-2</f>
        <v>2012</v>
      </c>
      <c r="D5" s="426">
        <f>inputPrYr!$C$5-1</f>
        <v>2013</v>
      </c>
      <c r="E5" s="311">
        <f>inputPrYr!$C$5</f>
        <v>2014</v>
      </c>
    </row>
    <row r="6" spans="1:5" ht="15.75">
      <c r="A6" s="243" t="s">
        <v>188</v>
      </c>
      <c r="B6" s="361"/>
      <c r="C6" s="427"/>
      <c r="D6" s="254">
        <f>C30</f>
        <v>0</v>
      </c>
      <c r="E6" s="254">
        <f>D30</f>
        <v>0</v>
      </c>
    </row>
    <row r="7" spans="1:5" ht="15.75">
      <c r="A7" s="363" t="s">
        <v>190</v>
      </c>
      <c r="B7" s="361"/>
      <c r="C7" s="428"/>
      <c r="D7" s="167"/>
      <c r="E7" s="167"/>
    </row>
    <row r="8" spans="1:5" ht="15.75">
      <c r="A8" s="379"/>
      <c r="B8" s="370"/>
      <c r="C8" s="429"/>
      <c r="D8" s="430"/>
      <c r="E8" s="430"/>
    </row>
    <row r="9" spans="1:5" ht="15.75">
      <c r="A9" s="379"/>
      <c r="B9" s="370"/>
      <c r="C9" s="429"/>
      <c r="D9" s="430"/>
      <c r="E9" s="430"/>
    </row>
    <row r="10" spans="1:5" ht="15.75">
      <c r="A10" s="431"/>
      <c r="B10" s="370"/>
      <c r="C10" s="432"/>
      <c r="D10" s="190"/>
      <c r="E10" s="190"/>
    </row>
    <row r="11" spans="1:5" ht="15.75">
      <c r="A11" s="379"/>
      <c r="B11" s="370"/>
      <c r="C11" s="429"/>
      <c r="D11" s="430"/>
      <c r="E11" s="430"/>
    </row>
    <row r="12" spans="1:5" ht="15.75">
      <c r="A12" s="433" t="s">
        <v>77</v>
      </c>
      <c r="B12" s="370"/>
      <c r="C12" s="429"/>
      <c r="D12" s="430"/>
      <c r="E12" s="430"/>
    </row>
    <row r="13" spans="1:5" ht="15.75">
      <c r="A13" s="441" t="s">
        <v>167</v>
      </c>
      <c r="B13" s="361"/>
      <c r="C13" s="429"/>
      <c r="D13" s="430"/>
      <c r="E13" s="430"/>
    </row>
    <row r="14" spans="1:5" ht="15.75">
      <c r="A14" s="441" t="s">
        <v>702</v>
      </c>
      <c r="B14" s="361"/>
      <c r="C14" s="434">
        <f>IF(C15*0.1&lt;C13,"Exceed 10% Rule","")</f>
      </c>
      <c r="D14" s="434">
        <f>IF(D15*0.1&lt;D13,"Exceed 10% Rule","")</f>
      </c>
      <c r="E14" s="434">
        <f>IF(E15*0.1&lt;E13,"Exceed 10% Rule","")</f>
      </c>
    </row>
    <row r="15" spans="1:5" ht="15.75">
      <c r="A15" s="376" t="s">
        <v>78</v>
      </c>
      <c r="B15" s="361"/>
      <c r="C15" s="435">
        <f>SUM(C8:C13)</f>
        <v>0</v>
      </c>
      <c r="D15" s="436">
        <f>SUM(D8:D13)</f>
        <v>0</v>
      </c>
      <c r="E15" s="436">
        <f>SUM(E8:E13)</f>
        <v>0</v>
      </c>
    </row>
    <row r="16" spans="1:5" ht="15.75">
      <c r="A16" s="376" t="s">
        <v>79</v>
      </c>
      <c r="B16" s="361"/>
      <c r="C16" s="437">
        <f>C6+C15</f>
        <v>0</v>
      </c>
      <c r="D16" s="438">
        <f>D6+D15</f>
        <v>0</v>
      </c>
      <c r="E16" s="438">
        <f>E6+E15</f>
        <v>0</v>
      </c>
    </row>
    <row r="17" spans="1:5" ht="15.75">
      <c r="A17" s="243" t="s">
        <v>80</v>
      </c>
      <c r="B17" s="361"/>
      <c r="C17" s="428"/>
      <c r="D17" s="167"/>
      <c r="E17" s="167"/>
    </row>
    <row r="18" spans="1:5" ht="15.75">
      <c r="A18" s="379" t="s">
        <v>200</v>
      </c>
      <c r="B18" s="370"/>
      <c r="C18" s="429"/>
      <c r="D18" s="430"/>
      <c r="E18" s="430"/>
    </row>
    <row r="19" spans="1:5" ht="15.75">
      <c r="A19" s="379" t="s">
        <v>203</v>
      </c>
      <c r="B19" s="370"/>
      <c r="C19" s="429"/>
      <c r="D19" s="430"/>
      <c r="E19" s="430"/>
    </row>
    <row r="20" spans="1:5" ht="15.75">
      <c r="A20" s="379"/>
      <c r="B20" s="370"/>
      <c r="C20" s="432"/>
      <c r="D20" s="190"/>
      <c r="E20" s="190"/>
    </row>
    <row r="21" spans="1:5" ht="15.75">
      <c r="A21" s="379"/>
      <c r="B21" s="370"/>
      <c r="C21" s="429"/>
      <c r="D21" s="430"/>
      <c r="E21" s="430"/>
    </row>
    <row r="22" spans="1:5" ht="15.75">
      <c r="A22" s="379"/>
      <c r="B22" s="370"/>
      <c r="C22" s="429"/>
      <c r="D22" s="430"/>
      <c r="E22" s="430"/>
    </row>
    <row r="23" spans="1:5" ht="15.75">
      <c r="A23" s="379"/>
      <c r="B23" s="370"/>
      <c r="C23" s="429"/>
      <c r="D23" s="430"/>
      <c r="E23" s="430"/>
    </row>
    <row r="24" spans="1:5" ht="15.75">
      <c r="A24" s="379"/>
      <c r="B24" s="370"/>
      <c r="C24" s="429"/>
      <c r="D24" s="430"/>
      <c r="E24" s="430"/>
    </row>
    <row r="25" spans="1:5" ht="15.75">
      <c r="A25" s="379"/>
      <c r="B25" s="370"/>
      <c r="C25" s="429"/>
      <c r="D25" s="430"/>
      <c r="E25" s="430"/>
    </row>
    <row r="26" spans="1:5" ht="15.75">
      <c r="A26" s="379"/>
      <c r="B26" s="370"/>
      <c r="C26" s="429"/>
      <c r="D26" s="430"/>
      <c r="E26" s="430"/>
    </row>
    <row r="27" spans="1:5" ht="15.75">
      <c r="A27" s="257" t="s">
        <v>167</v>
      </c>
      <c r="B27" s="361"/>
      <c r="C27" s="429"/>
      <c r="D27" s="430"/>
      <c r="E27" s="430"/>
    </row>
    <row r="28" spans="1:5" ht="15.75">
      <c r="A28" s="257" t="s">
        <v>703</v>
      </c>
      <c r="B28" s="361"/>
      <c r="C28" s="434">
        <f>IF(C29*0.1&lt;C27,"Exceed 10% Rule","")</f>
      </c>
      <c r="D28" s="434">
        <f>IF(D29*0.1&lt;D27,"Exceed 10% Rule","")</f>
      </c>
      <c r="E28" s="434">
        <f>IF(E29*0.1&lt;E27,"Exceed 10% Rule","")</f>
      </c>
    </row>
    <row r="29" spans="1:5" ht="15.75">
      <c r="A29" s="376" t="s">
        <v>81</v>
      </c>
      <c r="B29" s="361"/>
      <c r="C29" s="435">
        <f>SUM(C18:C27)</f>
        <v>0</v>
      </c>
      <c r="D29" s="436">
        <f>SUM(D18:D27)</f>
        <v>0</v>
      </c>
      <c r="E29" s="436">
        <f>SUM(E18:E27)</f>
        <v>0</v>
      </c>
    </row>
    <row r="30" spans="1:5" ht="15.75">
      <c r="A30" s="243" t="s">
        <v>189</v>
      </c>
      <c r="B30" s="361"/>
      <c r="C30" s="439">
        <f>C16-C29</f>
        <v>0</v>
      </c>
      <c r="D30" s="153">
        <f>D16-D29</f>
        <v>0</v>
      </c>
      <c r="E30" s="153">
        <f>E16-E29</f>
        <v>0</v>
      </c>
    </row>
    <row r="31" spans="1:5" ht="15.75">
      <c r="A31" s="292" t="str">
        <f>CONCATENATE("",E1-2,"/",E1-1," Budget Authority Amount:")</f>
        <v>2012/2013 Budget Authority Amount:</v>
      </c>
      <c r="B31" s="380"/>
      <c r="C31" s="380">
        <f>inputOth!B64</f>
        <v>0</v>
      </c>
      <c r="D31" s="380">
        <f>inputPrYr!D30</f>
        <v>0</v>
      </c>
      <c r="E31" s="461">
        <f>IF(E30&lt;0,"See Tab E","")</f>
      </c>
    </row>
    <row r="32" spans="1:5" ht="15.75">
      <c r="A32" s="292"/>
      <c r="B32" s="382"/>
      <c r="C32" s="382">
        <f>IF(C29&gt;C31,"See Tab A","")</f>
      </c>
      <c r="D32" s="382">
        <f>IF(D29&gt;D31,"See Tab C","")</f>
      </c>
      <c r="E32" s="290"/>
    </row>
    <row r="33" spans="1:5" ht="15.75">
      <c r="A33" s="292"/>
      <c r="B33" s="382"/>
      <c r="C33" s="382">
        <f>IF(C30&lt;0,"See Tab B","")</f>
      </c>
      <c r="D33" s="382">
        <f>IF(D30&lt;0,"See Tab D","")</f>
      </c>
      <c r="E33" s="290"/>
    </row>
    <row r="34" spans="1:5" ht="15.75">
      <c r="A34" s="121"/>
      <c r="B34" s="158"/>
      <c r="C34" s="290"/>
      <c r="D34" s="290"/>
      <c r="E34" s="290"/>
    </row>
    <row r="35" spans="1:5" ht="15.75">
      <c r="A35" s="121"/>
      <c r="B35" s="158"/>
      <c r="C35" s="290"/>
      <c r="D35" s="290"/>
      <c r="E35" s="290"/>
    </row>
    <row r="36" spans="1:5" ht="15.75">
      <c r="A36" s="128" t="s">
        <v>71</v>
      </c>
      <c r="B36" s="158"/>
      <c r="C36" s="425" t="s">
        <v>89</v>
      </c>
      <c r="D36" s="239" t="s">
        <v>219</v>
      </c>
      <c r="E36" s="239" t="s">
        <v>220</v>
      </c>
    </row>
    <row r="37" spans="1:5" ht="15.75">
      <c r="A37" s="442">
        <f>(inputPrYr!B31)</f>
        <v>0</v>
      </c>
      <c r="B37" s="150"/>
      <c r="C37" s="426">
        <f>inputPrYr!$C$5-2</f>
        <v>2012</v>
      </c>
      <c r="D37" s="426">
        <f>inputPrYr!$C$5-1</f>
        <v>2013</v>
      </c>
      <c r="E37" s="311">
        <f>inputPrYr!$C$5</f>
        <v>2014</v>
      </c>
    </row>
    <row r="38" spans="1:5" ht="15.75">
      <c r="A38" s="243" t="s">
        <v>188</v>
      </c>
      <c r="B38" s="361"/>
      <c r="C38" s="427"/>
      <c r="D38" s="254">
        <f>C62</f>
        <v>0</v>
      </c>
      <c r="E38" s="254">
        <f>D62</f>
        <v>0</v>
      </c>
    </row>
    <row r="39" spans="1:5" ht="15.75">
      <c r="A39" s="243" t="s">
        <v>190</v>
      </c>
      <c r="B39" s="361"/>
      <c r="C39" s="428"/>
      <c r="D39" s="167"/>
      <c r="E39" s="167"/>
    </row>
    <row r="40" spans="1:5" ht="15.75">
      <c r="A40" s="379"/>
      <c r="B40" s="370"/>
      <c r="C40" s="429"/>
      <c r="D40" s="430"/>
      <c r="E40" s="430"/>
    </row>
    <row r="41" spans="1:5" ht="15.75">
      <c r="A41" s="379"/>
      <c r="B41" s="370"/>
      <c r="C41" s="429"/>
      <c r="D41" s="430"/>
      <c r="E41" s="430"/>
    </row>
    <row r="42" spans="1:5" ht="15.75">
      <c r="A42" s="431"/>
      <c r="B42" s="370"/>
      <c r="C42" s="432"/>
      <c r="D42" s="190"/>
      <c r="E42" s="190"/>
    </row>
    <row r="43" spans="1:5" ht="15.75">
      <c r="A43" s="379"/>
      <c r="B43" s="370"/>
      <c r="C43" s="429"/>
      <c r="D43" s="430"/>
      <c r="E43" s="430"/>
    </row>
    <row r="44" spans="1:5" ht="15.75">
      <c r="A44" s="433" t="s">
        <v>77</v>
      </c>
      <c r="B44" s="370"/>
      <c r="C44" s="429"/>
      <c r="D44" s="430"/>
      <c r="E44" s="430"/>
    </row>
    <row r="45" spans="1:5" ht="15.75">
      <c r="A45" s="441" t="s">
        <v>167</v>
      </c>
      <c r="B45" s="361"/>
      <c r="C45" s="429"/>
      <c r="D45" s="430"/>
      <c r="E45" s="430"/>
    </row>
    <row r="46" spans="1:5" ht="15.75">
      <c r="A46" s="441" t="s">
        <v>702</v>
      </c>
      <c r="B46" s="361"/>
      <c r="C46" s="434">
        <f>IF(C47*0.1&lt;C45,"Exceed 10% Rule","")</f>
      </c>
      <c r="D46" s="434">
        <f>IF(D47*0.1&lt;D45,"Exceed 10% Rule","")</f>
      </c>
      <c r="E46" s="434">
        <f>IF(E47*0.1&lt;E45,"Exceed 10% Rule","")</f>
      </c>
    </row>
    <row r="47" spans="1:5" ht="15.75">
      <c r="A47" s="376" t="s">
        <v>78</v>
      </c>
      <c r="B47" s="361"/>
      <c r="C47" s="435">
        <f>SUM(C40:C45)</f>
        <v>0</v>
      </c>
      <c r="D47" s="436">
        <f>SUM(D40:D45)</f>
        <v>0</v>
      </c>
      <c r="E47" s="436">
        <f>SUM(E40:E45)</f>
        <v>0</v>
      </c>
    </row>
    <row r="48" spans="1:5" ht="15.75">
      <c r="A48" s="376" t="s">
        <v>79</v>
      </c>
      <c r="B48" s="361"/>
      <c r="C48" s="437">
        <f>C38+C47</f>
        <v>0</v>
      </c>
      <c r="D48" s="438">
        <f>D38+D47</f>
        <v>0</v>
      </c>
      <c r="E48" s="438">
        <f>E38+E47</f>
        <v>0</v>
      </c>
    </row>
    <row r="49" spans="1:5" ht="15.75">
      <c r="A49" s="243" t="s">
        <v>80</v>
      </c>
      <c r="B49" s="361"/>
      <c r="C49" s="428"/>
      <c r="D49" s="167"/>
      <c r="E49" s="167"/>
    </row>
    <row r="50" spans="1:5" ht="15.75">
      <c r="A50" s="379" t="s">
        <v>200</v>
      </c>
      <c r="B50" s="370"/>
      <c r="C50" s="429"/>
      <c r="D50" s="430"/>
      <c r="E50" s="430"/>
    </row>
    <row r="51" spans="1:5" ht="15.75">
      <c r="A51" s="379" t="s">
        <v>201</v>
      </c>
      <c r="B51" s="370"/>
      <c r="C51" s="429"/>
      <c r="D51" s="430"/>
      <c r="E51" s="430"/>
    </row>
    <row r="52" spans="1:5" ht="15.75">
      <c r="A52" s="379"/>
      <c r="B52" s="370"/>
      <c r="C52" s="429"/>
      <c r="D52" s="430"/>
      <c r="E52" s="430"/>
    </row>
    <row r="53" spans="1:5" ht="15.75">
      <c r="A53" s="379"/>
      <c r="B53" s="370"/>
      <c r="C53" s="429"/>
      <c r="D53" s="430"/>
      <c r="E53" s="430"/>
    </row>
    <row r="54" spans="1:5" ht="15.75">
      <c r="A54" s="379"/>
      <c r="B54" s="370"/>
      <c r="C54" s="429"/>
      <c r="D54" s="430"/>
      <c r="E54" s="430"/>
    </row>
    <row r="55" spans="1:5" ht="15.75">
      <c r="A55" s="379"/>
      <c r="B55" s="370"/>
      <c r="C55" s="429"/>
      <c r="D55" s="430"/>
      <c r="E55" s="430"/>
    </row>
    <row r="56" spans="1:5" ht="15.75">
      <c r="A56" s="379"/>
      <c r="B56" s="370"/>
      <c r="C56" s="432"/>
      <c r="D56" s="190"/>
      <c r="E56" s="190"/>
    </row>
    <row r="57" spans="1:5" ht="15.75">
      <c r="A57" s="379"/>
      <c r="B57" s="370"/>
      <c r="C57" s="429"/>
      <c r="D57" s="190"/>
      <c r="E57" s="190"/>
    </row>
    <row r="58" spans="1:5" ht="15.75">
      <c r="A58" s="379"/>
      <c r="B58" s="370"/>
      <c r="C58" s="429"/>
      <c r="D58" s="190"/>
      <c r="E58" s="190"/>
    </row>
    <row r="59" spans="1:5" ht="15.75">
      <c r="A59" s="257" t="s">
        <v>167</v>
      </c>
      <c r="B59" s="361"/>
      <c r="C59" s="429"/>
      <c r="D59" s="190"/>
      <c r="E59" s="190"/>
    </row>
    <row r="60" spans="1:5" ht="15.75">
      <c r="A60" s="257" t="s">
        <v>703</v>
      </c>
      <c r="B60" s="361"/>
      <c r="C60" s="434">
        <f>IF(C61*0.1&lt;C59,"Exceed 10% Rule","")</f>
      </c>
      <c r="D60" s="434">
        <f>IF(D61*0.1&lt;D59,"Exceed 10% Rule","")</f>
      </c>
      <c r="E60" s="434">
        <f>IF(E61*0.1&lt;E59,"Exceed 10% Rule","")</f>
      </c>
    </row>
    <row r="61" spans="1:5" ht="15.75">
      <c r="A61" s="376" t="s">
        <v>81</v>
      </c>
      <c r="B61" s="361"/>
      <c r="C61" s="435">
        <f>SUM(C50:C59)</f>
        <v>0</v>
      </c>
      <c r="D61" s="436">
        <f>SUM(D50:D59)</f>
        <v>0</v>
      </c>
      <c r="E61" s="436">
        <f>SUM(E50:E59)</f>
        <v>0</v>
      </c>
    </row>
    <row r="62" spans="1:5" ht="15.75">
      <c r="A62" s="243" t="s">
        <v>189</v>
      </c>
      <c r="B62" s="361"/>
      <c r="C62" s="439">
        <f>C48-C61</f>
        <v>0</v>
      </c>
      <c r="D62" s="153">
        <f>D48-D61</f>
        <v>0</v>
      </c>
      <c r="E62" s="153">
        <f>E48-E61</f>
        <v>0</v>
      </c>
    </row>
    <row r="63" spans="1:5" ht="15.75">
      <c r="A63" s="292" t="str">
        <f>CONCATENATE("",E1-2,"/",E1-1," Budget Authority Amount:")</f>
        <v>2012/2013 Budget Authority Amount:</v>
      </c>
      <c r="B63" s="380"/>
      <c r="C63" s="380">
        <f>inputOth!B65</f>
        <v>0</v>
      </c>
      <c r="D63" s="380">
        <f>inputPrYr!D31</f>
        <v>0</v>
      </c>
      <c r="E63" s="461">
        <f>IF(E62&lt;0,"See Tab E","")</f>
      </c>
    </row>
    <row r="64" spans="1:5" ht="15.75">
      <c r="A64" s="292"/>
      <c r="B64" s="382"/>
      <c r="C64" s="382">
        <f>IF(C61&gt;C63,"See Tab A","")</f>
      </c>
      <c r="D64" s="382">
        <f>IF(D61&gt;D63,"See Tab C","")</f>
      </c>
      <c r="E64" s="121"/>
    </row>
    <row r="65" spans="1:5" ht="15.75">
      <c r="A65" s="292"/>
      <c r="B65" s="382"/>
      <c r="C65" s="382">
        <f>IF(C62&lt;0,"See Tab B","")</f>
      </c>
      <c r="D65" s="382">
        <f>IF(D62&lt;0,"See Tab D","")</f>
      </c>
      <c r="E65" s="121"/>
    </row>
    <row r="66" spans="1:5" ht="15.75">
      <c r="A66" s="121"/>
      <c r="B66" s="155"/>
      <c r="C66" s="121"/>
      <c r="D66" s="121"/>
      <c r="E66" s="121"/>
    </row>
    <row r="67" spans="1:5" ht="15.75">
      <c r="A67" s="300"/>
      <c r="B67" s="300" t="s">
        <v>84</v>
      </c>
      <c r="C67" s="386"/>
      <c r="D67" s="121"/>
      <c r="E67" s="121"/>
    </row>
  </sheetData>
  <sheetProtection sheet="1"/>
  <conditionalFormatting sqref="C45">
    <cfRule type="cellIs" priority="3" dxfId="4" operator="greaterThan" stopIfTrue="1">
      <formula>$C$47*0.1</formula>
    </cfRule>
  </conditionalFormatting>
  <conditionalFormatting sqref="D45">
    <cfRule type="cellIs" priority="4" dxfId="4" operator="greaterThan" stopIfTrue="1">
      <formula>$D$47*0.1</formula>
    </cfRule>
  </conditionalFormatting>
  <conditionalFormatting sqref="E45">
    <cfRule type="cellIs" priority="5" dxfId="4" operator="greaterThan" stopIfTrue="1">
      <formula>$E$47*0.1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7">
    <cfRule type="cellIs" priority="9" dxfId="4" operator="greaterThan" stopIfTrue="1">
      <formula>$C$29*0.1</formula>
    </cfRule>
  </conditionalFormatting>
  <conditionalFormatting sqref="D27">
    <cfRule type="cellIs" priority="10" dxfId="4" operator="greaterThan" stopIfTrue="1">
      <formula>$D$29*0.1</formula>
    </cfRule>
  </conditionalFormatting>
  <conditionalFormatting sqref="E27">
    <cfRule type="cellIs" priority="11" dxfId="4" operator="greaterThan" stopIfTrue="1">
      <formula>$E$29*0.1</formula>
    </cfRule>
  </conditionalFormatting>
  <conditionalFormatting sqref="C59">
    <cfRule type="cellIs" priority="12" dxfId="4" operator="greaterThan" stopIfTrue="1">
      <formula>$C$61*0.1</formula>
    </cfRule>
  </conditionalFormatting>
  <conditionalFormatting sqref="D59">
    <cfRule type="cellIs" priority="13" dxfId="4" operator="greaterThan" stopIfTrue="1">
      <formula>$D$61*0.1</formula>
    </cfRule>
  </conditionalFormatting>
  <conditionalFormatting sqref="E59">
    <cfRule type="cellIs" priority="14" dxfId="4" operator="greaterThan" stopIfTrue="1">
      <formula>$E$61*0.1</formula>
    </cfRule>
  </conditionalFormatting>
  <conditionalFormatting sqref="C30 E30 E62">
    <cfRule type="cellIs" priority="15" dxfId="1" operator="lessThan" stopIfTrue="1">
      <formula>0</formula>
    </cfRule>
  </conditionalFormatting>
  <conditionalFormatting sqref="D29">
    <cfRule type="cellIs" priority="16" dxfId="1" operator="greaterThan" stopIfTrue="1">
      <formula>$D$31</formula>
    </cfRule>
  </conditionalFormatting>
  <conditionalFormatting sqref="C29">
    <cfRule type="cellIs" priority="17" dxfId="1" operator="greaterThan" stopIfTrue="1">
      <formula>$C$31</formula>
    </cfRule>
  </conditionalFormatting>
  <conditionalFormatting sqref="C62">
    <cfRule type="cellIs" priority="18" dxfId="1" operator="lessThan" stopIfTrue="1">
      <formula>0</formula>
    </cfRule>
  </conditionalFormatting>
  <conditionalFormatting sqref="C61">
    <cfRule type="cellIs" priority="19" dxfId="1" operator="greaterThan" stopIfTrue="1">
      <formula>$C$63</formula>
    </cfRule>
  </conditionalFormatting>
  <conditionalFormatting sqref="D61">
    <cfRule type="cellIs" priority="20" dxfId="1" operator="greaterThan" stopIfTrue="1">
      <formula>$D$63</formula>
    </cfRule>
  </conditionalFormatting>
  <conditionalFormatting sqref="D30">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
</oddHead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51">
      <selection activeCell="D56" sqref="D56"/>
    </sheetView>
  </sheetViews>
  <sheetFormatPr defaultColWidth="8.8984375" defaultRowHeight="15"/>
  <cols>
    <col min="1" max="1" width="15.796875" style="122" customWidth="1"/>
    <col min="2" max="2" width="20.796875" style="122" customWidth="1"/>
    <col min="3" max="3" width="9.796875" style="122" customWidth="1"/>
    <col min="4" max="4" width="15.09765625" style="122" customWidth="1"/>
    <col min="5" max="5" width="15.796875" style="122" customWidth="1"/>
    <col min="6" max="16384" width="8.8984375" style="122" customWidth="1"/>
  </cols>
  <sheetData>
    <row r="1" spans="1:5" ht="15.75">
      <c r="A1" s="120" t="s">
        <v>34</v>
      </c>
      <c r="B1" s="121"/>
      <c r="C1" s="121"/>
      <c r="D1" s="121"/>
      <c r="E1" s="121"/>
    </row>
    <row r="2" spans="1:5" ht="15.75">
      <c r="A2" s="123" t="s">
        <v>724</v>
      </c>
      <c r="B2" s="121"/>
      <c r="C2" s="121"/>
      <c r="D2" s="124" t="s">
        <v>588</v>
      </c>
      <c r="E2" s="125"/>
    </row>
    <row r="3" spans="1:5" ht="15.75">
      <c r="A3" s="123" t="s">
        <v>725</v>
      </c>
      <c r="B3" s="121"/>
      <c r="C3" s="121"/>
      <c r="D3" s="126" t="s">
        <v>589</v>
      </c>
      <c r="E3" s="127"/>
    </row>
    <row r="4" spans="1:5" ht="15.75">
      <c r="A4" s="128"/>
      <c r="B4" s="121"/>
      <c r="C4" s="121"/>
      <c r="D4" s="129"/>
      <c r="E4" s="121"/>
    </row>
    <row r="5" spans="1:5" ht="15.75">
      <c r="A5" s="123" t="s">
        <v>216</v>
      </c>
      <c r="B5" s="121"/>
      <c r="C5" s="130">
        <v>2014</v>
      </c>
      <c r="D5" s="129"/>
      <c r="E5" s="121"/>
    </row>
    <row r="6" spans="1:5" ht="15.75">
      <c r="A6" s="121"/>
      <c r="B6" s="121"/>
      <c r="C6" s="121"/>
      <c r="D6" s="121"/>
      <c r="E6" s="121"/>
    </row>
    <row r="7" spans="1:5" ht="15.75">
      <c r="A7" s="131" t="s">
        <v>261</v>
      </c>
      <c r="B7" s="132"/>
      <c r="C7" s="132"/>
      <c r="D7" s="132"/>
      <c r="E7" s="132"/>
    </row>
    <row r="8" spans="1:5" ht="15.75">
      <c r="A8" s="131" t="s">
        <v>260</v>
      </c>
      <c r="B8" s="132"/>
      <c r="C8" s="132"/>
      <c r="D8" s="132"/>
      <c r="E8" s="132"/>
    </row>
    <row r="9" spans="1:5" ht="15.75">
      <c r="A9" s="133"/>
      <c r="B9" s="132"/>
      <c r="C9" s="132"/>
      <c r="D9" s="132"/>
      <c r="E9" s="132"/>
    </row>
    <row r="10" spans="1:5" ht="15.75">
      <c r="A10" s="531" t="s">
        <v>662</v>
      </c>
      <c r="B10" s="532"/>
      <c r="C10" s="532"/>
      <c r="D10" s="532"/>
      <c r="E10" s="532"/>
    </row>
    <row r="11" spans="1:5" ht="15.75">
      <c r="A11" s="133"/>
      <c r="B11" s="132"/>
      <c r="C11" s="132"/>
      <c r="D11" s="132"/>
      <c r="E11" s="132"/>
    </row>
    <row r="12" spans="1:5" ht="15.75">
      <c r="A12" s="135" t="s">
        <v>663</v>
      </c>
      <c r="B12" s="136"/>
      <c r="C12" s="121"/>
      <c r="D12" s="121"/>
      <c r="E12" s="121"/>
    </row>
    <row r="13" spans="1:5" ht="15.75">
      <c r="A13" s="137" t="str">
        <f>CONCATENATE("the ",C5-1," Budget, Certificate Page:")</f>
        <v>the 2013 Budget, Certificate Page:</v>
      </c>
      <c r="B13" s="138"/>
      <c r="C13" s="139"/>
      <c r="D13" s="121"/>
      <c r="E13" s="121"/>
    </row>
    <row r="14" spans="1:5" ht="15.75">
      <c r="A14" s="137" t="s">
        <v>259</v>
      </c>
      <c r="B14" s="138"/>
      <c r="C14" s="139"/>
      <c r="D14" s="121"/>
      <c r="E14" s="121"/>
    </row>
    <row r="15" spans="1:5" ht="15.75">
      <c r="A15" s="140"/>
      <c r="B15" s="121"/>
      <c r="C15" s="121"/>
      <c r="D15" s="141">
        <f>$C$5-1</f>
        <v>2013</v>
      </c>
      <c r="E15" s="141">
        <f>$C$5-2</f>
        <v>2012</v>
      </c>
    </row>
    <row r="16" spans="1:5" ht="15.75">
      <c r="A16" s="128" t="s">
        <v>35</v>
      </c>
      <c r="B16" s="121"/>
      <c r="C16" s="142" t="s">
        <v>36</v>
      </c>
      <c r="D16" s="143" t="s">
        <v>258</v>
      </c>
      <c r="E16" s="143" t="s">
        <v>18</v>
      </c>
    </row>
    <row r="17" spans="1:5" ht="15.75">
      <c r="A17" s="121"/>
      <c r="B17" s="144" t="s">
        <v>37</v>
      </c>
      <c r="C17" s="252" t="s">
        <v>193</v>
      </c>
      <c r="D17" s="146">
        <v>76600</v>
      </c>
      <c r="E17" s="146">
        <v>34421</v>
      </c>
    </row>
    <row r="18" spans="1:5" ht="15.75">
      <c r="A18" s="121"/>
      <c r="B18" s="144" t="s">
        <v>11</v>
      </c>
      <c r="C18" s="252" t="s">
        <v>218</v>
      </c>
      <c r="D18" s="146"/>
      <c r="E18" s="146"/>
    </row>
    <row r="19" spans="1:5" ht="15.75">
      <c r="A19" s="128" t="s">
        <v>38</v>
      </c>
      <c r="B19" s="121"/>
      <c r="C19" s="121"/>
      <c r="D19" s="147"/>
      <c r="E19" s="147"/>
    </row>
    <row r="20" spans="1:5" ht="15.75">
      <c r="A20" s="121"/>
      <c r="B20" s="148"/>
      <c r="C20" s="314"/>
      <c r="D20" s="146"/>
      <c r="E20" s="146"/>
    </row>
    <row r="21" spans="1:5" ht="15.75">
      <c r="A21" s="121"/>
      <c r="B21" s="149"/>
      <c r="C21" s="515"/>
      <c r="D21" s="146"/>
      <c r="E21" s="146"/>
    </row>
    <row r="22" spans="1:5" ht="15.75">
      <c r="A22" s="121"/>
      <c r="B22" s="149"/>
      <c r="C22" s="516"/>
      <c r="D22" s="146"/>
      <c r="E22" s="146"/>
    </row>
    <row r="23" spans="1:5" ht="15.75">
      <c r="A23" s="121"/>
      <c r="B23" s="149"/>
      <c r="C23" s="514"/>
      <c r="D23" s="146"/>
      <c r="E23" s="146"/>
    </row>
    <row r="24" spans="1:5" ht="15.75">
      <c r="A24" s="150" t="str">
        <f>CONCATENATE("Total Ad Valorem Tax Levy Funds for ",C5-1," Budgeted Year")</f>
        <v>Total Ad Valorem Tax Levy Funds for 2013 Budgeted Year</v>
      </c>
      <c r="B24" s="151"/>
      <c r="C24" s="151"/>
      <c r="D24" s="152"/>
      <c r="E24" s="153">
        <f>SUM(E17:E23)</f>
        <v>34421</v>
      </c>
    </row>
    <row r="25" spans="1:5" ht="15.75">
      <c r="A25" s="128" t="s">
        <v>39</v>
      </c>
      <c r="B25" s="121"/>
      <c r="C25" s="121"/>
      <c r="D25" s="121"/>
      <c r="E25" s="121"/>
    </row>
    <row r="26" spans="1:5" ht="15.75">
      <c r="A26" s="121"/>
      <c r="B26" s="154" t="s">
        <v>40</v>
      </c>
      <c r="C26" s="155"/>
      <c r="D26" s="146">
        <v>5000</v>
      </c>
      <c r="E26" s="155"/>
    </row>
    <row r="27" spans="1:5" ht="15.75">
      <c r="A27" s="121"/>
      <c r="B27" s="156" t="s">
        <v>591</v>
      </c>
      <c r="C27" s="155"/>
      <c r="D27" s="146">
        <v>102559</v>
      </c>
      <c r="E27" s="155"/>
    </row>
    <row r="28" spans="1:5" ht="15.75">
      <c r="A28" s="121"/>
      <c r="B28" s="156"/>
      <c r="C28" s="155"/>
      <c r="D28" s="146"/>
      <c r="E28" s="155"/>
    </row>
    <row r="29" spans="1:5" ht="15.75">
      <c r="A29" s="121"/>
      <c r="B29" s="156"/>
      <c r="C29" s="155"/>
      <c r="D29" s="146"/>
      <c r="E29" s="155"/>
    </row>
    <row r="30" spans="1:5" ht="15.75">
      <c r="A30" s="121"/>
      <c r="B30" s="156"/>
      <c r="C30" s="155"/>
      <c r="D30" s="146"/>
      <c r="E30" s="155"/>
    </row>
    <row r="31" spans="1:5" ht="15.75">
      <c r="A31" s="121"/>
      <c r="B31" s="156"/>
      <c r="C31" s="155"/>
      <c r="D31" s="146"/>
      <c r="E31" s="155"/>
    </row>
    <row r="32" spans="1:5" ht="15.75">
      <c r="A32" s="121" t="s">
        <v>7</v>
      </c>
      <c r="B32" s="157"/>
      <c r="C32" s="155"/>
      <c r="D32" s="155"/>
      <c r="E32" s="155"/>
    </row>
    <row r="33" spans="1:5" ht="15.75">
      <c r="A33" s="158"/>
      <c r="B33" s="148"/>
      <c r="C33" s="159"/>
      <c r="D33" s="146"/>
      <c r="E33" s="160"/>
    </row>
    <row r="34" spans="1:5" ht="15.75">
      <c r="A34" s="150" t="str">
        <f>CONCATENATE("Total Expenditures for ",C5-1," Budgeted Year")</f>
        <v>Total Expenditures for 2013 Budgeted Year</v>
      </c>
      <c r="B34" s="161"/>
      <c r="C34" s="162"/>
      <c r="D34" s="153">
        <f>SUM(D17+D18,D20:D23,D26:D31,D33)</f>
        <v>184159</v>
      </c>
      <c r="E34" s="160"/>
    </row>
    <row r="35" spans="1:5" ht="15.75">
      <c r="A35" s="158" t="s">
        <v>675</v>
      </c>
      <c r="B35" s="155"/>
      <c r="C35" s="155"/>
      <c r="D35" s="155"/>
      <c r="E35" s="121"/>
    </row>
    <row r="36" spans="1:5" ht="15.75">
      <c r="A36" s="163">
        <v>1</v>
      </c>
      <c r="B36" s="148" t="s">
        <v>592</v>
      </c>
      <c r="C36" s="155"/>
      <c r="D36" s="155"/>
      <c r="E36" s="121"/>
    </row>
    <row r="37" spans="1:5" ht="15.75">
      <c r="A37" s="163">
        <v>2</v>
      </c>
      <c r="B37" s="148" t="s">
        <v>593</v>
      </c>
      <c r="C37" s="155"/>
      <c r="D37" s="155"/>
      <c r="E37" s="121"/>
    </row>
    <row r="38" spans="1:5" ht="15.75">
      <c r="A38" s="163">
        <v>3</v>
      </c>
      <c r="B38" s="148"/>
      <c r="C38" s="155"/>
      <c r="D38" s="155"/>
      <c r="E38" s="121"/>
    </row>
    <row r="39" spans="1:5" ht="15.75">
      <c r="A39" s="163">
        <v>4</v>
      </c>
      <c r="B39" s="148"/>
      <c r="C39" s="155"/>
      <c r="D39" s="155"/>
      <c r="E39" s="121"/>
    </row>
    <row r="40" spans="1:5" ht="15.75">
      <c r="A40" s="163">
        <v>5</v>
      </c>
      <c r="B40" s="148"/>
      <c r="C40" s="155"/>
      <c r="D40" s="155"/>
      <c r="E40" s="121"/>
    </row>
    <row r="41" spans="1:5" ht="15.75">
      <c r="A41" s="164"/>
      <c r="B41" s="155"/>
      <c r="C41" s="155"/>
      <c r="D41" s="155"/>
      <c r="E41" s="121"/>
    </row>
    <row r="42" spans="1:5" ht="18" customHeight="1">
      <c r="A42" s="121"/>
      <c r="B42" s="121"/>
      <c r="C42" s="121"/>
      <c r="D42" s="121"/>
      <c r="E42" s="121"/>
    </row>
    <row r="43" spans="1:5" ht="15.75">
      <c r="A43" s="135" t="s">
        <v>663</v>
      </c>
      <c r="B43" s="136"/>
      <c r="C43" s="121"/>
      <c r="D43" s="165" t="str">
        <f>CONCATENATE("",C5-3," Tax Rate")</f>
        <v>2011 Tax Rate</v>
      </c>
      <c r="E43" s="121"/>
    </row>
    <row r="44" spans="1:5" ht="15.75">
      <c r="A44" s="137" t="str">
        <f>CONCATENATE("the ",C5-1," Budget, Budget Summary Page")</f>
        <v>the 2013 Budget, Budget Summary Page</v>
      </c>
      <c r="B44" s="138"/>
      <c r="C44" s="121"/>
      <c r="D44" s="166" t="str">
        <f>CONCATENATE("(",C5-2," Column)")</f>
        <v>(2012 Column)</v>
      </c>
      <c r="E44" s="121"/>
    </row>
    <row r="45" spans="1:5" ht="15.75">
      <c r="A45" s="121"/>
      <c r="B45" s="167" t="str">
        <f>B17</f>
        <v>General</v>
      </c>
      <c r="C45" s="168"/>
      <c r="D45" s="169">
        <v>84.54</v>
      </c>
      <c r="E45" s="121"/>
    </row>
    <row r="46" spans="1:5" ht="15.75">
      <c r="A46" s="121"/>
      <c r="B46" s="167" t="s">
        <v>217</v>
      </c>
      <c r="C46" s="168"/>
      <c r="D46" s="169">
        <v>0</v>
      </c>
      <c r="E46" s="121"/>
    </row>
    <row r="47" spans="1:5" ht="15.75">
      <c r="A47" s="121"/>
      <c r="B47" s="167">
        <f>B20</f>
        <v>0</v>
      </c>
      <c r="C47" s="145"/>
      <c r="D47" s="169"/>
      <c r="E47" s="121"/>
    </row>
    <row r="48" spans="1:5" ht="15.75">
      <c r="A48" s="121"/>
      <c r="B48" s="167">
        <f>B21</f>
        <v>0</v>
      </c>
      <c r="C48" s="145"/>
      <c r="D48" s="169"/>
      <c r="E48" s="121"/>
    </row>
    <row r="49" spans="1:5" ht="15.75">
      <c r="A49" s="121"/>
      <c r="B49" s="167">
        <f>B22</f>
        <v>0</v>
      </c>
      <c r="C49" s="145"/>
      <c r="D49" s="169"/>
      <c r="E49" s="121"/>
    </row>
    <row r="50" spans="1:5" ht="15.75">
      <c r="A50" s="121"/>
      <c r="B50" s="167">
        <f>B23</f>
        <v>0</v>
      </c>
      <c r="C50" s="145"/>
      <c r="D50" s="169"/>
      <c r="E50" s="121"/>
    </row>
    <row r="51" spans="1:5" ht="15.75">
      <c r="A51" s="150" t="s">
        <v>41</v>
      </c>
      <c r="B51" s="151"/>
      <c r="C51" s="162"/>
      <c r="D51" s="170">
        <f>SUM(D45:D50)</f>
        <v>84.54</v>
      </c>
      <c r="E51" s="121"/>
    </row>
    <row r="52" spans="1:5" ht="15.75">
      <c r="A52" s="121"/>
      <c r="B52" s="121"/>
      <c r="C52" s="121"/>
      <c r="D52" s="121"/>
      <c r="E52" s="121"/>
    </row>
    <row r="53" spans="1:5" ht="15.75">
      <c r="A53" s="171" t="str">
        <f>CONCATENATE("Total Tax Levied (",C5-2," budget column)")</f>
        <v>Total Tax Levied (2012 budget column)</v>
      </c>
      <c r="B53" s="172"/>
      <c r="C53" s="151"/>
      <c r="D53" s="162"/>
      <c r="E53" s="146">
        <v>38013</v>
      </c>
    </row>
    <row r="54" spans="1:5" ht="15.75">
      <c r="A54" s="171" t="str">
        <f>CONCATENATE("Assessed Valuation  (",C5-2," budget column)")</f>
        <v>Assessed Valuation  (2012 budget column)</v>
      </c>
      <c r="B54" s="173"/>
      <c r="C54" s="174"/>
      <c r="D54" s="175"/>
      <c r="E54" s="146">
        <v>550726</v>
      </c>
    </row>
    <row r="55" spans="1:5" ht="15.75">
      <c r="A55" s="121"/>
      <c r="B55" s="121"/>
      <c r="C55" s="121"/>
      <c r="D55" s="139"/>
      <c r="E55" s="147"/>
    </row>
    <row r="56" spans="1:5" ht="15.75">
      <c r="A56" s="176" t="s">
        <v>687</v>
      </c>
      <c r="B56" s="176"/>
      <c r="C56" s="177"/>
      <c r="D56" s="178">
        <f>C5-3</f>
        <v>2011</v>
      </c>
      <c r="E56" s="179">
        <f>C5-2</f>
        <v>2012</v>
      </c>
    </row>
    <row r="57" spans="1:5" ht="15.75">
      <c r="A57" s="180" t="s">
        <v>233</v>
      </c>
      <c r="B57" s="180"/>
      <c r="C57" s="181"/>
      <c r="D57" s="182" t="s">
        <v>594</v>
      </c>
      <c r="E57" s="182" t="s">
        <v>594</v>
      </c>
    </row>
    <row r="58" spans="1:5" ht="15.75">
      <c r="A58" s="183" t="s">
        <v>234</v>
      </c>
      <c r="B58" s="183"/>
      <c r="C58" s="184"/>
      <c r="D58" s="182" t="s">
        <v>594</v>
      </c>
      <c r="E58" s="182" t="s">
        <v>594</v>
      </c>
    </row>
    <row r="59" spans="1:5" ht="15.75">
      <c r="A59" s="183" t="s">
        <v>235</v>
      </c>
      <c r="B59" s="183"/>
      <c r="C59" s="184"/>
      <c r="D59" s="182" t="s">
        <v>594</v>
      </c>
      <c r="E59" s="182" t="s">
        <v>594</v>
      </c>
    </row>
    <row r="60" spans="1:5" ht="15.75">
      <c r="A60" s="183" t="s">
        <v>236</v>
      </c>
      <c r="B60" s="183"/>
      <c r="C60" s="184"/>
      <c r="D60" s="182" t="s">
        <v>594</v>
      </c>
      <c r="E60" s="182" t="s">
        <v>594</v>
      </c>
    </row>
    <row r="67" spans="1:5" s="185" customFormat="1" ht="15.75">
      <c r="A67" s="122"/>
      <c r="B67" s="122"/>
      <c r="C67" s="122"/>
      <c r="D67" s="122"/>
      <c r="E67" s="122"/>
    </row>
  </sheetData>
  <sheetProtection sheet="1"/>
  <mergeCells count="1">
    <mergeCell ref="A10:E10"/>
  </mergeCells>
  <printOptions/>
  <pageMargins left="0.5" right="0.5" top="0.75" bottom="0.5" header="0.5" footer="0.5"/>
  <pageSetup blackAndWhite="1" fitToHeight="1" fitToWidth="1" horizontalDpi="120" verticalDpi="120" orientation="portrait" scale="81" r:id="rId1"/>
  <headerFooter alignWithMargins="0">
    <oddFooter>&amp;Lrevised 10/2/09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C6" sqref="C6"/>
    </sheetView>
  </sheetViews>
  <sheetFormatPr defaultColWidth="8.8984375" defaultRowHeight="15"/>
  <cols>
    <col min="1" max="1" width="30.59765625" style="185" customWidth="1"/>
    <col min="2" max="2" width="9.59765625" style="185" customWidth="1"/>
    <col min="3" max="4" width="15.796875" style="185" customWidth="1"/>
    <col min="5" max="5" width="16.09765625" style="185" customWidth="1"/>
    <col min="6" max="16384" width="8.8984375" style="185" customWidth="1"/>
  </cols>
  <sheetData>
    <row r="1" spans="1:5" ht="15.75">
      <c r="A1" s="283" t="str">
        <f>(inputPrYr!D2)</f>
        <v>CITY OF BOGUE</v>
      </c>
      <c r="B1" s="283"/>
      <c r="C1" s="121"/>
      <c r="D1" s="121"/>
      <c r="E1" s="225">
        <f>inputPrYr!$C$5</f>
        <v>2014</v>
      </c>
    </row>
    <row r="2" spans="1:5" ht="15.75">
      <c r="A2" s="121"/>
      <c r="B2" s="121"/>
      <c r="C2" s="121"/>
      <c r="D2" s="121"/>
      <c r="E2" s="300"/>
    </row>
    <row r="3" spans="1:5" ht="15.75">
      <c r="A3" s="140" t="s">
        <v>134</v>
      </c>
      <c r="B3" s="140"/>
      <c r="C3" s="423"/>
      <c r="D3" s="423"/>
      <c r="E3" s="424"/>
    </row>
    <row r="4" spans="1:5" ht="15.75">
      <c r="A4" s="128" t="s">
        <v>71</v>
      </c>
      <c r="B4" s="128"/>
      <c r="C4" s="425" t="s">
        <v>89</v>
      </c>
      <c r="D4" s="239" t="s">
        <v>219</v>
      </c>
      <c r="E4" s="239" t="s">
        <v>220</v>
      </c>
    </row>
    <row r="5" spans="1:5" ht="15.75">
      <c r="A5" s="272">
        <f>(inputPrYr!B33)</f>
        <v>0</v>
      </c>
      <c r="B5" s="272"/>
      <c r="C5" s="426">
        <f>inputPrYr!$C$5-2</f>
        <v>2012</v>
      </c>
      <c r="D5" s="426">
        <f>inputPrYr!$C$5-1</f>
        <v>2013</v>
      </c>
      <c r="E5" s="311">
        <f>inputPrYr!$C$5</f>
        <v>2014</v>
      </c>
    </row>
    <row r="6" spans="1:5" ht="15.75">
      <c r="A6" s="243" t="s">
        <v>188</v>
      </c>
      <c r="B6" s="361"/>
      <c r="C6" s="427"/>
      <c r="D6" s="254">
        <f>C52</f>
        <v>0</v>
      </c>
      <c r="E6" s="254">
        <f>D52</f>
        <v>0</v>
      </c>
    </row>
    <row r="7" spans="1:5" ht="15.75">
      <c r="A7" s="363" t="s">
        <v>190</v>
      </c>
      <c r="B7" s="361"/>
      <c r="C7" s="428"/>
      <c r="D7" s="167"/>
      <c r="E7" s="167"/>
    </row>
    <row r="8" spans="1:5" ht="15.75">
      <c r="A8" s="379"/>
      <c r="B8" s="370"/>
      <c r="C8" s="429"/>
      <c r="D8" s="430"/>
      <c r="E8" s="430"/>
    </row>
    <row r="9" spans="1:5" ht="15.75">
      <c r="A9" s="379"/>
      <c r="B9" s="370"/>
      <c r="C9" s="429"/>
      <c r="D9" s="430"/>
      <c r="E9" s="430"/>
    </row>
    <row r="10" spans="1:5" ht="15.75">
      <c r="A10" s="379"/>
      <c r="B10" s="370"/>
      <c r="C10" s="429"/>
      <c r="D10" s="430"/>
      <c r="E10" s="430"/>
    </row>
    <row r="11" spans="1:5" ht="15.75">
      <c r="A11" s="379"/>
      <c r="B11" s="370"/>
      <c r="C11" s="429"/>
      <c r="D11" s="430"/>
      <c r="E11" s="430"/>
    </row>
    <row r="12" spans="1:5" ht="15.75">
      <c r="A12" s="379"/>
      <c r="B12" s="370"/>
      <c r="C12" s="429"/>
      <c r="D12" s="430"/>
      <c r="E12" s="430"/>
    </row>
    <row r="13" spans="1:5" ht="15.75">
      <c r="A13" s="379"/>
      <c r="B13" s="370"/>
      <c r="C13" s="429"/>
      <c r="D13" s="430"/>
      <c r="E13" s="430"/>
    </row>
    <row r="14" spans="1:5" ht="15.75">
      <c r="A14" s="431"/>
      <c r="B14" s="370"/>
      <c r="C14" s="432"/>
      <c r="D14" s="190"/>
      <c r="E14" s="190"/>
    </row>
    <row r="15" spans="1:5" ht="15.75">
      <c r="A15" s="379"/>
      <c r="B15" s="370"/>
      <c r="C15" s="429"/>
      <c r="D15" s="430"/>
      <c r="E15" s="430"/>
    </row>
    <row r="16" spans="1:5" ht="15.75">
      <c r="A16" s="379"/>
      <c r="B16" s="370"/>
      <c r="C16" s="429"/>
      <c r="D16" s="430"/>
      <c r="E16" s="430"/>
    </row>
    <row r="17" spans="1:5" ht="15.75">
      <c r="A17" s="379"/>
      <c r="B17" s="370"/>
      <c r="C17" s="429"/>
      <c r="D17" s="430"/>
      <c r="E17" s="430"/>
    </row>
    <row r="18" spans="1:5" ht="15.75">
      <c r="A18" s="433" t="s">
        <v>77</v>
      </c>
      <c r="B18" s="370"/>
      <c r="C18" s="429"/>
      <c r="D18" s="430"/>
      <c r="E18" s="430"/>
    </row>
    <row r="19" spans="1:5" ht="15.75">
      <c r="A19" s="243" t="s">
        <v>167</v>
      </c>
      <c r="B19" s="361"/>
      <c r="C19" s="429"/>
      <c r="D19" s="430"/>
      <c r="E19" s="430"/>
    </row>
    <row r="20" spans="1:5" ht="15.75">
      <c r="A20" s="243" t="s">
        <v>702</v>
      </c>
      <c r="B20" s="361"/>
      <c r="C20" s="434">
        <f>IF(C21*0.1&lt;C19,"Exceed 10% Rule","")</f>
      </c>
      <c r="D20" s="434">
        <f>IF(D21*0.1&lt;D19,"Exceed 10% Rule","")</f>
      </c>
      <c r="E20" s="434">
        <f>IF(E21*0.1&lt;E19,"Exceed 10% Rule","")</f>
      </c>
    </row>
    <row r="21" spans="1:5" ht="15.75">
      <c r="A21" s="376" t="s">
        <v>78</v>
      </c>
      <c r="B21" s="361"/>
      <c r="C21" s="435">
        <f>SUM(C8:C19)</f>
        <v>0</v>
      </c>
      <c r="D21" s="436">
        <f>SUM(D8:D19)</f>
        <v>0</v>
      </c>
      <c r="E21" s="436">
        <f>SUM(E8:E19)</f>
        <v>0</v>
      </c>
    </row>
    <row r="22" spans="1:5" ht="15.75">
      <c r="A22" s="376" t="s">
        <v>79</v>
      </c>
      <c r="B22" s="361"/>
      <c r="C22" s="437">
        <f>C6+C21</f>
        <v>0</v>
      </c>
      <c r="D22" s="438">
        <f>D6+D21</f>
        <v>0</v>
      </c>
      <c r="E22" s="438">
        <f>E6+E21</f>
        <v>0</v>
      </c>
    </row>
    <row r="23" spans="1:5" ht="15.75">
      <c r="A23" s="243" t="s">
        <v>80</v>
      </c>
      <c r="B23" s="361"/>
      <c r="C23" s="428"/>
      <c r="D23" s="167"/>
      <c r="E23" s="167"/>
    </row>
    <row r="24" spans="1:5" ht="15.75">
      <c r="A24" s="379" t="s">
        <v>200</v>
      </c>
      <c r="B24" s="370"/>
      <c r="C24" s="429"/>
      <c r="D24" s="430"/>
      <c r="E24" s="430"/>
    </row>
    <row r="25" spans="1:5" ht="15.75">
      <c r="A25" s="379" t="s">
        <v>203</v>
      </c>
      <c r="B25" s="370"/>
      <c r="C25" s="429"/>
      <c r="D25" s="430"/>
      <c r="E25" s="430"/>
    </row>
    <row r="26" spans="1:5" ht="15.75">
      <c r="A26" s="379"/>
      <c r="B26" s="370"/>
      <c r="C26" s="432"/>
      <c r="D26" s="190"/>
      <c r="E26" s="190"/>
    </row>
    <row r="27" spans="1:5" ht="15.75">
      <c r="A27" s="379"/>
      <c r="B27" s="370"/>
      <c r="C27" s="432"/>
      <c r="D27" s="190"/>
      <c r="E27" s="190"/>
    </row>
    <row r="28" spans="1:5" ht="15.75">
      <c r="A28" s="379"/>
      <c r="B28" s="370"/>
      <c r="C28" s="432"/>
      <c r="D28" s="190"/>
      <c r="E28" s="190"/>
    </row>
    <row r="29" spans="1:5" ht="15.75">
      <c r="A29" s="379"/>
      <c r="B29" s="370"/>
      <c r="C29" s="432"/>
      <c r="D29" s="190"/>
      <c r="E29" s="190"/>
    </row>
    <row r="30" spans="1:5" ht="15.75">
      <c r="A30" s="379"/>
      <c r="B30" s="370"/>
      <c r="C30" s="432"/>
      <c r="D30" s="190"/>
      <c r="E30" s="190"/>
    </row>
    <row r="31" spans="1:5" ht="15.75">
      <c r="A31" s="379"/>
      <c r="B31" s="370"/>
      <c r="C31" s="432"/>
      <c r="D31" s="190"/>
      <c r="E31" s="190"/>
    </row>
    <row r="32" spans="1:5" ht="15.75">
      <c r="A32" s="379"/>
      <c r="B32" s="370"/>
      <c r="C32" s="432"/>
      <c r="D32" s="190"/>
      <c r="E32" s="190"/>
    </row>
    <row r="33" spans="1:5" ht="15.75">
      <c r="A33" s="379"/>
      <c r="B33" s="370"/>
      <c r="C33" s="432"/>
      <c r="D33" s="190"/>
      <c r="E33" s="190"/>
    </row>
    <row r="34" spans="1:5" ht="15.75">
      <c r="A34" s="379"/>
      <c r="B34" s="370"/>
      <c r="C34" s="432"/>
      <c r="D34" s="190"/>
      <c r="E34" s="190"/>
    </row>
    <row r="35" spans="1:5" ht="15.75">
      <c r="A35" s="379"/>
      <c r="B35" s="370"/>
      <c r="C35" s="432"/>
      <c r="D35" s="190"/>
      <c r="E35" s="190"/>
    </row>
    <row r="36" spans="1:5" ht="15.75">
      <c r="A36" s="379"/>
      <c r="B36" s="370"/>
      <c r="C36" s="432"/>
      <c r="D36" s="190"/>
      <c r="E36" s="190"/>
    </row>
    <row r="37" spans="1:5" ht="15.75">
      <c r="A37" s="379"/>
      <c r="B37" s="370"/>
      <c r="C37" s="429"/>
      <c r="D37" s="430"/>
      <c r="E37" s="430"/>
    </row>
    <row r="38" spans="1:5" ht="15.75">
      <c r="A38" s="379"/>
      <c r="B38" s="370"/>
      <c r="C38" s="429"/>
      <c r="D38" s="430"/>
      <c r="E38" s="430"/>
    </row>
    <row r="39" spans="1:5" ht="15.75">
      <c r="A39" s="379"/>
      <c r="B39" s="370"/>
      <c r="C39" s="429"/>
      <c r="D39" s="430"/>
      <c r="E39" s="430"/>
    </row>
    <row r="40" spans="1:5" ht="15.75">
      <c r="A40" s="379"/>
      <c r="B40" s="370"/>
      <c r="C40" s="429"/>
      <c r="D40" s="430"/>
      <c r="E40" s="430"/>
    </row>
    <row r="41" spans="1:5" ht="15.75">
      <c r="A41" s="379"/>
      <c r="B41" s="370"/>
      <c r="C41" s="429"/>
      <c r="D41" s="430"/>
      <c r="E41" s="430"/>
    </row>
    <row r="42" spans="1:5" ht="15.75">
      <c r="A42" s="379"/>
      <c r="B42" s="370"/>
      <c r="C42" s="429"/>
      <c r="D42" s="430"/>
      <c r="E42" s="430"/>
    </row>
    <row r="43" spans="1:5" ht="15.75">
      <c r="A43" s="379"/>
      <c r="B43" s="370"/>
      <c r="C43" s="429"/>
      <c r="D43" s="430"/>
      <c r="E43" s="430"/>
    </row>
    <row r="44" spans="1:5" ht="15.75">
      <c r="A44" s="379"/>
      <c r="B44" s="370"/>
      <c r="C44" s="429"/>
      <c r="D44" s="430"/>
      <c r="E44" s="430"/>
    </row>
    <row r="45" spans="1:5" ht="15.75">
      <c r="A45" s="379"/>
      <c r="B45" s="370"/>
      <c r="C45" s="429"/>
      <c r="D45" s="430"/>
      <c r="E45" s="430"/>
    </row>
    <row r="46" spans="1:5" ht="15.75">
      <c r="A46" s="379"/>
      <c r="B46" s="370"/>
      <c r="C46" s="429"/>
      <c r="D46" s="430"/>
      <c r="E46" s="430"/>
    </row>
    <row r="47" spans="1:5" ht="15.75">
      <c r="A47" s="379"/>
      <c r="B47" s="370"/>
      <c r="C47" s="429"/>
      <c r="D47" s="430"/>
      <c r="E47" s="430"/>
    </row>
    <row r="48" spans="1:5" ht="15.75">
      <c r="A48" s="379"/>
      <c r="B48" s="370"/>
      <c r="C48" s="429"/>
      <c r="D48" s="430"/>
      <c r="E48" s="430"/>
    </row>
    <row r="49" spans="1:5" ht="15.75">
      <c r="A49" s="257" t="s">
        <v>167</v>
      </c>
      <c r="B49" s="361"/>
      <c r="C49" s="429"/>
      <c r="D49" s="430"/>
      <c r="E49" s="430"/>
    </row>
    <row r="50" spans="1:5" ht="15.75">
      <c r="A50" s="257" t="s">
        <v>703</v>
      </c>
      <c r="B50" s="361"/>
      <c r="C50" s="434">
        <f>IF(C51*0.1&lt;C49,"Exceed 10% Rule","")</f>
      </c>
      <c r="D50" s="434">
        <f>IF(D51*0.1&lt;D49,"Exceed 10% Rule","")</f>
      </c>
      <c r="E50" s="434">
        <f>IF(E51*0.1&lt;E49,"Exceed 10% Rule","")</f>
      </c>
    </row>
    <row r="51" spans="1:5" ht="15.75">
      <c r="A51" s="376" t="s">
        <v>81</v>
      </c>
      <c r="B51" s="361"/>
      <c r="C51" s="435">
        <f>SUM(C24:C49)</f>
        <v>0</v>
      </c>
      <c r="D51" s="436">
        <f>SUM(D24:D49)</f>
        <v>0</v>
      </c>
      <c r="E51" s="436">
        <f>SUM(E24:E49)</f>
        <v>0</v>
      </c>
    </row>
    <row r="52" spans="1:5" ht="15.75">
      <c r="A52" s="243" t="s">
        <v>189</v>
      </c>
      <c r="B52" s="361"/>
      <c r="C52" s="439">
        <f>C22-C51</f>
        <v>0</v>
      </c>
      <c r="D52" s="153">
        <f>D22-D51</f>
        <v>0</v>
      </c>
      <c r="E52" s="153">
        <f>E22-E51</f>
        <v>0</v>
      </c>
    </row>
    <row r="53" spans="1:5" ht="15.75">
      <c r="A53" s="292" t="str">
        <f>CONCATENATE("",E1-2,"/",E1-1," Budget Authority Amount:")</f>
        <v>2012/2013 Budget Authority Amount:</v>
      </c>
      <c r="B53" s="380"/>
      <c r="C53" s="380">
        <f>inputOth!B66</f>
        <v>0</v>
      </c>
      <c r="D53" s="380">
        <f>inputPrYr!D33</f>
        <v>0</v>
      </c>
      <c r="E53" s="461">
        <f>IF(E52&lt;0,"See Tab E","")</f>
      </c>
    </row>
    <row r="54" spans="1:5" ht="15.75">
      <c r="A54" s="292"/>
      <c r="B54" s="382"/>
      <c r="C54" s="382">
        <f>IF(C51&gt;C53,"See Tab A","")</f>
      </c>
      <c r="D54" s="382">
        <f>IF(D51&gt;D53,"See Tab C","")</f>
      </c>
      <c r="E54" s="187"/>
    </row>
    <row r="55" spans="1:5" ht="15.75">
      <c r="A55" s="292"/>
      <c r="B55" s="382"/>
      <c r="C55" s="382">
        <f>IF(C52&lt;0,"See Tab B","")</f>
      </c>
      <c r="D55" s="382">
        <f>IF(D52&lt;0,"See Tab D","")</f>
      </c>
      <c r="E55" s="187"/>
    </row>
    <row r="56" spans="1:5" ht="15">
      <c r="A56" s="187"/>
      <c r="B56" s="187"/>
      <c r="C56" s="187"/>
      <c r="D56" s="187"/>
      <c r="E56" s="187"/>
    </row>
    <row r="57" spans="1:5" ht="15.75">
      <c r="A57" s="300"/>
      <c r="B57" s="300" t="s">
        <v>84</v>
      </c>
      <c r="C57" s="386"/>
      <c r="D57" s="187"/>
      <c r="E57" s="187"/>
    </row>
  </sheetData>
  <sheetProtection sheet="1" objects="1" scenarios="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oddFooter>&amp;Lrevised 10/2/09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9" sqref="D29"/>
    </sheetView>
  </sheetViews>
  <sheetFormatPr defaultColWidth="8.8984375" defaultRowHeight="15"/>
  <cols>
    <col min="1" max="1" width="11.59765625" style="107" customWidth="1"/>
    <col min="2" max="2" width="7.3984375" style="107" customWidth="1"/>
    <col min="3" max="3" width="11.59765625" style="107" customWidth="1"/>
    <col min="4" max="4" width="7.3984375" style="107" customWidth="1"/>
    <col min="5" max="5" width="11.59765625" style="107" customWidth="1"/>
    <col min="6" max="6" width="7.3984375" style="107" customWidth="1"/>
    <col min="7" max="7" width="11.59765625" style="107" customWidth="1"/>
    <col min="8" max="8" width="7.3984375" style="107" customWidth="1"/>
    <col min="9" max="9" width="11.59765625" style="107" customWidth="1"/>
    <col min="10" max="16384" width="8.8984375" style="107" customWidth="1"/>
  </cols>
  <sheetData>
    <row r="1" spans="1:11" ht="15.75">
      <c r="A1" s="186" t="str">
        <f>inputPrYr!$D$2</f>
        <v>CITY OF BOGUE</v>
      </c>
      <c r="B1" s="299"/>
      <c r="C1" s="188"/>
      <c r="D1" s="188"/>
      <c r="E1" s="188"/>
      <c r="F1" s="388" t="s">
        <v>674</v>
      </c>
      <c r="G1" s="188"/>
      <c r="H1" s="188"/>
      <c r="I1" s="188"/>
      <c r="J1" s="188"/>
      <c r="K1" s="188">
        <f>inputPrYr!$C$5</f>
        <v>2014</v>
      </c>
    </row>
    <row r="2" spans="1:11" ht="15.75">
      <c r="A2" s="188"/>
      <c r="B2" s="188"/>
      <c r="C2" s="188"/>
      <c r="D2" s="188"/>
      <c r="E2" s="188"/>
      <c r="F2" s="389" t="str">
        <f>CONCATENATE("(Only the actual budget year for ",K1-2," is to be shown)")</f>
        <v>(Only the actual budget year for 2012 is to be shown)</v>
      </c>
      <c r="G2" s="188"/>
      <c r="H2" s="188"/>
      <c r="I2" s="188"/>
      <c r="J2" s="188"/>
      <c r="K2" s="188"/>
    </row>
    <row r="3" spans="1:11" ht="15.75">
      <c r="A3" s="188" t="s">
        <v>673</v>
      </c>
      <c r="B3" s="188"/>
      <c r="C3" s="188"/>
      <c r="D3" s="188"/>
      <c r="E3" s="188"/>
      <c r="F3" s="299"/>
      <c r="G3" s="188"/>
      <c r="H3" s="188"/>
      <c r="I3" s="188"/>
      <c r="J3" s="188"/>
      <c r="K3" s="188"/>
    </row>
    <row r="4" spans="1:11" ht="15.75">
      <c r="A4" s="188" t="s">
        <v>666</v>
      </c>
      <c r="B4" s="188"/>
      <c r="C4" s="188" t="s">
        <v>667</v>
      </c>
      <c r="D4" s="188"/>
      <c r="E4" s="188" t="s">
        <v>668</v>
      </c>
      <c r="F4" s="299"/>
      <c r="G4" s="188" t="s">
        <v>669</v>
      </c>
      <c r="H4" s="188"/>
      <c r="I4" s="188" t="s">
        <v>670</v>
      </c>
      <c r="J4" s="188"/>
      <c r="K4" s="188"/>
    </row>
    <row r="5" spans="1:11" ht="15.75">
      <c r="A5" s="641" t="str">
        <f>inputPrYr!B36</f>
        <v>Special Improvement</v>
      </c>
      <c r="B5" s="642"/>
      <c r="C5" s="641" t="str">
        <f>inputPrYr!B37</f>
        <v>Debt Svs. Reserve</v>
      </c>
      <c r="D5" s="642"/>
      <c r="E5" s="641">
        <f>inputPrYr!B38</f>
        <v>0</v>
      </c>
      <c r="F5" s="642"/>
      <c r="G5" s="641">
        <f>inputPrYr!B39</f>
        <v>0</v>
      </c>
      <c r="H5" s="642"/>
      <c r="I5" s="641">
        <f>inputPrYr!B40</f>
        <v>0</v>
      </c>
      <c r="J5" s="642"/>
      <c r="K5" s="212"/>
    </row>
    <row r="6" spans="1:11" ht="15.75">
      <c r="A6" s="391" t="s">
        <v>671</v>
      </c>
      <c r="B6" s="392"/>
      <c r="C6" s="393" t="s">
        <v>671</v>
      </c>
      <c r="D6" s="394"/>
      <c r="E6" s="393" t="s">
        <v>671</v>
      </c>
      <c r="F6" s="395"/>
      <c r="G6" s="393" t="s">
        <v>671</v>
      </c>
      <c r="H6" s="390"/>
      <c r="I6" s="393" t="s">
        <v>671</v>
      </c>
      <c r="J6" s="188"/>
      <c r="K6" s="396" t="s">
        <v>41</v>
      </c>
    </row>
    <row r="7" spans="1:11" ht="15.75">
      <c r="A7" s="397" t="s">
        <v>726</v>
      </c>
      <c r="B7" s="398">
        <v>22866</v>
      </c>
      <c r="C7" s="399" t="s">
        <v>726</v>
      </c>
      <c r="D7" s="398">
        <v>75101</v>
      </c>
      <c r="E7" s="399" t="s">
        <v>726</v>
      </c>
      <c r="F7" s="398"/>
      <c r="G7" s="399" t="s">
        <v>726</v>
      </c>
      <c r="H7" s="398"/>
      <c r="I7" s="399" t="s">
        <v>726</v>
      </c>
      <c r="J7" s="398"/>
      <c r="K7" s="400">
        <f>SUM(B7+D7+F7+H7+J7)</f>
        <v>97967</v>
      </c>
    </row>
    <row r="8" spans="1:11" ht="15.75">
      <c r="A8" s="401" t="s">
        <v>190</v>
      </c>
      <c r="B8" s="402"/>
      <c r="C8" s="401" t="s">
        <v>190</v>
      </c>
      <c r="D8" s="403"/>
      <c r="E8" s="401" t="s">
        <v>190</v>
      </c>
      <c r="F8" s="299"/>
      <c r="G8" s="401" t="s">
        <v>190</v>
      </c>
      <c r="H8" s="188"/>
      <c r="I8" s="401" t="s">
        <v>190</v>
      </c>
      <c r="J8" s="188"/>
      <c r="K8" s="299"/>
    </row>
    <row r="9" spans="1:11" ht="15.75">
      <c r="A9" s="404" t="s">
        <v>166</v>
      </c>
      <c r="B9" s="398">
        <v>2000</v>
      </c>
      <c r="C9" s="404" t="s">
        <v>631</v>
      </c>
      <c r="D9" s="398">
        <v>10000</v>
      </c>
      <c r="E9" s="404"/>
      <c r="F9" s="398"/>
      <c r="G9" s="404"/>
      <c r="H9" s="398"/>
      <c r="I9" s="404"/>
      <c r="J9" s="398"/>
      <c r="K9" s="299"/>
    </row>
    <row r="10" spans="1:11" ht="15.75">
      <c r="A10" s="404" t="s">
        <v>118</v>
      </c>
      <c r="B10" s="398">
        <v>64</v>
      </c>
      <c r="C10" s="404" t="s">
        <v>632</v>
      </c>
      <c r="D10" s="398">
        <v>15000</v>
      </c>
      <c r="E10" s="404"/>
      <c r="F10" s="398"/>
      <c r="G10" s="404"/>
      <c r="H10" s="398"/>
      <c r="I10" s="404"/>
      <c r="J10" s="398"/>
      <c r="K10" s="299"/>
    </row>
    <row r="11" spans="1:11" ht="15.75">
      <c r="A11" s="404" t="s">
        <v>628</v>
      </c>
      <c r="B11" s="398">
        <v>15661</v>
      </c>
      <c r="C11" s="405" t="s">
        <v>118</v>
      </c>
      <c r="D11" s="406">
        <v>72</v>
      </c>
      <c r="E11" s="405"/>
      <c r="F11" s="398"/>
      <c r="G11" s="405"/>
      <c r="H11" s="398"/>
      <c r="I11" s="407"/>
      <c r="J11" s="398"/>
      <c r="K11" s="299"/>
    </row>
    <row r="12" spans="1:11" ht="15.75">
      <c r="A12" s="404" t="s">
        <v>630</v>
      </c>
      <c r="B12" s="408">
        <v>25000</v>
      </c>
      <c r="C12" s="404"/>
      <c r="D12" s="409"/>
      <c r="E12" s="410"/>
      <c r="F12" s="398"/>
      <c r="G12" s="410"/>
      <c r="H12" s="398"/>
      <c r="I12" s="410"/>
      <c r="J12" s="398"/>
      <c r="K12" s="299"/>
    </row>
    <row r="13" spans="1:11" ht="15.75">
      <c r="A13" s="411" t="s">
        <v>622</v>
      </c>
      <c r="B13" s="412">
        <v>9000</v>
      </c>
      <c r="C13" s="413"/>
      <c r="D13" s="409"/>
      <c r="E13" s="413"/>
      <c r="F13" s="398"/>
      <c r="G13" s="413"/>
      <c r="H13" s="398"/>
      <c r="I13" s="407"/>
      <c r="J13" s="398"/>
      <c r="K13" s="299"/>
    </row>
    <row r="14" spans="1:11" ht="15.75">
      <c r="A14" s="404"/>
      <c r="B14" s="398"/>
      <c r="C14" s="410"/>
      <c r="D14" s="409"/>
      <c r="E14" s="410"/>
      <c r="F14" s="398"/>
      <c r="G14" s="410"/>
      <c r="H14" s="398"/>
      <c r="I14" s="410"/>
      <c r="J14" s="398"/>
      <c r="K14" s="299"/>
    </row>
    <row r="15" spans="1:11" ht="15.75">
      <c r="A15" s="404"/>
      <c r="B15" s="398"/>
      <c r="C15" s="410"/>
      <c r="D15" s="409"/>
      <c r="E15" s="410"/>
      <c r="F15" s="398"/>
      <c r="G15" s="410"/>
      <c r="H15" s="398"/>
      <c r="I15" s="410"/>
      <c r="J15" s="398"/>
      <c r="K15" s="299"/>
    </row>
    <row r="16" spans="1:11" ht="15.75">
      <c r="A16" s="404"/>
      <c r="B16" s="412"/>
      <c r="C16" s="404"/>
      <c r="D16" s="409"/>
      <c r="E16" s="404"/>
      <c r="F16" s="398"/>
      <c r="G16" s="410"/>
      <c r="H16" s="398"/>
      <c r="I16" s="404"/>
      <c r="J16" s="398"/>
      <c r="K16" s="299"/>
    </row>
    <row r="17" spans="1:11" ht="15.75">
      <c r="A17" s="401" t="s">
        <v>78</v>
      </c>
      <c r="B17" s="400">
        <f>SUM(B9:B16)</f>
        <v>51725</v>
      </c>
      <c r="C17" s="401" t="s">
        <v>78</v>
      </c>
      <c r="D17" s="400">
        <f>SUM(D9:D16)</f>
        <v>25072</v>
      </c>
      <c r="E17" s="401" t="s">
        <v>78</v>
      </c>
      <c r="F17" s="414">
        <f>SUM(F9:F16)</f>
        <v>0</v>
      </c>
      <c r="G17" s="401" t="s">
        <v>78</v>
      </c>
      <c r="H17" s="400">
        <f>SUM(H9:H16)</f>
        <v>0</v>
      </c>
      <c r="I17" s="401" t="s">
        <v>78</v>
      </c>
      <c r="J17" s="400">
        <f>SUM(J9:J16)</f>
        <v>0</v>
      </c>
      <c r="K17" s="400">
        <f>SUM(B17+D17+F17+H17+J17)</f>
        <v>76797</v>
      </c>
    </row>
    <row r="18" spans="1:11" ht="15.75">
      <c r="A18" s="401" t="s">
        <v>79</v>
      </c>
      <c r="B18" s="400">
        <f>SUM(B7+B17)</f>
        <v>74591</v>
      </c>
      <c r="C18" s="401" t="s">
        <v>79</v>
      </c>
      <c r="D18" s="400">
        <f>SUM(D7+D17)</f>
        <v>100173</v>
      </c>
      <c r="E18" s="401" t="s">
        <v>79</v>
      </c>
      <c r="F18" s="400">
        <f>SUM(F7+F17)</f>
        <v>0</v>
      </c>
      <c r="G18" s="401" t="s">
        <v>79</v>
      </c>
      <c r="H18" s="400">
        <f>SUM(H7+H17)</f>
        <v>0</v>
      </c>
      <c r="I18" s="401" t="s">
        <v>79</v>
      </c>
      <c r="J18" s="400">
        <f>SUM(J7+J17)</f>
        <v>0</v>
      </c>
      <c r="K18" s="400">
        <f>SUM(B18+D18+F18+H18+J18)</f>
        <v>174764</v>
      </c>
    </row>
    <row r="19" spans="1:11" ht="15.75">
      <c r="A19" s="401" t="s">
        <v>80</v>
      </c>
      <c r="B19" s="402"/>
      <c r="C19" s="401" t="s">
        <v>80</v>
      </c>
      <c r="D19" s="403"/>
      <c r="E19" s="401" t="s">
        <v>80</v>
      </c>
      <c r="F19" s="299"/>
      <c r="G19" s="401" t="s">
        <v>80</v>
      </c>
      <c r="H19" s="188"/>
      <c r="I19" s="401" t="s">
        <v>80</v>
      </c>
      <c r="J19" s="188"/>
      <c r="K19" s="299"/>
    </row>
    <row r="20" spans="1:11" ht="15.75">
      <c r="A20" s="404"/>
      <c r="B20" s="398"/>
      <c r="C20" s="410" t="s">
        <v>47</v>
      </c>
      <c r="D20" s="398" t="s">
        <v>47</v>
      </c>
      <c r="E20" s="410"/>
      <c r="F20" s="398"/>
      <c r="G20" s="410"/>
      <c r="H20" s="398"/>
      <c r="I20" s="410"/>
      <c r="J20" s="398"/>
      <c r="K20" s="299"/>
    </row>
    <row r="21" spans="1:11" ht="15.75">
      <c r="A21" s="404" t="s">
        <v>597</v>
      </c>
      <c r="B21" s="398">
        <v>1000</v>
      </c>
      <c r="C21" s="410"/>
      <c r="D21" s="398"/>
      <c r="E21" s="410"/>
      <c r="F21" s="398"/>
      <c r="G21" s="410"/>
      <c r="H21" s="398"/>
      <c r="I21" s="410"/>
      <c r="J21" s="398"/>
      <c r="K21" s="299"/>
    </row>
    <row r="22" spans="1:11" ht="15.75">
      <c r="A22" s="404" t="s">
        <v>623</v>
      </c>
      <c r="B22" s="398">
        <v>1776</v>
      </c>
      <c r="C22" s="413"/>
      <c r="D22" s="398"/>
      <c r="E22" s="413"/>
      <c r="F22" s="398"/>
      <c r="G22" s="413"/>
      <c r="H22" s="398"/>
      <c r="I22" s="407"/>
      <c r="J22" s="398"/>
      <c r="K22" s="299"/>
    </row>
    <row r="23" spans="1:11" ht="15.75">
      <c r="A23" s="404" t="s">
        <v>47</v>
      </c>
      <c r="B23" s="398" t="s">
        <v>47</v>
      </c>
      <c r="C23" s="410"/>
      <c r="D23" s="398"/>
      <c r="E23" s="410"/>
      <c r="F23" s="398"/>
      <c r="G23" s="410"/>
      <c r="H23" s="398"/>
      <c r="I23" s="410"/>
      <c r="J23" s="398"/>
      <c r="K23" s="299"/>
    </row>
    <row r="24" spans="1:11" ht="15.75">
      <c r="A24" s="404" t="s">
        <v>47</v>
      </c>
      <c r="B24" s="398" t="s">
        <v>47</v>
      </c>
      <c r="C24" s="413"/>
      <c r="D24" s="398"/>
      <c r="E24" s="413"/>
      <c r="F24" s="398"/>
      <c r="G24" s="413"/>
      <c r="H24" s="398"/>
      <c r="I24" s="407"/>
      <c r="J24" s="398"/>
      <c r="K24" s="299"/>
    </row>
    <row r="25" spans="1:11" ht="15.75">
      <c r="A25" s="404" t="s">
        <v>47</v>
      </c>
      <c r="B25" s="398" t="s">
        <v>47</v>
      </c>
      <c r="C25" s="410"/>
      <c r="D25" s="398"/>
      <c r="E25" s="410"/>
      <c r="F25" s="398"/>
      <c r="G25" s="410"/>
      <c r="H25" s="398"/>
      <c r="I25" s="410"/>
      <c r="J25" s="398"/>
      <c r="K25" s="299"/>
    </row>
    <row r="26" spans="1:11" ht="15.75">
      <c r="A26" s="404"/>
      <c r="B26" s="398"/>
      <c r="C26" s="410"/>
      <c r="D26" s="398"/>
      <c r="E26" s="410"/>
      <c r="F26" s="398"/>
      <c r="G26" s="410"/>
      <c r="H26" s="398"/>
      <c r="I26" s="410"/>
      <c r="J26" s="398"/>
      <c r="K26" s="299"/>
    </row>
    <row r="27" spans="1:11" ht="15.75">
      <c r="A27" s="404"/>
      <c r="B27" s="398"/>
      <c r="C27" s="404"/>
      <c r="D27" s="398"/>
      <c r="E27" s="404"/>
      <c r="F27" s="398"/>
      <c r="G27" s="410"/>
      <c r="H27" s="398"/>
      <c r="I27" s="410"/>
      <c r="J27" s="398"/>
      <c r="K27" s="299"/>
    </row>
    <row r="28" spans="1:11" ht="15.75">
      <c r="A28" s="401" t="s">
        <v>81</v>
      </c>
      <c r="B28" s="400">
        <f>SUM(B20:B27)</f>
        <v>2776</v>
      </c>
      <c r="C28" s="401" t="s">
        <v>81</v>
      </c>
      <c r="D28" s="415">
        <f>SUM(D20:D27)</f>
        <v>0</v>
      </c>
      <c r="E28" s="401" t="s">
        <v>81</v>
      </c>
      <c r="F28" s="416">
        <f>SUM(F20:F27)</f>
        <v>0</v>
      </c>
      <c r="G28" s="401" t="s">
        <v>81</v>
      </c>
      <c r="H28" s="416">
        <f>SUM(H20:H27)</f>
        <v>0</v>
      </c>
      <c r="I28" s="401" t="s">
        <v>81</v>
      </c>
      <c r="J28" s="415">
        <f>SUM(J20:J27)</f>
        <v>0</v>
      </c>
      <c r="K28" s="400">
        <f>SUM(B28+D28+F28+H28+J28)</f>
        <v>2776</v>
      </c>
    </row>
    <row r="29" spans="1:12" ht="15.75">
      <c r="A29" s="401" t="s">
        <v>672</v>
      </c>
      <c r="B29" s="400">
        <f>SUM(B18-B28)</f>
        <v>71815</v>
      </c>
      <c r="C29" s="401" t="s">
        <v>672</v>
      </c>
      <c r="D29" s="400">
        <f>SUM(D18-D28)</f>
        <v>100173</v>
      </c>
      <c r="E29" s="401" t="s">
        <v>672</v>
      </c>
      <c r="F29" s="400">
        <f>SUM(F18-F28)</f>
        <v>0</v>
      </c>
      <c r="G29" s="401" t="s">
        <v>672</v>
      </c>
      <c r="H29" s="400">
        <f>SUM(H18-H28)</f>
        <v>0</v>
      </c>
      <c r="I29" s="401" t="s">
        <v>672</v>
      </c>
      <c r="J29" s="400">
        <f>SUM(J18-J28)</f>
        <v>0</v>
      </c>
      <c r="K29" s="417">
        <f>SUM(B29+D29+F29+H29+J29)</f>
        <v>171988</v>
      </c>
      <c r="L29" s="107" t="s">
        <v>678</v>
      </c>
    </row>
    <row r="30" spans="1:12" ht="15.75">
      <c r="A30" s="401"/>
      <c r="B30" s="418">
        <f>IF(B29&lt;0,"See Tab B","")</f>
      </c>
      <c r="C30" s="401"/>
      <c r="D30" s="418">
        <f>IF(D29&lt;0,"See Tab B","")</f>
      </c>
      <c r="E30" s="401"/>
      <c r="F30" s="418">
        <f>IF(F29&lt;0,"See Tab B","")</f>
      </c>
      <c r="G30" s="188"/>
      <c r="H30" s="418">
        <f>IF(H29&lt;0,"See Tab B","")</f>
      </c>
      <c r="I30" s="188"/>
      <c r="J30" s="418">
        <f>IF(J29&lt;0,"See Tab B","")</f>
      </c>
      <c r="K30" s="417">
        <f>SUM(K7+K17-K28)</f>
        <v>171988</v>
      </c>
      <c r="L30" s="107" t="s">
        <v>678</v>
      </c>
    </row>
    <row r="31" spans="1:11" ht="15.75">
      <c r="A31" s="188"/>
      <c r="B31" s="419"/>
      <c r="C31" s="188"/>
      <c r="D31" s="299"/>
      <c r="E31" s="188"/>
      <c r="F31" s="188"/>
      <c r="G31" s="118" t="s">
        <v>679</v>
      </c>
      <c r="H31" s="118"/>
      <c r="I31" s="118"/>
      <c r="J31" s="118"/>
      <c r="K31" s="188"/>
    </row>
    <row r="32" spans="1:11" ht="15.75">
      <c r="A32" s="188"/>
      <c r="B32" s="419"/>
      <c r="C32" s="188"/>
      <c r="D32" s="188"/>
      <c r="E32" s="188"/>
      <c r="F32" s="188"/>
      <c r="G32" s="188"/>
      <c r="H32" s="188"/>
      <c r="I32" s="188"/>
      <c r="J32" s="188"/>
      <c r="K32" s="188"/>
    </row>
    <row r="33" spans="1:11" ht="15.75">
      <c r="A33" s="188"/>
      <c r="B33" s="419"/>
      <c r="C33" s="188"/>
      <c r="D33" s="188"/>
      <c r="E33" s="420" t="s">
        <v>84</v>
      </c>
      <c r="F33" s="386">
        <v>9</v>
      </c>
      <c r="G33" s="188"/>
      <c r="H33" s="188"/>
      <c r="I33" s="188"/>
      <c r="J33" s="188"/>
      <c r="K33" s="188"/>
    </row>
    <row r="34" ht="15.75">
      <c r="B34" s="421"/>
    </row>
    <row r="35" ht="15.75">
      <c r="B35" s="421"/>
    </row>
    <row r="36" ht="15.75">
      <c r="B36" s="421"/>
    </row>
    <row r="37" ht="15.75">
      <c r="B37" s="421"/>
    </row>
    <row r="38" ht="15.75">
      <c r="B38" s="421"/>
    </row>
    <row r="39" ht="15.75">
      <c r="B39" s="421"/>
    </row>
    <row r="40" ht="15.75">
      <c r="B40" s="421"/>
    </row>
    <row r="41" ht="15.75">
      <c r="B41" s="421"/>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10/02/09</oddFooter>
  </headerFooter>
</worksheet>
</file>

<file path=xl/worksheets/sheet22.xml><?xml version="1.0" encoding="utf-8"?>
<worksheet xmlns="http://schemas.openxmlformats.org/spreadsheetml/2006/main" xmlns:r="http://schemas.openxmlformats.org/officeDocument/2006/relationships">
  <dimension ref="A1:A69"/>
  <sheetViews>
    <sheetView zoomScalePageLayoutView="0" workbookViewId="0" topLeftCell="A1">
      <selection activeCell="A2" sqref="A2"/>
    </sheetView>
  </sheetViews>
  <sheetFormatPr defaultColWidth="8.8984375" defaultRowHeight="15"/>
  <cols>
    <col min="1" max="1" width="70.59765625" style="185" customWidth="1"/>
    <col min="2" max="16384" width="8.8984375" style="185" customWidth="1"/>
  </cols>
  <sheetData>
    <row r="1" ht="18.75">
      <c r="A1" s="463" t="s">
        <v>266</v>
      </c>
    </row>
    <row r="2" ht="15.75">
      <c r="A2" s="1"/>
    </row>
    <row r="3" ht="57" customHeight="1">
      <c r="A3" s="464" t="s">
        <v>267</v>
      </c>
    </row>
    <row r="4" ht="15.75">
      <c r="A4" s="462"/>
    </row>
    <row r="5" ht="15.75">
      <c r="A5" s="1"/>
    </row>
    <row r="6" ht="44.25" customHeight="1">
      <c r="A6" s="464" t="s">
        <v>268</v>
      </c>
    </row>
    <row r="7" ht="15.75">
      <c r="A7" s="1"/>
    </row>
    <row r="8" ht="15.75">
      <c r="A8" s="462"/>
    </row>
    <row r="9" ht="46.5" customHeight="1">
      <c r="A9" s="464" t="s">
        <v>269</v>
      </c>
    </row>
    <row r="10" ht="15.75">
      <c r="A10" s="1"/>
    </row>
    <row r="11" ht="15.75">
      <c r="A11" s="462"/>
    </row>
    <row r="12" ht="60" customHeight="1">
      <c r="A12" s="464" t="s">
        <v>270</v>
      </c>
    </row>
    <row r="13" ht="15.75">
      <c r="A13" s="1"/>
    </row>
    <row r="14" ht="15.75">
      <c r="A14" s="1"/>
    </row>
    <row r="15" ht="61.5" customHeight="1">
      <c r="A15" s="464" t="s">
        <v>271</v>
      </c>
    </row>
    <row r="16" ht="15.75">
      <c r="A16" s="1"/>
    </row>
    <row r="17" ht="15.75">
      <c r="A17" s="1"/>
    </row>
    <row r="18" ht="59.25" customHeight="1">
      <c r="A18" s="464" t="s">
        <v>272</v>
      </c>
    </row>
    <row r="19" ht="15.75">
      <c r="A19" s="1"/>
    </row>
    <row r="20" ht="15.75">
      <c r="A20" s="1"/>
    </row>
    <row r="21" ht="46.5" customHeight="1">
      <c r="A21" s="464" t="s">
        <v>273</v>
      </c>
    </row>
    <row r="22" ht="15.75">
      <c r="A22" s="1"/>
    </row>
    <row r="23" ht="15.75">
      <c r="A23" s="1"/>
    </row>
    <row r="24" ht="61.5" customHeight="1">
      <c r="A24" s="464" t="s">
        <v>274</v>
      </c>
    </row>
    <row r="25" ht="15.75">
      <c r="A25" s="462"/>
    </row>
    <row r="26" ht="15.75">
      <c r="A26" s="462"/>
    </row>
    <row r="27" ht="63" customHeight="1">
      <c r="A27" s="464" t="s">
        <v>275</v>
      </c>
    </row>
    <row r="28" ht="15.75">
      <c r="A28" s="1"/>
    </row>
    <row r="29" ht="15.75">
      <c r="A29" s="1"/>
    </row>
    <row r="30" ht="44.25" customHeight="1">
      <c r="A30" s="464" t="s">
        <v>276</v>
      </c>
    </row>
    <row r="31" ht="15.75">
      <c r="A31" s="1"/>
    </row>
    <row r="32" ht="15.75">
      <c r="A32" s="1"/>
    </row>
    <row r="33" ht="42.75" customHeight="1">
      <c r="A33" s="464" t="s">
        <v>277</v>
      </c>
    </row>
    <row r="34" ht="15.75">
      <c r="A34" s="462"/>
    </row>
    <row r="35" ht="15.75">
      <c r="A35" s="462"/>
    </row>
    <row r="36" ht="38.25" customHeight="1">
      <c r="A36" s="464" t="s">
        <v>278</v>
      </c>
    </row>
    <row r="37" ht="15.75">
      <c r="A37" s="462"/>
    </row>
    <row r="38" ht="15.75">
      <c r="A38" s="1"/>
    </row>
    <row r="39" ht="75.75" customHeight="1">
      <c r="A39" s="464" t="s">
        <v>279</v>
      </c>
    </row>
    <row r="40" ht="15.75">
      <c r="A40" s="1"/>
    </row>
    <row r="41" ht="15.75">
      <c r="A41" s="1"/>
    </row>
    <row r="42" ht="57.75" customHeight="1">
      <c r="A42" s="464" t="s">
        <v>280</v>
      </c>
    </row>
    <row r="43" ht="15.75">
      <c r="A43" s="462"/>
    </row>
    <row r="44" ht="15.75">
      <c r="A44" s="1"/>
    </row>
    <row r="45" ht="57.75" customHeight="1">
      <c r="A45" s="464" t="s">
        <v>281</v>
      </c>
    </row>
    <row r="46" ht="15.75">
      <c r="A46" s="1"/>
    </row>
    <row r="47" ht="15.75">
      <c r="A47" s="1"/>
    </row>
    <row r="48" ht="41.25" customHeight="1">
      <c r="A48" s="464" t="s">
        <v>282</v>
      </c>
    </row>
    <row r="49" ht="15.75">
      <c r="A49" s="1"/>
    </row>
    <row r="50" ht="15.75">
      <c r="A50" s="1"/>
    </row>
    <row r="51" ht="45.75" customHeight="1">
      <c r="A51" s="464" t="s">
        <v>283</v>
      </c>
    </row>
    <row r="52" ht="15.75">
      <c r="A52" s="1"/>
    </row>
    <row r="53" ht="15.75">
      <c r="A53" s="1"/>
    </row>
    <row r="54" ht="75" customHeight="1">
      <c r="A54" s="464" t="s">
        <v>284</v>
      </c>
    </row>
    <row r="55" ht="15.75">
      <c r="A55" s="462"/>
    </row>
    <row r="56" ht="15.75">
      <c r="A56" s="462"/>
    </row>
    <row r="57" ht="57.75" customHeight="1">
      <c r="A57" s="464" t="s">
        <v>285</v>
      </c>
    </row>
    <row r="58" ht="15.75">
      <c r="A58" s="1"/>
    </row>
    <row r="59" ht="15.75">
      <c r="A59" s="1"/>
    </row>
    <row r="60" ht="44.25" customHeight="1">
      <c r="A60" s="464" t="s">
        <v>286</v>
      </c>
    </row>
    <row r="61" ht="15.75">
      <c r="A61" s="1"/>
    </row>
    <row r="62" ht="15.75">
      <c r="A62" s="1"/>
    </row>
    <row r="63" ht="60" customHeight="1">
      <c r="A63" s="464" t="s">
        <v>287</v>
      </c>
    </row>
    <row r="64" ht="15.75">
      <c r="A64" s="462"/>
    </row>
    <row r="65" ht="15.75">
      <c r="A65" s="462"/>
    </row>
    <row r="66" ht="57.75" customHeight="1">
      <c r="A66" s="464" t="s">
        <v>288</v>
      </c>
    </row>
    <row r="67" ht="15.75">
      <c r="A67" s="1"/>
    </row>
    <row r="68" ht="15.75">
      <c r="A68" s="1"/>
    </row>
    <row r="69" ht="60" customHeight="1">
      <c r="A69" s="464" t="s">
        <v>289</v>
      </c>
    </row>
  </sheetData>
  <sheetProtection sheet="1" objects="1" scenarios="1"/>
  <printOptions/>
  <pageMargins left="0.7" right="0.7" top="0.75" bottom="0.75" header="0.3" footer="0.3"/>
  <pageSetup horizontalDpi="600" verticalDpi="600" orientation="portrait" r:id="rId1"/>
  <headerFooter alignWithMargins="0">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6"/>
  <sheetViews>
    <sheetView zoomScale="75" zoomScaleNormal="75" zoomScalePageLayoutView="0" workbookViewId="0" topLeftCell="A1">
      <selection activeCell="F35" sqref="F35"/>
    </sheetView>
  </sheetViews>
  <sheetFormatPr defaultColWidth="8.89843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09765625" style="2" customWidth="1"/>
    <col min="7" max="7" width="12.19921875" style="2" customWidth="1"/>
    <col min="8" max="8" width="10.59765625" style="2" customWidth="1"/>
    <col min="9" max="16384" width="8.8984375" style="2" customWidth="1"/>
  </cols>
  <sheetData>
    <row r="1" spans="1:8" ht="15.75">
      <c r="A1" s="11"/>
      <c r="B1" s="11"/>
      <c r="C1" s="11"/>
      <c r="D1" s="11"/>
      <c r="E1" s="11"/>
      <c r="F1" s="11"/>
      <c r="G1" s="11"/>
      <c r="H1" s="49">
        <f>inputPrYr!$C$5</f>
        <v>2014</v>
      </c>
    </row>
    <row r="2" spans="1:8" ht="15.75">
      <c r="A2" s="646" t="s">
        <v>130</v>
      </c>
      <c r="B2" s="646"/>
      <c r="C2" s="646"/>
      <c r="D2" s="646"/>
      <c r="E2" s="646"/>
      <c r="F2" s="646"/>
      <c r="G2" s="646"/>
      <c r="H2" s="646"/>
    </row>
    <row r="3" spans="1:8" ht="15.75">
      <c r="A3" s="11"/>
      <c r="B3" s="11"/>
      <c r="C3" s="11"/>
      <c r="D3" s="11"/>
      <c r="E3" s="11"/>
      <c r="F3" s="11"/>
      <c r="G3" s="11"/>
      <c r="H3" s="11"/>
    </row>
    <row r="4" spans="1:8" ht="15.75">
      <c r="A4" s="645" t="s">
        <v>88</v>
      </c>
      <c r="B4" s="645"/>
      <c r="C4" s="645"/>
      <c r="D4" s="645"/>
      <c r="E4" s="645"/>
      <c r="F4" s="645"/>
      <c r="G4" s="645"/>
      <c r="H4" s="645"/>
    </row>
    <row r="5" spans="1:8" ht="15.75">
      <c r="A5" s="645" t="str">
        <f>inputPrYr!D2</f>
        <v>CITY OF BOGUE</v>
      </c>
      <c r="B5" s="645"/>
      <c r="C5" s="645"/>
      <c r="D5" s="645"/>
      <c r="E5" s="645"/>
      <c r="F5" s="645"/>
      <c r="G5" s="645"/>
      <c r="H5" s="645"/>
    </row>
    <row r="6" spans="1:8" ht="15.75">
      <c r="A6" s="645" t="str">
        <f>CONCATENATE("will meet on ",inputBudSum!B5," at ",inputBudSum!B7," at ",inputBudSum!B9," for the purpose of hearing and")</f>
        <v>will meet on August 12, 2013 at 7:00 PM at Township Hall Basement - 501 Main St. for the purpose of hearing and</v>
      </c>
      <c r="B6" s="645"/>
      <c r="C6" s="645"/>
      <c r="D6" s="645"/>
      <c r="E6" s="645"/>
      <c r="F6" s="645"/>
      <c r="G6" s="645"/>
      <c r="H6" s="645"/>
    </row>
    <row r="7" spans="1:8" ht="15.75">
      <c r="A7" s="645" t="s">
        <v>568</v>
      </c>
      <c r="B7" s="645"/>
      <c r="C7" s="645"/>
      <c r="D7" s="645"/>
      <c r="E7" s="645"/>
      <c r="F7" s="645"/>
      <c r="G7" s="645"/>
      <c r="H7" s="645"/>
    </row>
    <row r="8" spans="1:8" ht="15.75">
      <c r="A8" s="645" t="str">
        <f>CONCATENATE("Detailed budget information is available at ",inputBudSum!B12," and will be available at this hearing.")</f>
        <v>Detailed budget information is available at City Treasurers Office - 309 7th St. and will be available at this hearing.</v>
      </c>
      <c r="B8" s="645"/>
      <c r="C8" s="645"/>
      <c r="D8" s="645"/>
      <c r="E8" s="645"/>
      <c r="F8" s="645"/>
      <c r="G8" s="645"/>
      <c r="H8" s="645"/>
    </row>
    <row r="9" spans="1:8" ht="15.75">
      <c r="A9" s="38" t="s">
        <v>131</v>
      </c>
      <c r="B9" s="16"/>
      <c r="C9" s="16"/>
      <c r="D9" s="16"/>
      <c r="E9" s="16"/>
      <c r="F9" s="16"/>
      <c r="G9" s="16"/>
      <c r="H9" s="16"/>
    </row>
    <row r="10" spans="1:8" ht="15.75">
      <c r="A10" s="39"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40"/>
      <c r="C10" s="40"/>
      <c r="D10" s="40"/>
      <c r="E10" s="40"/>
      <c r="F10" s="40"/>
      <c r="G10" s="40"/>
      <c r="H10" s="40"/>
    </row>
    <row r="11" spans="1:8" ht="15.75">
      <c r="A11" s="15" t="s">
        <v>197</v>
      </c>
      <c r="B11" s="16"/>
      <c r="C11" s="16"/>
      <c r="D11" s="16"/>
      <c r="E11" s="16"/>
      <c r="F11" s="16"/>
      <c r="G11" s="16"/>
      <c r="H11" s="16"/>
    </row>
    <row r="12" spans="1:8" ht="15.75">
      <c r="A12" s="11"/>
      <c r="B12" s="41"/>
      <c r="C12" s="41"/>
      <c r="D12" s="41"/>
      <c r="E12" s="41"/>
      <c r="F12" s="41"/>
      <c r="G12" s="41"/>
      <c r="H12" s="41"/>
    </row>
    <row r="13" spans="1:8" ht="15.75">
      <c r="A13" s="11"/>
      <c r="B13" s="42" t="str">
        <f>CONCATENATE("Prior Year Actual for ",H1-2,"")</f>
        <v>Prior Year Actual for 2012</v>
      </c>
      <c r="C13" s="19"/>
      <c r="D13" s="42" t="str">
        <f>CONCATENATE("Current Year Estimate for ",H1-1,"")</f>
        <v>Current Year Estimate for 2013</v>
      </c>
      <c r="E13" s="19"/>
      <c r="F13" s="17" t="str">
        <f>CONCATENATE("Proposed Budget for ",H1,"")</f>
        <v>Proposed Budget for 2014</v>
      </c>
      <c r="G13" s="18"/>
      <c r="H13" s="19"/>
    </row>
    <row r="14" spans="1:8" ht="22.5" customHeight="1">
      <c r="A14" s="11"/>
      <c r="B14" s="21"/>
      <c r="C14" s="21" t="s">
        <v>85</v>
      </c>
      <c r="D14" s="21"/>
      <c r="E14" s="21" t="s">
        <v>85</v>
      </c>
      <c r="F14" s="21"/>
      <c r="G14" s="53" t="str">
        <f>CONCATENATE("Amount of ",H1-1,"")</f>
        <v>Amount of 2013</v>
      </c>
      <c r="H14" s="21" t="s">
        <v>646</v>
      </c>
    </row>
    <row r="15" spans="1:8" ht="17.25" customHeight="1">
      <c r="A15" s="43" t="s">
        <v>90</v>
      </c>
      <c r="B15" s="23" t="s">
        <v>53</v>
      </c>
      <c r="C15" s="23" t="s">
        <v>91</v>
      </c>
      <c r="D15" s="23" t="s">
        <v>644</v>
      </c>
      <c r="E15" s="23" t="s">
        <v>91</v>
      </c>
      <c r="F15" s="23" t="s">
        <v>53</v>
      </c>
      <c r="G15" s="31" t="s">
        <v>72</v>
      </c>
      <c r="H15" s="23" t="s">
        <v>91</v>
      </c>
    </row>
    <row r="16" spans="1:8" ht="15.75">
      <c r="A16" s="8" t="s">
        <v>37</v>
      </c>
      <c r="B16" s="54">
        <f>IF((general!$C$60)&lt;&gt;0,general!$C$60,"  ")</f>
        <v>39041</v>
      </c>
      <c r="C16" s="64">
        <f>IF(inputPrYr!D45&gt;0,inputPrYr!D45,"  ")</f>
        <v>84.54</v>
      </c>
      <c r="D16" s="54">
        <v>64600</v>
      </c>
      <c r="E16" s="64">
        <v>64.253</v>
      </c>
      <c r="F16" s="54">
        <v>72720</v>
      </c>
      <c r="G16" s="54">
        <v>25316</v>
      </c>
      <c r="H16" s="64">
        <f>IF((general!G66&gt;0),ROUND(G16/$F$34*1000,3),"  ")</f>
        <v>44.948</v>
      </c>
    </row>
    <row r="17" spans="1:8" ht="15.75">
      <c r="A17" s="8" t="s">
        <v>11</v>
      </c>
      <c r="B17" s="54" t="str">
        <f>IF((DebtService!$C$54)&lt;&gt;0,DebtService!$C$54,"  ")</f>
        <v>  </v>
      </c>
      <c r="C17" s="64" t="str">
        <f>IF(inputPrYr!D46&gt;0,inputPrYr!D46,"  ")</f>
        <v>  </v>
      </c>
      <c r="D17" s="54" t="str">
        <f>IF((DebtService!$E$54)&lt;&gt;0,DebtService!$E$54,"  ")</f>
        <v>  </v>
      </c>
      <c r="E17" s="64" t="str">
        <f>IF(inputOth!D21&gt;0,inputOth!D21,"  ")</f>
        <v>  </v>
      </c>
      <c r="F17" s="54" t="str">
        <f>IF((DebtService!$G$54)&lt;&gt;0,DebtService!$G$54,"  ")</f>
        <v>  </v>
      </c>
      <c r="G17" s="54" t="str">
        <f>IF((DebtService!$G$60)&lt;&gt;0,(DebtService!$G$60),"  ")</f>
        <v>  </v>
      </c>
      <c r="H17" s="64" t="str">
        <f>IF((DebtService!G60&gt;0),ROUND(G17/$F$34*1000,3),"  ")</f>
        <v>  </v>
      </c>
    </row>
    <row r="18" spans="1:8" ht="15.75">
      <c r="A18" s="9" t="str">
        <f>IF((inputPrYr!$B20&gt;"  "),(inputPrYr!$B20),"  ")</f>
        <v>  </v>
      </c>
      <c r="B18" s="54" t="str">
        <f>IF(('levy page9'!$C$32)&lt;&gt;0,('levy page9'!$C$32),"  ")</f>
        <v>  </v>
      </c>
      <c r="C18" s="64" t="str">
        <f>IF(inputPrYr!D47&gt;0,inputPrYr!D47,"  ")</f>
        <v>  </v>
      </c>
      <c r="D18" s="54" t="str">
        <f>IF(('levy page9'!$E$32)&lt;&gt;0,('levy page9'!$E$32),"  ")</f>
        <v>  </v>
      </c>
      <c r="E18" s="64" t="str">
        <f>IF(inputOth!D22&gt;0,inputOth!D22,"  ")</f>
        <v>  </v>
      </c>
      <c r="F18" s="54" t="str">
        <f>IF(('levy page9'!$G$32)&lt;&gt;0,('levy page9'!$G$32),"  ")</f>
        <v>  </v>
      </c>
      <c r="G18" s="54" t="str">
        <f>IF(('levy page9'!$G$38)&lt;&gt;0,('levy page9'!$G$38),"  ")</f>
        <v>  </v>
      </c>
      <c r="H18" s="64" t="str">
        <f>IF('levy page9'!G38&gt;0,ROUND(G18/$F$34*1000,3),"  ")</f>
        <v>  </v>
      </c>
    </row>
    <row r="19" spans="1:8" ht="15.75">
      <c r="A19" s="9" t="str">
        <f>IF((inputPrYr!$B21&gt;"  "),(inputPrYr!$B21),"  ")</f>
        <v>  </v>
      </c>
      <c r="B19" s="54" t="str">
        <f>IF(('levy page9'!$C$67)&lt;&gt;0,('levy page9'!$C$67),"  ")</f>
        <v>  </v>
      </c>
      <c r="C19" s="64" t="str">
        <f>IF(inputPrYr!D48&gt;0,inputPrYr!D48,"  ")</f>
        <v>  </v>
      </c>
      <c r="D19" s="54" t="str">
        <f>IF(('levy page9'!$E$67)&lt;&gt;0,('levy page9'!$E$67),"  ")</f>
        <v>  </v>
      </c>
      <c r="E19" s="64" t="str">
        <f>IF(inputOth!D23&gt;0,inputOth!D23,"  ")</f>
        <v>  </v>
      </c>
      <c r="F19" s="54" t="str">
        <f>IF(('levy page9'!$G$67)&lt;&gt;0,('levy page9'!$G$67),"  ")</f>
        <v>  </v>
      </c>
      <c r="G19" s="54" t="str">
        <f>IF(('levy page9'!$G$73)&lt;&gt;0,('levy page9'!$G$73),"  ")</f>
        <v>  </v>
      </c>
      <c r="H19" s="64" t="str">
        <f>IF('levy page9'!G73&gt;0,ROUND(G19/$F$34*1000,3),"  ")</f>
        <v>  </v>
      </c>
    </row>
    <row r="20" spans="1:8" ht="15.75">
      <c r="A20" s="9" t="str">
        <f>IF((inputPrYr!$B22&gt;"  "),(inputPrYr!$B22),"  ")</f>
        <v>  </v>
      </c>
      <c r="B20" s="54" t="str">
        <f>IF(('levy page10'!$C$31)&lt;&gt;0,('levy page10'!$C$31),"  ")</f>
        <v>  </v>
      </c>
      <c r="C20" s="64" t="str">
        <f>IF(inputPrYr!D49&gt;0,inputPrYr!D49,"  ")</f>
        <v>  </v>
      </c>
      <c r="D20" s="54" t="str">
        <f>IF(('levy page10'!$E$31)&lt;&gt;0,('levy page10'!$E$31),"  ")</f>
        <v>  </v>
      </c>
      <c r="E20" s="64" t="str">
        <f>IF(inputOth!D24&gt;0,inputOth!D24,"  ")</f>
        <v>  </v>
      </c>
      <c r="F20" s="54" t="str">
        <f>IF(('levy page10'!$G$31)&lt;&gt;0,('levy page10'!$G$31),"  ")</f>
        <v>  </v>
      </c>
      <c r="G20" s="54" t="str">
        <f>IF(('levy page10'!$G$37)&lt;&gt;0,('levy page10'!$G$37),"  ")</f>
        <v>  </v>
      </c>
      <c r="H20" s="64" t="str">
        <f>IF('levy page10'!G37&gt;0,ROUND(G20/$F$34*1000,3),"  ")</f>
        <v>  </v>
      </c>
    </row>
    <row r="21" spans="1:8" ht="15.75">
      <c r="A21" s="9" t="str">
        <f>IF((inputPrYr!$B23&gt;"  "),(inputPrYr!$B23),"  ")</f>
        <v>  </v>
      </c>
      <c r="B21" s="54" t="str">
        <f>IF(('levy page10'!$C$66)&lt;&gt;0,('levy page10'!$C$66),"  ")</f>
        <v>  </v>
      </c>
      <c r="C21" s="64" t="str">
        <f>IF(inputPrYr!D50&gt;0,inputPrYr!D50,"  ")</f>
        <v>  </v>
      </c>
      <c r="D21" s="54" t="str">
        <f>IF(('levy page10'!$E$66)&lt;&gt;0,('levy page10'!$E$66),"  ")</f>
        <v>  </v>
      </c>
      <c r="E21" s="64" t="str">
        <f>IF(inputOth!D25&gt;0,inputOth!D25,"  ")</f>
        <v>  </v>
      </c>
      <c r="F21" s="54" t="str">
        <f>IF(('levy page10'!$G$66)&lt;&gt;0,('levy page10'!$G$66),"  ")</f>
        <v>  </v>
      </c>
      <c r="G21" s="54" t="str">
        <f>IF(('levy page10'!$G$72)&lt;&gt;0,('levy page10'!$G$72),"  ")</f>
        <v>  </v>
      </c>
      <c r="H21" s="64" t="str">
        <f>IF('levy page10'!G72&gt;0,ROUND(G21/$F$34*1000,3),"  ")</f>
        <v>  </v>
      </c>
    </row>
    <row r="22" spans="1:8" ht="15.75">
      <c r="A22" s="9" t="str">
        <f>IF((inputPrYr!$B26&gt;"  "),(inputPrYr!$B26),"  ")</f>
        <v>Special Highway</v>
      </c>
      <c r="B22" s="54">
        <v>3730</v>
      </c>
      <c r="C22" s="47"/>
      <c r="D22" s="54">
        <f>IF((SpecHwy!$D$33)&lt;&gt;0,(SpecHwy!$D$33),"  ")</f>
        <v>4000</v>
      </c>
      <c r="E22" s="47"/>
      <c r="F22" s="54">
        <f>IF((SpecHwy!$E$33)&lt;&gt;0,(SpecHwy!$E$33),"  ")</f>
        <v>4500</v>
      </c>
      <c r="G22" s="47"/>
      <c r="H22" s="47"/>
    </row>
    <row r="23" spans="1:8" ht="15.75">
      <c r="A23" s="9" t="str">
        <f>IF((inputPrYr!$B27&gt;"  "),(inputPrYr!$B27),"  ")</f>
        <v>Utility</v>
      </c>
      <c r="B23" s="54">
        <v>53703</v>
      </c>
      <c r="C23" s="47"/>
      <c r="D23" s="54">
        <f>IF((SpecHwy!$D$69)&lt;&gt;0,(SpecHwy!$D$69),"  ")</f>
        <v>68500</v>
      </c>
      <c r="E23" s="47"/>
      <c r="F23" s="54">
        <f>IF((SpecHwy!$E$69)&lt;&gt;0,(SpecHwy!$E$69),"  ")</f>
        <v>116912</v>
      </c>
      <c r="G23" s="47"/>
      <c r="H23" s="47"/>
    </row>
    <row r="24" spans="1:8" ht="15.75">
      <c r="A24" s="9" t="str">
        <f>IF((inputPrYr!$B28&gt;"  "),(inputPrYr!$B28),"  ")</f>
        <v>  </v>
      </c>
      <c r="B24" s="54" t="str">
        <f>IF(('no levy page12'!$C$29)&lt;&gt;0,('no levy page12'!$C$29),"  ")</f>
        <v>  </v>
      </c>
      <c r="C24" s="47"/>
      <c r="D24" s="54" t="str">
        <f>IF(('no levy page12'!$D$29)&lt;&gt;0,('no levy page12'!$D$29),"  ")</f>
        <v>  </v>
      </c>
      <c r="E24" s="47"/>
      <c r="F24" s="54" t="str">
        <f>IF(('no levy page12'!$E$29)&lt;&gt;0,('no levy page12'!$E$29),"  ")</f>
        <v>  </v>
      </c>
      <c r="G24" s="47"/>
      <c r="H24" s="47"/>
    </row>
    <row r="25" spans="1:8" ht="15.75">
      <c r="A25" s="9" t="str">
        <f>IF((inputPrYr!$B29&gt;"  "),(inputPrYr!$B29),"  ")</f>
        <v>  </v>
      </c>
      <c r="B25" s="54" t="str">
        <f>IF(('no levy page12'!$C$61)&lt;&gt;0,('no levy page12'!$C$61),"  ")</f>
        <v>  </v>
      </c>
      <c r="C25" s="47"/>
      <c r="D25" s="54" t="str">
        <f>IF(('no levy page12'!$D$61)&lt;&gt;0,('no levy page12'!$D$61),"  ")</f>
        <v>  </v>
      </c>
      <c r="E25" s="47"/>
      <c r="F25" s="54" t="str">
        <f>IF(('no levy page12'!$E$61)&lt;&gt;0,('no levy page12'!$E$61),"  ")</f>
        <v>  </v>
      </c>
      <c r="G25" s="47"/>
      <c r="H25" s="47"/>
    </row>
    <row r="26" spans="1:8" ht="15.75">
      <c r="A26" s="9" t="str">
        <f>IF((inputPrYr!$B30&gt;"  "),(inputPrYr!$B30),"  ")</f>
        <v>  </v>
      </c>
      <c r="B26" s="54" t="str">
        <f>IF(('no levy page13'!$C$29)&lt;&gt;0,('no levy page13'!$C$29),"  ")</f>
        <v>  </v>
      </c>
      <c r="C26" s="47"/>
      <c r="D26" s="54" t="str">
        <f>IF(('no levy page13'!$D$29)&lt;&gt;0,('no levy page13'!$D$29),"  ")</f>
        <v>  </v>
      </c>
      <c r="E26" s="47"/>
      <c r="F26" s="54" t="str">
        <f>IF(('no levy page13'!$E$29)&lt;&gt;0,('no levy page13'!$E$29),"  ")</f>
        <v>  </v>
      </c>
      <c r="G26" s="47"/>
      <c r="H26" s="47"/>
    </row>
    <row r="27" spans="1:8" ht="15.75">
      <c r="A27" s="9" t="str">
        <f>IF((inputPrYr!$B31&gt;"  "),(inputPrYr!$B31),"  ")</f>
        <v>  </v>
      </c>
      <c r="B27" s="54" t="str">
        <f>IF(('no levy page13'!$C$61)&lt;&gt;0,('no levy page13'!$C$61),"  ")</f>
        <v>  </v>
      </c>
      <c r="C27" s="47"/>
      <c r="D27" s="54" t="str">
        <f>IF(('no levy page13'!$D$61)&lt;&gt;0,('no levy page13'!$D$61),"  ")</f>
        <v>  </v>
      </c>
      <c r="E27" s="47"/>
      <c r="F27" s="54" t="str">
        <f>IF(('no levy page13'!$E$61)&lt;&gt;0,('no levy page13'!$E$61),"  ")</f>
        <v>  </v>
      </c>
      <c r="G27" s="47"/>
      <c r="H27" s="47"/>
    </row>
    <row r="28" spans="1:8" ht="15.75">
      <c r="A28" s="9" t="str">
        <f>IF((inputPrYr!$B33&gt;"  "),(inputPrYr!$B33),"  ")</f>
        <v>  </v>
      </c>
      <c r="B28" s="54" t="str">
        <f>IF((Sinnolevy14!$C$51)&lt;&gt;0,(Sinnolevy14!$C$51),"  ")</f>
        <v>  </v>
      </c>
      <c r="C28" s="47"/>
      <c r="D28" s="54" t="str">
        <f>IF((Sinnolevy14!$D$51)&lt;&gt;0,(Sinnolevy14!$D$51),"  ")</f>
        <v>  </v>
      </c>
      <c r="E28" s="47"/>
      <c r="F28" s="54" t="str">
        <f>IF((Sinnolevy14!$E$51)&lt;&gt;0,(Sinnolevy14!$E$51),"  ")</f>
        <v>  </v>
      </c>
      <c r="G28" s="47"/>
      <c r="H28" s="47"/>
    </row>
    <row r="29" spans="1:8" ht="15.75">
      <c r="A29" s="9" t="str">
        <f>IF((inputPrYr!$B36&gt;"  "),(nonbud!$A3),"  ")</f>
        <v>Non-Budgeted Funds</v>
      </c>
      <c r="B29" s="54">
        <f>IF((nonbud!$K$28)&lt;&gt;0,(nonbud!$K$28),"  ")</f>
        <v>2776</v>
      </c>
      <c r="C29" s="47"/>
      <c r="D29" s="54"/>
      <c r="E29" s="47"/>
      <c r="F29" s="54"/>
      <c r="G29" s="47"/>
      <c r="H29" s="47"/>
    </row>
    <row r="30" spans="1:8" ht="15.75">
      <c r="A30" s="8" t="s">
        <v>70</v>
      </c>
      <c r="B30" s="73">
        <f>SUM(B16:B29)</f>
        <v>99250</v>
      </c>
      <c r="C30" s="76">
        <f>SUM(C16:C21)</f>
        <v>84.54</v>
      </c>
      <c r="D30" s="73">
        <f>SUM(D16:D29)</f>
        <v>137100</v>
      </c>
      <c r="E30" s="76">
        <f>SUM(E16:E21)</f>
        <v>64.253</v>
      </c>
      <c r="F30" s="73">
        <f>SUM(F16:F29)</f>
        <v>194132</v>
      </c>
      <c r="G30" s="73">
        <f>SUM(G16:G27)</f>
        <v>25316</v>
      </c>
      <c r="H30" s="76">
        <f>SUM(H16:H29)</f>
        <v>44.948</v>
      </c>
    </row>
    <row r="31" spans="1:8" ht="15.75">
      <c r="A31" s="14" t="s">
        <v>92</v>
      </c>
      <c r="B31" s="54">
        <f>Transfers!$C$24</f>
        <v>9000</v>
      </c>
      <c r="C31" s="66"/>
      <c r="D31" s="54">
        <f>Transfers!$D$24</f>
        <v>9000</v>
      </c>
      <c r="E31" s="67"/>
      <c r="F31" s="54">
        <f>Transfers!$E$24</f>
        <v>9000</v>
      </c>
      <c r="G31" s="62"/>
      <c r="H31" s="62"/>
    </row>
    <row r="32" spans="1:8" ht="16.5" thickBot="1">
      <c r="A32" s="99" t="s">
        <v>93</v>
      </c>
      <c r="B32" s="104">
        <f>B30-B31</f>
        <v>90250</v>
      </c>
      <c r="C32" s="30"/>
      <c r="D32" s="105">
        <f>D30-D31</f>
        <v>128100</v>
      </c>
      <c r="E32" s="52"/>
      <c r="F32" s="105">
        <f>F30-F31</f>
        <v>185132</v>
      </c>
      <c r="G32" s="62"/>
      <c r="H32" s="62"/>
    </row>
    <row r="33" spans="1:8" ht="16.5" thickTop="1">
      <c r="A33" s="14" t="s">
        <v>94</v>
      </c>
      <c r="B33" s="54">
        <f>inputPrYr!E53</f>
        <v>38013</v>
      </c>
      <c r="C33" s="62"/>
      <c r="D33" s="102">
        <f>inputPrYr!E24</f>
        <v>34421</v>
      </c>
      <c r="E33" s="62"/>
      <c r="F33" s="103" t="s">
        <v>59</v>
      </c>
      <c r="G33" s="62"/>
      <c r="H33" s="62"/>
    </row>
    <row r="34" spans="1:8" ht="15.75">
      <c r="A34" s="14" t="s">
        <v>95</v>
      </c>
      <c r="B34" s="54">
        <f>inputPrYr!E54</f>
        <v>550726</v>
      </c>
      <c r="C34" s="62"/>
      <c r="D34" s="54">
        <v>550726</v>
      </c>
      <c r="E34" s="62"/>
      <c r="F34" s="54">
        <v>563223</v>
      </c>
      <c r="G34" s="62"/>
      <c r="H34" s="62"/>
    </row>
    <row r="35" spans="1:8" ht="15.75">
      <c r="A35" s="14" t="s">
        <v>96</v>
      </c>
      <c r="B35" s="11"/>
      <c r="C35" s="11"/>
      <c r="D35" s="11"/>
      <c r="E35" s="11"/>
      <c r="F35" s="11"/>
      <c r="G35" s="11"/>
      <c r="H35" s="11"/>
    </row>
    <row r="36" spans="1:8" ht="15.75">
      <c r="A36" s="14" t="s">
        <v>97</v>
      </c>
      <c r="B36" s="44">
        <f>$H$1-3</f>
        <v>2011</v>
      </c>
      <c r="C36" s="11"/>
      <c r="D36" s="44">
        <f>$H$1-2</f>
        <v>2012</v>
      </c>
      <c r="E36" s="11"/>
      <c r="F36" s="44">
        <f>$H$1-1</f>
        <v>2013</v>
      </c>
      <c r="G36" s="11"/>
      <c r="H36" s="11"/>
    </row>
    <row r="37" spans="1:8" ht="15.75">
      <c r="A37" s="14" t="s">
        <v>98</v>
      </c>
      <c r="B37" s="54" t="str">
        <f>inputPrYr!D57</f>
        <v>None</v>
      </c>
      <c r="C37" s="11"/>
      <c r="D37" s="54" t="str">
        <f>inputPrYr!E57</f>
        <v>None</v>
      </c>
      <c r="E37" s="11"/>
      <c r="F37" s="54" t="s">
        <v>594</v>
      </c>
      <c r="G37" s="11"/>
      <c r="H37" s="11"/>
    </row>
    <row r="38" spans="1:8" ht="15.75">
      <c r="A38" s="14" t="s">
        <v>99</v>
      </c>
      <c r="B38" s="54" t="str">
        <f>inputPrYr!D58</f>
        <v>None</v>
      </c>
      <c r="C38" s="11"/>
      <c r="D38" s="54" t="str">
        <f>inputPrYr!E58</f>
        <v>None</v>
      </c>
      <c r="E38" s="11"/>
      <c r="F38" s="54" t="s">
        <v>594</v>
      </c>
      <c r="G38" s="11"/>
      <c r="H38" s="11"/>
    </row>
    <row r="39" spans="1:8" ht="15.75">
      <c r="A39" s="48" t="s">
        <v>119</v>
      </c>
      <c r="B39" s="54" t="str">
        <f>inputPrYr!D59</f>
        <v>None</v>
      </c>
      <c r="C39" s="11"/>
      <c r="D39" s="54" t="str">
        <f>inputPrYr!E59</f>
        <v>None</v>
      </c>
      <c r="E39" s="11"/>
      <c r="F39" s="55" t="s">
        <v>594</v>
      </c>
      <c r="G39" s="11"/>
      <c r="H39" s="11"/>
    </row>
    <row r="40" spans="1:8" ht="15.75">
      <c r="A40" s="14" t="s">
        <v>198</v>
      </c>
      <c r="B40" s="54" t="str">
        <f>inputPrYr!D60</f>
        <v>None</v>
      </c>
      <c r="C40" s="11"/>
      <c r="D40" s="54" t="str">
        <f>inputPrYr!E60</f>
        <v>None</v>
      </c>
      <c r="E40" s="11"/>
      <c r="F40" s="54" t="s">
        <v>594</v>
      </c>
      <c r="G40" s="11"/>
      <c r="H40" s="11"/>
    </row>
    <row r="41" spans="1:8" ht="16.5" thickBot="1">
      <c r="A41" s="14" t="s">
        <v>100</v>
      </c>
      <c r="B41" s="77">
        <f>SUM(B37:B40)</f>
        <v>0</v>
      </c>
      <c r="C41" s="11"/>
      <c r="D41" s="77">
        <f>SUM(D37:D40)</f>
        <v>0</v>
      </c>
      <c r="E41" s="11"/>
      <c r="F41" s="77">
        <f>SUM(F37:F40)</f>
        <v>0</v>
      </c>
      <c r="G41" s="11"/>
      <c r="H41" s="11"/>
    </row>
    <row r="42" spans="1:8" ht="16.5" thickTop="1">
      <c r="A42" s="14" t="s">
        <v>101</v>
      </c>
      <c r="B42" s="11"/>
      <c r="C42" s="11"/>
      <c r="D42" s="11"/>
      <c r="E42" s="11"/>
      <c r="F42" s="11"/>
      <c r="G42" s="11"/>
      <c r="H42" s="11"/>
    </row>
    <row r="43" spans="1:8" ht="15.75">
      <c r="A43" s="11"/>
      <c r="B43" s="11"/>
      <c r="C43" s="11"/>
      <c r="D43" s="11"/>
      <c r="E43" s="11"/>
      <c r="F43" s="11"/>
      <c r="G43" s="11"/>
      <c r="H43" s="11"/>
    </row>
    <row r="44" spans="1:8" ht="15.75">
      <c r="A44" s="20"/>
      <c r="B44" s="20"/>
      <c r="C44" s="22"/>
      <c r="D44" s="11"/>
      <c r="E44" s="11"/>
      <c r="F44" s="11"/>
      <c r="G44" s="11"/>
      <c r="H44" s="11"/>
    </row>
    <row r="45" spans="1:8" ht="15.75">
      <c r="A45" s="25" t="s">
        <v>240</v>
      </c>
      <c r="B45" s="643" t="s">
        <v>615</v>
      </c>
      <c r="C45" s="644"/>
      <c r="D45" s="11"/>
      <c r="E45" s="11"/>
      <c r="F45" s="11"/>
      <c r="G45" s="11"/>
      <c r="H45" s="11"/>
    </row>
    <row r="46" spans="1:8" ht="15.75">
      <c r="A46" s="25"/>
      <c r="B46" s="62"/>
      <c r="C46" s="63"/>
      <c r="D46" s="11"/>
      <c r="E46" s="11"/>
      <c r="F46" s="11"/>
      <c r="G46" s="11"/>
      <c r="H46" s="11"/>
    </row>
    <row r="47" spans="1:8" ht="15.75">
      <c r="A47" s="11"/>
      <c r="B47" s="11"/>
      <c r="C47" s="11"/>
      <c r="D47" s="11"/>
      <c r="E47" s="11"/>
      <c r="F47" s="11"/>
      <c r="G47" s="11"/>
      <c r="H47" s="11"/>
    </row>
    <row r="48" spans="1:8" ht="15.75">
      <c r="A48" s="11"/>
      <c r="B48" s="11"/>
      <c r="C48" s="28" t="s">
        <v>102</v>
      </c>
      <c r="D48" s="4"/>
      <c r="E48" s="11"/>
      <c r="F48" s="11"/>
      <c r="G48" s="11"/>
      <c r="H48" s="11"/>
    </row>
    <row r="49" spans="1:8" ht="15.75">
      <c r="A49" s="1"/>
      <c r="B49" s="1"/>
      <c r="C49" s="1"/>
      <c r="D49" s="1"/>
      <c r="E49" s="1"/>
      <c r="F49" s="1"/>
      <c r="G49" s="1"/>
      <c r="H49" s="1"/>
    </row>
    <row r="50" spans="9:13" ht="15.75">
      <c r="I50" s="1"/>
      <c r="J50" s="1"/>
      <c r="K50" s="1"/>
      <c r="L50" s="1"/>
      <c r="M50" s="1"/>
    </row>
    <row r="89" spans="1:8" ht="15.75">
      <c r="A89" s="1"/>
      <c r="B89" s="1"/>
      <c r="C89" s="1"/>
      <c r="D89" s="1"/>
      <c r="E89" s="1"/>
      <c r="F89" s="1"/>
      <c r="G89" s="1"/>
      <c r="H89" s="1"/>
    </row>
    <row r="90" ht="15.75">
      <c r="I90" s="1"/>
    </row>
    <row r="100" spans="1:8" ht="15.75">
      <c r="A100" s="1"/>
      <c r="B100" s="1"/>
      <c r="C100" s="1"/>
      <c r="D100" s="1"/>
      <c r="E100" s="1"/>
      <c r="F100" s="1"/>
      <c r="G100" s="1"/>
      <c r="H100" s="1"/>
    </row>
    <row r="122" spans="1:15" ht="15.75">
      <c r="A122" s="1"/>
      <c r="B122" s="1"/>
      <c r="C122" s="1"/>
      <c r="D122" s="1"/>
      <c r="E122" s="1"/>
      <c r="F122" s="1"/>
      <c r="G122" s="1"/>
      <c r="H122" s="1"/>
      <c r="I122" s="1"/>
      <c r="J122" s="1"/>
      <c r="K122" s="1"/>
      <c r="L122" s="1"/>
      <c r="M122" s="1"/>
      <c r="N122" s="1"/>
      <c r="O122" s="1"/>
    </row>
    <row r="166" spans="1:17" ht="15.75">
      <c r="A166" s="1"/>
      <c r="B166" s="1"/>
      <c r="C166" s="1"/>
      <c r="D166" s="1"/>
      <c r="E166" s="1"/>
      <c r="F166" s="1"/>
      <c r="G166" s="1"/>
      <c r="H166" s="1"/>
      <c r="I166" s="1"/>
      <c r="J166" s="1"/>
      <c r="K166" s="1"/>
      <c r="L166" s="1"/>
      <c r="M166" s="1"/>
      <c r="N166" s="1"/>
      <c r="O166" s="1"/>
      <c r="P166" s="1"/>
      <c r="Q166" s="1"/>
    </row>
  </sheetData>
  <sheetProtection/>
  <mergeCells count="7">
    <mergeCell ref="B45:C45"/>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oddFooter>&amp;Lrevised 12/08/09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31" sqref="C31"/>
    </sheetView>
  </sheetViews>
  <sheetFormatPr defaultColWidth="8.796875" defaultRowHeight="15"/>
  <cols>
    <col min="1" max="1" width="12.69921875" style="0" customWidth="1"/>
    <col min="2" max="2" width="18.09765625" style="0" customWidth="1"/>
    <col min="3" max="5" width="11.796875" style="0" customWidth="1"/>
  </cols>
  <sheetData>
    <row r="1" spans="1:6" ht="15.75">
      <c r="A1" s="91" t="str">
        <f>inputPrYr!D2</f>
        <v>CITY OF BOGUE</v>
      </c>
      <c r="B1" s="7"/>
      <c r="C1" s="7"/>
      <c r="D1" s="7"/>
      <c r="E1" s="7"/>
      <c r="F1" s="7">
        <f>inputPrYr!C5</f>
        <v>2014</v>
      </c>
    </row>
    <row r="2" spans="1:6" ht="15.75">
      <c r="A2" s="91"/>
      <c r="B2" s="7"/>
      <c r="C2" s="7"/>
      <c r="D2" s="7"/>
      <c r="E2" s="7"/>
      <c r="F2" s="7"/>
    </row>
    <row r="3" spans="1:6" ht="15.75">
      <c r="A3" s="7"/>
      <c r="B3" s="7"/>
      <c r="C3" s="7"/>
      <c r="D3" s="7"/>
      <c r="E3" s="7"/>
      <c r="F3" s="7"/>
    </row>
    <row r="4" spans="1:6" ht="15.75">
      <c r="A4" s="11"/>
      <c r="B4" s="647" t="str">
        <f>CONCATENATE("",F1," Neighborhood Revitalization Rebate")</f>
        <v>2014 Neighborhood Revitalization Rebate</v>
      </c>
      <c r="C4" s="648"/>
      <c r="D4" s="648"/>
      <c r="E4" s="649"/>
      <c r="F4" s="7"/>
    </row>
    <row r="5" spans="1:6" ht="15.75">
      <c r="A5" s="11"/>
      <c r="B5" s="11"/>
      <c r="C5" s="11"/>
      <c r="D5" s="11"/>
      <c r="E5" s="11"/>
      <c r="F5" s="7"/>
    </row>
    <row r="6" spans="1:6" ht="51.75" customHeight="1">
      <c r="A6" s="11"/>
      <c r="B6" s="509" t="str">
        <f>CONCATENATE("Budgeted Funds                      for ",F1,"")</f>
        <v>Budgeted Funds                      for 2014</v>
      </c>
      <c r="C6" s="509" t="str">
        <f>CONCATENATE("",F1-1," Ad Valorem before Rebate**")</f>
        <v>2013 Ad Valorem before Rebate**</v>
      </c>
      <c r="D6" s="510" t="str">
        <f>CONCATENATE("",F1-1," Mil Rate before Rebate")</f>
        <v>2013 Mil Rate before Rebate</v>
      </c>
      <c r="E6" s="511" t="str">
        <f>CONCATENATE("Estimate ",F1," NR Rebate")</f>
        <v>Estimate 2014 NR Rebate</v>
      </c>
      <c r="F6" s="7"/>
    </row>
    <row r="7" spans="1:6" ht="15.75">
      <c r="A7" s="11"/>
      <c r="B7" s="8" t="s">
        <v>37</v>
      </c>
      <c r="C7" s="97"/>
      <c r="D7" s="79">
        <f aca="true" t="shared" si="0" ref="D7:D12">IF(C7&gt;0,C7/$D$18,"")</f>
      </c>
      <c r="E7" s="54">
        <f aca="true" t="shared" si="1" ref="E7:E12">IF(C7&gt;0,ROUND(D7*$D$22,0),"")</f>
      </c>
      <c r="F7" s="7"/>
    </row>
    <row r="8" spans="1:6" ht="15.75">
      <c r="A8" s="11"/>
      <c r="B8" s="8" t="str">
        <f>inputPrYr!B18</f>
        <v>Debt Service</v>
      </c>
      <c r="C8" s="97"/>
      <c r="D8" s="79">
        <f t="shared" si="0"/>
      </c>
      <c r="E8" s="54">
        <f t="shared" si="1"/>
      </c>
      <c r="F8" s="7"/>
    </row>
    <row r="9" spans="1:6" ht="15.75">
      <c r="A9" s="11"/>
      <c r="B9" s="9" t="str">
        <f>IF((inputPrYr!$B20&gt;"  "),(inputPrYr!$B20),"  ")</f>
        <v>  </v>
      </c>
      <c r="C9" s="97"/>
      <c r="D9" s="79">
        <f t="shared" si="0"/>
      </c>
      <c r="E9" s="54">
        <f t="shared" si="1"/>
      </c>
      <c r="F9" s="7"/>
    </row>
    <row r="10" spans="1:6" ht="15.75">
      <c r="A10" s="11"/>
      <c r="B10" s="9" t="str">
        <f>IF((inputPrYr!$B21&gt;"  "),(inputPrYr!$B21),"  ")</f>
        <v>  </v>
      </c>
      <c r="C10" s="97"/>
      <c r="D10" s="79">
        <f t="shared" si="0"/>
      </c>
      <c r="E10" s="54">
        <f t="shared" si="1"/>
      </c>
      <c r="F10" s="7"/>
    </row>
    <row r="11" spans="1:6" ht="15.75">
      <c r="A11" s="11"/>
      <c r="B11" s="9" t="str">
        <f>IF((inputPrYr!$B22&gt;"  "),(inputPrYr!$B22),"  ")</f>
        <v>  </v>
      </c>
      <c r="C11" s="97"/>
      <c r="D11" s="79">
        <f t="shared" si="0"/>
      </c>
      <c r="E11" s="54">
        <f t="shared" si="1"/>
      </c>
      <c r="F11" s="7"/>
    </row>
    <row r="12" spans="1:6" ht="15.75">
      <c r="A12" s="11"/>
      <c r="B12" s="9" t="str">
        <f>IF((inputPrYr!$B23&gt;"  "),(inputPrYr!$B23),"  ")</f>
        <v>  </v>
      </c>
      <c r="C12" s="97"/>
      <c r="D12" s="79">
        <f t="shared" si="0"/>
      </c>
      <c r="E12" s="54">
        <f t="shared" si="1"/>
      </c>
      <c r="F12" s="7"/>
    </row>
    <row r="13" spans="1:6" ht="16.5" thickBot="1">
      <c r="A13" s="11"/>
      <c r="B13" s="24" t="s">
        <v>65</v>
      </c>
      <c r="C13" s="56">
        <f>SUM(C7:C12)</f>
        <v>0</v>
      </c>
      <c r="D13" s="80">
        <f>SUM(D7:D12)</f>
        <v>0</v>
      </c>
      <c r="E13" s="56">
        <f>SUM(E7:E12)</f>
        <v>0</v>
      </c>
      <c r="F13" s="7"/>
    </row>
    <row r="14" spans="1:6" ht="16.5" thickTop="1">
      <c r="A14" s="11"/>
      <c r="B14" s="11"/>
      <c r="C14" s="11"/>
      <c r="D14" s="11"/>
      <c r="E14" s="11"/>
      <c r="F14" s="7"/>
    </row>
    <row r="15" spans="1:6" ht="15.75">
      <c r="A15" s="11"/>
      <c r="B15" s="11"/>
      <c r="C15" s="11"/>
      <c r="D15" s="11"/>
      <c r="E15" s="11"/>
      <c r="F15" s="7"/>
    </row>
    <row r="16" spans="1:6" ht="15.75">
      <c r="A16" s="652" t="str">
        <f>CONCATENATE("",F1-1," July 1 Valuation:")</f>
        <v>2013 July 1 Valuation:</v>
      </c>
      <c r="B16" s="651"/>
      <c r="C16" s="652"/>
      <c r="D16" s="65">
        <f>inputOth!E6</f>
        <v>0</v>
      </c>
      <c r="E16" s="11"/>
      <c r="F16" s="7"/>
    </row>
    <row r="17" spans="1:6" ht="15.75">
      <c r="A17" s="11"/>
      <c r="B17" s="11"/>
      <c r="C17" s="11"/>
      <c r="D17" s="11"/>
      <c r="E17" s="11"/>
      <c r="F17" s="7"/>
    </row>
    <row r="18" spans="1:6" ht="15.75">
      <c r="A18" s="11"/>
      <c r="B18" s="652" t="s">
        <v>262</v>
      </c>
      <c r="C18" s="652"/>
      <c r="D18" s="92">
        <f>IF(D16&gt;0,(D16*0.001),"")</f>
      </c>
      <c r="E18" s="11"/>
      <c r="F18" s="7"/>
    </row>
    <row r="19" spans="1:6" ht="15.75">
      <c r="A19" s="11"/>
      <c r="B19" s="28"/>
      <c r="C19" s="28"/>
      <c r="D19" s="93"/>
      <c r="E19" s="11"/>
      <c r="F19" s="7"/>
    </row>
    <row r="20" spans="1:6" ht="15.75">
      <c r="A20" s="650" t="s">
        <v>263</v>
      </c>
      <c r="B20" s="649"/>
      <c r="C20" s="649"/>
      <c r="D20" s="94">
        <f>inputOth!E16</f>
        <v>0</v>
      </c>
      <c r="E20" s="51"/>
      <c r="F20" s="51"/>
    </row>
    <row r="21" spans="1:6" ht="15">
      <c r="A21" s="51"/>
      <c r="B21" s="51"/>
      <c r="C21" s="51"/>
      <c r="D21" s="95"/>
      <c r="E21" s="51"/>
      <c r="F21" s="51"/>
    </row>
    <row r="22" spans="1:6" ht="15.75">
      <c r="A22" s="51"/>
      <c r="B22" s="650" t="s">
        <v>264</v>
      </c>
      <c r="C22" s="651"/>
      <c r="D22" s="96">
        <f>IF(D20&gt;0,(D20*0.001),"")</f>
      </c>
      <c r="E22" s="51"/>
      <c r="F22" s="51"/>
    </row>
    <row r="23" spans="1:6" ht="15">
      <c r="A23" s="51"/>
      <c r="B23" s="51"/>
      <c r="C23" s="51"/>
      <c r="D23" s="51"/>
      <c r="E23" s="51"/>
      <c r="F23" s="51"/>
    </row>
    <row r="24" spans="1:6" ht="15">
      <c r="A24" s="51"/>
      <c r="B24" s="51"/>
      <c r="C24" s="51"/>
      <c r="D24" s="51"/>
      <c r="E24" s="51"/>
      <c r="F24" s="51"/>
    </row>
    <row r="25" spans="1:6" ht="15.75">
      <c r="A25" s="508" t="str">
        <f>CONCATENATE("**This information comes from the ",F1," Budget Summary page.  See instructions tab #12 for completing")</f>
        <v>**This information comes from the 2014 Budget Summary page.  See instructions tab #12 for completing</v>
      </c>
      <c r="B25" s="51"/>
      <c r="C25" s="51"/>
      <c r="D25" s="51"/>
      <c r="E25" s="51"/>
      <c r="F25" s="51"/>
    </row>
    <row r="26" spans="1:6" ht="15.75">
      <c r="A26" s="508" t="s">
        <v>570</v>
      </c>
      <c r="B26" s="51"/>
      <c r="C26" s="51"/>
      <c r="D26" s="51"/>
      <c r="E26" s="51"/>
      <c r="F26" s="51"/>
    </row>
    <row r="27" spans="1:6" ht="15.75">
      <c r="A27" s="508"/>
      <c r="B27" s="51"/>
      <c r="C27" s="51"/>
      <c r="D27" s="51"/>
      <c r="E27" s="51"/>
      <c r="F27" s="51"/>
    </row>
    <row r="28" spans="1:6" ht="15.75">
      <c r="A28" s="508"/>
      <c r="B28" s="51"/>
      <c r="C28" s="51"/>
      <c r="D28" s="51"/>
      <c r="E28" s="51"/>
      <c r="F28" s="51"/>
    </row>
    <row r="29" spans="1:6" ht="15">
      <c r="A29" s="51"/>
      <c r="B29" s="51"/>
      <c r="C29" s="51"/>
      <c r="D29" s="51"/>
      <c r="E29" s="51"/>
      <c r="F29" s="95"/>
    </row>
    <row r="30" spans="1:6" ht="15">
      <c r="A30" s="51"/>
      <c r="B30" s="51"/>
      <c r="C30" s="51"/>
      <c r="D30" s="51"/>
      <c r="E30" s="51"/>
      <c r="F30" s="51"/>
    </row>
    <row r="31" spans="1:6" ht="15.75">
      <c r="A31" s="51"/>
      <c r="B31" s="70" t="s">
        <v>84</v>
      </c>
      <c r="C31" s="4"/>
      <c r="D31" s="51"/>
      <c r="E31" s="51"/>
      <c r="F31" s="51"/>
    </row>
  </sheetData>
  <sheetProtection sheet="1"/>
  <mergeCells count="5">
    <mergeCell ref="B4:E4"/>
    <mergeCell ref="B22:C22"/>
    <mergeCell ref="A16:C16"/>
    <mergeCell ref="B18:C18"/>
    <mergeCell ref="A20:C20"/>
  </mergeCells>
  <printOptions/>
  <pageMargins left="0.5" right="0.5" top="0.5" bottom="0.5" header="0" footer="0.5"/>
  <pageSetup blackAndWhite="1" fitToHeight="1" fitToWidth="1" horizontalDpi="600" verticalDpi="600" orientation="portrait" scale="95" r:id="rId1"/>
  <headerFooter alignWithMargins="0">
    <oddHeader>&amp;RState of Kansas
City</oddHeader>
    <oddFooter>&amp;Lrevised 12/28/09</oddFoot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4">
      <selection activeCell="A35" sqref="A35"/>
    </sheetView>
  </sheetViews>
  <sheetFormatPr defaultColWidth="8.796875" defaultRowHeight="15"/>
  <sheetData>
    <row r="1" spans="1:7" ht="16.5" customHeight="1">
      <c r="A1" s="655" t="s">
        <v>616</v>
      </c>
      <c r="B1" s="655"/>
      <c r="C1" s="655"/>
      <c r="D1" s="655"/>
      <c r="E1" s="655"/>
      <c r="F1" s="655"/>
      <c r="G1" s="655"/>
    </row>
    <row r="2" spans="1:7" ht="16.5" customHeight="1">
      <c r="A2" s="655"/>
      <c r="B2" s="655"/>
      <c r="C2" s="655"/>
      <c r="D2" s="655"/>
      <c r="E2" s="655"/>
      <c r="F2" s="655"/>
      <c r="G2" s="655"/>
    </row>
    <row r="3" spans="1:7" ht="16.5" customHeight="1">
      <c r="A3" s="656"/>
      <c r="B3" s="656"/>
      <c r="C3" s="656"/>
      <c r="D3" s="656"/>
      <c r="E3" s="656"/>
      <c r="F3" s="656"/>
      <c r="G3" s="656"/>
    </row>
    <row r="4" spans="1:7" ht="16.5" customHeight="1">
      <c r="A4" s="653" t="str">
        <f>CONCATENATE("AN ORDINANCE ATTESTING TO AN INCREASE IN TAX REVENUES FOR BUDGET YEAR ",(inputPrYr!$C$5)," FOR THE ",(inputPrYr!$D$2))</f>
        <v>AN ORDINANCE ATTESTING TO AN INCREASE IN TAX REVENUES FOR BUDGET YEAR 2014 FOR THE CITY OF BOGUE</v>
      </c>
      <c r="B4" s="653"/>
      <c r="C4" s="653"/>
      <c r="D4" s="653"/>
      <c r="E4" s="653"/>
      <c r="F4" s="653"/>
      <c r="G4" s="653"/>
    </row>
    <row r="5" spans="1:7" ht="16.5" customHeight="1">
      <c r="A5" s="653"/>
      <c r="B5" s="653"/>
      <c r="C5" s="653"/>
      <c r="D5" s="653"/>
      <c r="E5" s="653"/>
      <c r="F5" s="653"/>
      <c r="G5" s="653"/>
    </row>
    <row r="6" spans="1:7" ht="16.5" customHeight="1">
      <c r="A6" s="655"/>
      <c r="B6" s="655"/>
      <c r="C6" s="655"/>
      <c r="D6" s="655"/>
      <c r="E6" s="655"/>
      <c r="F6" s="655"/>
      <c r="G6" s="655"/>
    </row>
    <row r="7" spans="1:14" ht="16.5" customHeight="1">
      <c r="A7" s="653" t="str">
        <f>CONCATENATE("WHEREAS, the  ",(inputPrYr!$D$2)," must continue to provide services to protect the health, safety, and welfare of the citizens of this community; and")</f>
        <v>WHEREAS, the  CITY OF BOGUE must continue to provide services to protect the health, safety, and welfare of the citizens of this community; and</v>
      </c>
      <c r="B7" s="653"/>
      <c r="C7" s="653"/>
      <c r="D7" s="653"/>
      <c r="E7" s="653"/>
      <c r="F7" s="653"/>
      <c r="G7" s="653"/>
      <c r="H7" s="45"/>
      <c r="I7" s="45"/>
      <c r="J7" s="45"/>
      <c r="K7" s="45"/>
      <c r="L7" s="45"/>
      <c r="M7" s="45"/>
      <c r="N7" s="45"/>
    </row>
    <row r="8" spans="1:14" ht="16.5" customHeight="1">
      <c r="A8" s="653"/>
      <c r="B8" s="653"/>
      <c r="C8" s="653"/>
      <c r="D8" s="653"/>
      <c r="E8" s="653"/>
      <c r="F8" s="653"/>
      <c r="G8" s="653"/>
      <c r="H8" s="45"/>
      <c r="I8" s="45"/>
      <c r="J8" s="45"/>
      <c r="K8" s="45"/>
      <c r="L8" s="45"/>
      <c r="M8" s="45"/>
      <c r="N8" s="45"/>
    </row>
    <row r="9" spans="1:7" ht="16.5" customHeight="1">
      <c r="A9" s="58"/>
      <c r="B9" s="58"/>
      <c r="C9" s="58"/>
      <c r="D9" s="58"/>
      <c r="E9" s="58"/>
      <c r="F9" s="58"/>
      <c r="G9" s="58"/>
    </row>
    <row r="10" spans="1:7" ht="16.5" customHeight="1">
      <c r="A10" s="653" t="s">
        <v>204</v>
      </c>
      <c r="B10" s="653"/>
      <c r="C10" s="653"/>
      <c r="D10" s="653"/>
      <c r="E10" s="653"/>
      <c r="F10" s="653"/>
      <c r="G10" s="653"/>
    </row>
    <row r="11" spans="1:7" ht="16.5" customHeight="1">
      <c r="A11" s="653"/>
      <c r="B11" s="653"/>
      <c r="C11" s="653"/>
      <c r="D11" s="653"/>
      <c r="E11" s="653"/>
      <c r="F11" s="653"/>
      <c r="G11" s="653"/>
    </row>
    <row r="12" spans="1:7" ht="16.5" customHeight="1">
      <c r="A12" s="58"/>
      <c r="B12" s="58"/>
      <c r="C12" s="58"/>
      <c r="D12" s="58"/>
      <c r="E12" s="58"/>
      <c r="F12" s="58"/>
      <c r="G12" s="58"/>
    </row>
    <row r="13" spans="1:14" ht="16.5" customHeight="1">
      <c r="A13" s="653" t="str">
        <f>CONCATENATE("NOW THEREFORE, be it ordained by the Governing Body of the ",(inputPrYr!$D$2),":")</f>
        <v>NOW THEREFORE, be it ordained by the Governing Body of the CITY OF BOGUE:</v>
      </c>
      <c r="B13" s="653"/>
      <c r="C13" s="653"/>
      <c r="D13" s="653"/>
      <c r="E13" s="653"/>
      <c r="F13" s="653"/>
      <c r="G13" s="653"/>
      <c r="H13" s="45"/>
      <c r="I13" s="45"/>
      <c r="J13" s="45"/>
      <c r="K13" s="45"/>
      <c r="L13" s="45"/>
      <c r="M13" s="45"/>
      <c r="N13" s="45"/>
    </row>
    <row r="14" spans="1:14" ht="16.5" customHeight="1">
      <c r="A14" s="653"/>
      <c r="B14" s="653"/>
      <c r="C14" s="653"/>
      <c r="D14" s="653"/>
      <c r="E14" s="653"/>
      <c r="F14" s="653"/>
      <c r="G14" s="653"/>
      <c r="H14" s="45"/>
      <c r="I14" s="45"/>
      <c r="J14" s="45"/>
      <c r="K14" s="45"/>
      <c r="L14" s="45"/>
      <c r="M14" s="45"/>
      <c r="N14" s="45"/>
    </row>
    <row r="15" spans="1:14" ht="16.5" customHeight="1">
      <c r="A15" s="65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BOGUE  has scheduled a public hearing and has prepared the proposed budget necessary to fund city services from January 1, 2014 until December 31, 2014.</v>
      </c>
      <c r="B15" s="653"/>
      <c r="C15" s="653"/>
      <c r="D15" s="653"/>
      <c r="E15" s="653"/>
      <c r="F15" s="653"/>
      <c r="G15" s="653"/>
      <c r="H15" s="45"/>
      <c r="I15" s="45"/>
      <c r="J15" s="45"/>
      <c r="K15" s="45"/>
      <c r="L15" s="45"/>
      <c r="M15" s="45"/>
      <c r="N15" s="45"/>
    </row>
    <row r="16" spans="1:14" ht="16.5" customHeight="1">
      <c r="A16" s="653"/>
      <c r="B16" s="653"/>
      <c r="C16" s="653"/>
      <c r="D16" s="653"/>
      <c r="E16" s="653"/>
      <c r="F16" s="653"/>
      <c r="G16" s="653"/>
      <c r="H16" s="45"/>
      <c r="I16" s="45"/>
      <c r="J16" s="45"/>
      <c r="K16" s="45"/>
      <c r="L16" s="45"/>
      <c r="M16" s="45"/>
      <c r="N16" s="45"/>
    </row>
    <row r="17" spans="1:14" ht="16.5" customHeight="1">
      <c r="A17" s="653"/>
      <c r="B17" s="653"/>
      <c r="C17" s="653"/>
      <c r="D17" s="653"/>
      <c r="E17" s="653"/>
      <c r="F17" s="653"/>
      <c r="G17" s="653"/>
      <c r="H17" s="46"/>
      <c r="I17" s="46"/>
      <c r="J17" s="46"/>
      <c r="K17" s="46"/>
      <c r="L17" s="46"/>
      <c r="M17" s="46"/>
      <c r="N17" s="46"/>
    </row>
    <row r="18" spans="1:7" ht="16.5" customHeight="1">
      <c r="A18" s="59"/>
      <c r="B18" s="59"/>
      <c r="C18" s="59"/>
      <c r="D18" s="59"/>
      <c r="E18" s="59"/>
      <c r="F18" s="59"/>
      <c r="G18" s="59"/>
    </row>
    <row r="19" spans="1:7" ht="16.5" customHeight="1">
      <c r="A19" s="60" t="s">
        <v>23</v>
      </c>
      <c r="B19" s="60"/>
      <c r="C19" s="60"/>
      <c r="D19" s="60"/>
      <c r="E19" s="60"/>
      <c r="F19" s="60"/>
      <c r="G19" s="60"/>
    </row>
    <row r="20" spans="1:7" ht="16.5" customHeight="1">
      <c r="A20" s="60" t="s">
        <v>24</v>
      </c>
      <c r="B20" s="60"/>
      <c r="C20" s="60"/>
      <c r="D20" s="60"/>
      <c r="E20" s="60"/>
      <c r="F20" s="60"/>
      <c r="G20" s="60"/>
    </row>
    <row r="21" spans="1:7" ht="16.5" customHeight="1">
      <c r="A21" s="57" t="str">
        <f>CONCATENATE("necessary to budget property tax revenues in an amount exceeding the levy in the ",inputPrYr!$C$5-1,"")</f>
        <v>necessary to budget property tax revenues in an amount exceeding the levy in the 2013</v>
      </c>
      <c r="B21" s="57"/>
      <c r="C21" s="57"/>
      <c r="D21" s="57"/>
      <c r="E21" s="57"/>
      <c r="F21" s="57"/>
      <c r="G21" s="57"/>
    </row>
    <row r="22" spans="1:7" ht="16.5" customHeight="1">
      <c r="A22" s="57" t="s">
        <v>25</v>
      </c>
      <c r="B22" s="57"/>
      <c r="C22" s="57"/>
      <c r="D22" s="57"/>
      <c r="E22" s="57"/>
      <c r="F22" s="57"/>
      <c r="G22" s="57"/>
    </row>
    <row r="23" spans="1:7" ht="16.5" customHeight="1">
      <c r="A23" s="59"/>
      <c r="B23" s="59"/>
      <c r="C23" s="59"/>
      <c r="D23" s="59"/>
      <c r="E23" s="59"/>
      <c r="F23" s="59"/>
      <c r="G23" s="59"/>
    </row>
    <row r="24" spans="1:7" ht="16.5" customHeight="1">
      <c r="A24" s="653" t="s">
        <v>205</v>
      </c>
      <c r="B24" s="653"/>
      <c r="C24" s="653"/>
      <c r="D24" s="653"/>
      <c r="E24" s="653"/>
      <c r="F24" s="653"/>
      <c r="G24" s="653"/>
    </row>
    <row r="25" spans="1:7" ht="16.5" customHeight="1">
      <c r="A25" s="653"/>
      <c r="B25" s="653"/>
      <c r="C25" s="653"/>
      <c r="D25" s="653"/>
      <c r="E25" s="653"/>
      <c r="F25" s="653"/>
      <c r="G25" s="653"/>
    </row>
    <row r="26" spans="1:7" ht="16.5" customHeight="1">
      <c r="A26" s="59"/>
      <c r="B26" s="59"/>
      <c r="C26" s="59"/>
      <c r="D26" s="59"/>
      <c r="E26" s="59"/>
      <c r="F26" s="59"/>
      <c r="G26" s="59"/>
    </row>
    <row r="27" spans="1:7" ht="16.5" customHeight="1">
      <c r="A27" s="653" t="s">
        <v>617</v>
      </c>
      <c r="B27" s="653"/>
      <c r="C27" s="653"/>
      <c r="D27" s="653"/>
      <c r="E27" s="653"/>
      <c r="F27" s="653"/>
      <c r="G27" s="653"/>
    </row>
    <row r="28" spans="1:7" ht="16.5" customHeight="1">
      <c r="A28" s="653"/>
      <c r="B28" s="653"/>
      <c r="C28" s="653"/>
      <c r="D28" s="653"/>
      <c r="E28" s="653"/>
      <c r="F28" s="653"/>
      <c r="G28" s="653"/>
    </row>
    <row r="29" spans="1:7" ht="16.5" customHeight="1">
      <c r="A29" s="61"/>
      <c r="B29" s="1"/>
      <c r="C29" s="1"/>
      <c r="D29" s="1"/>
      <c r="E29" s="1"/>
      <c r="F29" s="1"/>
      <c r="G29" s="1"/>
    </row>
    <row r="30" spans="1:7" ht="16.5" customHeight="1">
      <c r="A30" s="654" t="s">
        <v>206</v>
      </c>
      <c r="B30" s="654"/>
      <c r="C30" s="654"/>
      <c r="D30" s="654"/>
      <c r="E30" s="654"/>
      <c r="F30" s="654"/>
      <c r="G30" s="654"/>
    </row>
    <row r="31" spans="1:7" ht="16.5" customHeight="1">
      <c r="A31" s="654" t="s">
        <v>615</v>
      </c>
      <c r="B31" s="654"/>
      <c r="C31" s="654"/>
      <c r="D31" s="654"/>
      <c r="E31" s="654"/>
      <c r="F31" s="654"/>
      <c r="G31" s="654"/>
    </row>
    <row r="32" spans="1:7" ht="16.5" customHeight="1">
      <c r="A32" s="61" t="s">
        <v>207</v>
      </c>
      <c r="B32" s="1"/>
      <c r="C32" s="1"/>
      <c r="D32" s="1"/>
      <c r="E32" s="1"/>
      <c r="F32" s="1"/>
      <c r="G32" s="1"/>
    </row>
    <row r="33" spans="1:7" ht="16.5" customHeight="1">
      <c r="A33" s="1"/>
      <c r="B33" s="61" t="s">
        <v>208</v>
      </c>
      <c r="C33" s="1"/>
      <c r="D33" s="1"/>
      <c r="E33" s="1"/>
      <c r="F33" s="1"/>
      <c r="G33" s="1"/>
    </row>
    <row r="34" spans="1:7" ht="16.5" customHeight="1">
      <c r="A34" s="61"/>
      <c r="B34" s="1"/>
      <c r="C34" s="1"/>
      <c r="D34" s="1"/>
      <c r="E34" s="1"/>
      <c r="F34" s="1"/>
      <c r="G34" s="1"/>
    </row>
    <row r="35" spans="1:7" ht="16.5" customHeight="1">
      <c r="A35" s="61"/>
      <c r="B35" s="1"/>
      <c r="C35" s="1"/>
      <c r="D35" s="1"/>
      <c r="E35" s="1"/>
      <c r="F35" s="1"/>
      <c r="G35" s="1"/>
    </row>
    <row r="36" spans="1:7" ht="16.5" customHeight="1">
      <c r="A36" s="61" t="s">
        <v>209</v>
      </c>
      <c r="B36" s="1"/>
      <c r="C36" s="1"/>
      <c r="D36" s="1"/>
      <c r="E36" s="1"/>
      <c r="F36" s="1"/>
      <c r="G36" s="1"/>
    </row>
    <row r="37" spans="1:7" ht="16.5" customHeight="1">
      <c r="A37" s="61"/>
      <c r="B37" s="1"/>
      <c r="C37" s="1"/>
      <c r="D37" s="1"/>
      <c r="E37" s="1"/>
      <c r="F37" s="1"/>
      <c r="G37" s="1"/>
    </row>
    <row r="38" spans="1:7" ht="16.5" customHeight="1">
      <c r="A38" s="61"/>
      <c r="B38" s="1"/>
      <c r="C38" s="1"/>
      <c r="D38" s="1"/>
      <c r="E38" s="1"/>
      <c r="F38" s="1"/>
      <c r="G38" s="1"/>
    </row>
    <row r="39" spans="1:7" ht="16.5" customHeight="1">
      <c r="A39" s="61"/>
      <c r="B39" s="1"/>
      <c r="C39" s="1"/>
      <c r="D39" s="1"/>
      <c r="E39" s="1"/>
      <c r="F39" s="1"/>
      <c r="G39" s="1"/>
    </row>
    <row r="40" spans="1:7" ht="16.5" customHeight="1">
      <c r="A40" s="61" t="s">
        <v>210</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61">
      <selection activeCell="A77" sqref="A77"/>
    </sheetView>
  </sheetViews>
  <sheetFormatPr defaultColWidth="8.796875" defaultRowHeight="15"/>
  <cols>
    <col min="1" max="1" width="71.296875" style="0" customWidth="1"/>
  </cols>
  <sheetData>
    <row r="3" spans="1:12" ht="15">
      <c r="A3" s="494" t="s">
        <v>380</v>
      </c>
      <c r="B3" s="494"/>
      <c r="C3" s="494"/>
      <c r="D3" s="494"/>
      <c r="E3" s="494"/>
      <c r="F3" s="494"/>
      <c r="G3" s="494"/>
      <c r="H3" s="494"/>
      <c r="I3" s="494"/>
      <c r="J3" s="494"/>
      <c r="K3" s="494"/>
      <c r="L3" s="494"/>
    </row>
    <row r="5" ht="15">
      <c r="A5" s="493" t="s">
        <v>381</v>
      </c>
    </row>
    <row r="6" ht="15">
      <c r="A6" s="493" t="str">
        <f>CONCATENATE(inputPrYr!C5-2," 'total expenditures' exceed your ",inputPrYr!C5-2," 'budget authority.'")</f>
        <v>2012 'total expenditures' exceed your 2012 'budget authority.'</v>
      </c>
    </row>
    <row r="7" ht="15">
      <c r="A7" s="493"/>
    </row>
    <row r="8" ht="15">
      <c r="A8" s="493" t="s">
        <v>382</v>
      </c>
    </row>
    <row r="9" ht="15">
      <c r="A9" s="493" t="s">
        <v>383</v>
      </c>
    </row>
    <row r="10" ht="15">
      <c r="A10" s="493" t="s">
        <v>384</v>
      </c>
    </row>
    <row r="11" ht="15">
      <c r="A11" s="493"/>
    </row>
    <row r="12" ht="15">
      <c r="A12" s="493"/>
    </row>
    <row r="13" ht="15">
      <c r="A13" s="492" t="s">
        <v>385</v>
      </c>
    </row>
    <row r="15" ht="15">
      <c r="A15" s="493" t="s">
        <v>386</v>
      </c>
    </row>
    <row r="16" ht="15">
      <c r="A16" s="493" t="str">
        <f>CONCATENATE("(i.e. an audit has not been completed, or the ",inputPrYr!C5," adopted")</f>
        <v>(i.e. an audit has not been completed, or the 2014 adopted</v>
      </c>
    </row>
    <row r="17" ht="15">
      <c r="A17" s="493" t="s">
        <v>387</v>
      </c>
    </row>
    <row r="18" ht="15">
      <c r="A18" s="493" t="s">
        <v>388</v>
      </c>
    </row>
    <row r="19" ht="15">
      <c r="A19" s="493" t="s">
        <v>389</v>
      </c>
    </row>
    <row r="21" ht="15">
      <c r="A21" s="492" t="s">
        <v>390</v>
      </c>
    </row>
    <row r="22" ht="15">
      <c r="A22" s="492"/>
    </row>
    <row r="23" ht="15">
      <c r="A23" s="493" t="s">
        <v>391</v>
      </c>
    </row>
    <row r="24" ht="15">
      <c r="A24" s="493" t="s">
        <v>392</v>
      </c>
    </row>
    <row r="25" ht="15">
      <c r="A25" s="493" t="str">
        <f>CONCATENATE("particular fund.  If your ",inputPrYr!C5-2," budget was amended, did you")</f>
        <v>particular fund.  If your 2012 budget was amended, did you</v>
      </c>
    </row>
    <row r="26" ht="15">
      <c r="A26" s="493" t="s">
        <v>393</v>
      </c>
    </row>
    <row r="27" ht="15">
      <c r="A27" s="493"/>
    </row>
    <row r="28" ht="15">
      <c r="A28" s="493" t="str">
        <f>CONCATENATE("Next, look to see if any of your ",inputPrYr!C5-2," expenditures can be")</f>
        <v>Next, look to see if any of your 2012 expenditures can be</v>
      </c>
    </row>
    <row r="29" ht="15">
      <c r="A29" s="493" t="s">
        <v>394</v>
      </c>
    </row>
    <row r="30" ht="15">
      <c r="A30" s="493" t="s">
        <v>395</v>
      </c>
    </row>
    <row r="31" ht="15">
      <c r="A31" s="493" t="s">
        <v>396</v>
      </c>
    </row>
    <row r="32" ht="15">
      <c r="A32" s="493"/>
    </row>
    <row r="33" ht="15">
      <c r="A33" s="493" t="str">
        <f>CONCATENATE("Additionally, do your ",inputPrYr!C5-2," receipts contain a reimbursement")</f>
        <v>Additionally, do your 2012 receipts contain a reimbursement</v>
      </c>
    </row>
    <row r="34" ht="15">
      <c r="A34" s="493" t="s">
        <v>397</v>
      </c>
    </row>
    <row r="35" ht="15">
      <c r="A35" s="493" t="s">
        <v>398</v>
      </c>
    </row>
    <row r="36" ht="15">
      <c r="A36" s="493"/>
    </row>
    <row r="37" ht="15">
      <c r="A37" s="493" t="s">
        <v>399</v>
      </c>
    </row>
    <row r="38" ht="15">
      <c r="A38" s="493" t="s">
        <v>400</v>
      </c>
    </row>
    <row r="39" ht="15">
      <c r="A39" s="493" t="s">
        <v>401</v>
      </c>
    </row>
    <row r="40" ht="15">
      <c r="A40" s="493" t="s">
        <v>402</v>
      </c>
    </row>
    <row r="41" ht="15">
      <c r="A41" s="493" t="s">
        <v>403</v>
      </c>
    </row>
    <row r="42" ht="15">
      <c r="A42" s="493" t="s">
        <v>404</v>
      </c>
    </row>
    <row r="43" ht="15">
      <c r="A43" s="493" t="s">
        <v>405</v>
      </c>
    </row>
    <row r="44" ht="15">
      <c r="A44" s="493" t="s">
        <v>406</v>
      </c>
    </row>
    <row r="45" ht="15">
      <c r="A45" s="493"/>
    </row>
    <row r="46" ht="15">
      <c r="A46" s="493" t="s">
        <v>407</v>
      </c>
    </row>
    <row r="47" ht="15">
      <c r="A47" s="493" t="s">
        <v>408</v>
      </c>
    </row>
    <row r="48" ht="15">
      <c r="A48" s="493" t="s">
        <v>409</v>
      </c>
    </row>
    <row r="49" ht="15">
      <c r="A49" s="493"/>
    </row>
    <row r="50" ht="15">
      <c r="A50" s="493" t="s">
        <v>410</v>
      </c>
    </row>
    <row r="51" ht="15">
      <c r="A51" s="493" t="s">
        <v>411</v>
      </c>
    </row>
    <row r="52" ht="15">
      <c r="A52" s="493" t="s">
        <v>412</v>
      </c>
    </row>
    <row r="53" ht="15">
      <c r="A53" s="493"/>
    </row>
    <row r="54" ht="15">
      <c r="A54" s="492" t="s">
        <v>413</v>
      </c>
    </row>
    <row r="55" ht="15">
      <c r="A55" s="493"/>
    </row>
    <row r="56" ht="15">
      <c r="A56" s="493" t="s">
        <v>414</v>
      </c>
    </row>
    <row r="57" ht="15">
      <c r="A57" s="493" t="s">
        <v>415</v>
      </c>
    </row>
    <row r="58" ht="15">
      <c r="A58" s="493" t="s">
        <v>416</v>
      </c>
    </row>
    <row r="59" ht="15">
      <c r="A59" s="493" t="s">
        <v>417</v>
      </c>
    </row>
    <row r="60" ht="15">
      <c r="A60" s="493" t="s">
        <v>418</v>
      </c>
    </row>
    <row r="61" ht="15">
      <c r="A61" s="493" t="s">
        <v>419</v>
      </c>
    </row>
    <row r="62" ht="15">
      <c r="A62" s="493" t="s">
        <v>420</v>
      </c>
    </row>
    <row r="63" ht="15">
      <c r="A63" s="493" t="s">
        <v>421</v>
      </c>
    </row>
    <row r="64" ht="15">
      <c r="A64" s="493" t="s">
        <v>422</v>
      </c>
    </row>
    <row r="65" ht="15">
      <c r="A65" s="493" t="s">
        <v>423</v>
      </c>
    </row>
    <row r="66" ht="15">
      <c r="A66" s="493" t="s">
        <v>424</v>
      </c>
    </row>
    <row r="67" ht="15">
      <c r="A67" s="493" t="s">
        <v>425</v>
      </c>
    </row>
    <row r="68" ht="15">
      <c r="A68" s="493" t="s">
        <v>426</v>
      </c>
    </row>
    <row r="69" ht="15">
      <c r="A69" s="493"/>
    </row>
    <row r="70" ht="15">
      <c r="A70" s="493" t="s">
        <v>427</v>
      </c>
    </row>
    <row r="71" ht="15">
      <c r="A71" s="493" t="s">
        <v>428</v>
      </c>
    </row>
    <row r="72" ht="15">
      <c r="A72" s="493" t="s">
        <v>429</v>
      </c>
    </row>
    <row r="73" ht="15">
      <c r="A73" s="493"/>
    </row>
    <row r="74" ht="15">
      <c r="A74" s="492" t="str">
        <f>CONCATENATE("What if the ",inputPrYr!C5-2," financial records have been closed?")</f>
        <v>What if the 2012 financial records have been closed?</v>
      </c>
    </row>
    <row r="76" ht="15">
      <c r="A76" s="493" t="s">
        <v>430</v>
      </c>
    </row>
    <row r="77" ht="15">
      <c r="A77" s="493" t="str">
        <f>CONCATENATE("(i.e. an audit for ",inputPrYr!C5-2," has been completed, or the ",inputPrYr!C5)</f>
        <v>(i.e. an audit for 2012 has been completed, or the 2014</v>
      </c>
    </row>
    <row r="78" ht="15">
      <c r="A78" s="493" t="s">
        <v>431</v>
      </c>
    </row>
    <row r="79" ht="15">
      <c r="A79" s="493" t="s">
        <v>432</v>
      </c>
    </row>
    <row r="80" ht="15">
      <c r="A80" s="493"/>
    </row>
    <row r="81" ht="15">
      <c r="A81" s="493" t="s">
        <v>433</v>
      </c>
    </row>
    <row r="82" ht="15">
      <c r="A82" s="493" t="s">
        <v>434</v>
      </c>
    </row>
    <row r="83" ht="15">
      <c r="A83" s="493" t="s">
        <v>435</v>
      </c>
    </row>
    <row r="84" ht="15">
      <c r="A84" s="493"/>
    </row>
    <row r="85" ht="15">
      <c r="A85" s="493" t="s">
        <v>379</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94" t="s">
        <v>324</v>
      </c>
      <c r="B3" s="494"/>
      <c r="C3" s="494"/>
      <c r="D3" s="494"/>
      <c r="E3" s="494"/>
      <c r="F3" s="494"/>
      <c r="G3" s="494"/>
      <c r="H3" s="495"/>
      <c r="I3" s="495"/>
      <c r="J3" s="495"/>
    </row>
    <row r="5" ht="15">
      <c r="A5" s="493" t="s">
        <v>325</v>
      </c>
    </row>
    <row r="6" ht="15">
      <c r="A6" t="str">
        <f>CONCATENATE(inputPrYr!C5-2," expenditures show that you finished the year with a ")</f>
        <v>2012 expenditures show that you finished the year with a </v>
      </c>
    </row>
    <row r="7" ht="15">
      <c r="A7" t="s">
        <v>326</v>
      </c>
    </row>
    <row r="9" ht="15">
      <c r="A9" t="s">
        <v>327</v>
      </c>
    </row>
    <row r="10" ht="15">
      <c r="A10" t="s">
        <v>328</v>
      </c>
    </row>
    <row r="11" ht="15">
      <c r="A11" t="s">
        <v>329</v>
      </c>
    </row>
    <row r="13" ht="15">
      <c r="A13" s="492" t="s">
        <v>330</v>
      </c>
    </row>
    <row r="14" ht="15">
      <c r="A14" s="492"/>
    </row>
    <row r="15" ht="15">
      <c r="A15" s="493" t="s">
        <v>331</v>
      </c>
    </row>
    <row r="16" ht="15">
      <c r="A16" s="493" t="s">
        <v>332</v>
      </c>
    </row>
    <row r="17" ht="15">
      <c r="A17" s="493" t="s">
        <v>333</v>
      </c>
    </row>
    <row r="18" ht="15">
      <c r="A18" s="493"/>
    </row>
    <row r="19" ht="15">
      <c r="A19" s="492" t="s">
        <v>334</v>
      </c>
    </row>
    <row r="20" ht="15">
      <c r="A20" s="492"/>
    </row>
    <row r="21" ht="15">
      <c r="A21" s="493" t="s">
        <v>335</v>
      </c>
    </row>
    <row r="22" ht="15">
      <c r="A22" s="493" t="s">
        <v>336</v>
      </c>
    </row>
    <row r="23" ht="15">
      <c r="A23" s="493" t="s">
        <v>337</v>
      </c>
    </row>
    <row r="24" ht="15">
      <c r="A24" s="493"/>
    </row>
    <row r="25" ht="15">
      <c r="A25" s="492" t="s">
        <v>338</v>
      </c>
    </row>
    <row r="26" ht="15">
      <c r="A26" s="492"/>
    </row>
    <row r="27" ht="15">
      <c r="A27" s="493" t="s">
        <v>339</v>
      </c>
    </row>
    <row r="28" ht="15">
      <c r="A28" s="493" t="s">
        <v>340</v>
      </c>
    </row>
    <row r="29" ht="15">
      <c r="A29" s="493" t="s">
        <v>341</v>
      </c>
    </row>
    <row r="30" ht="15">
      <c r="A30" s="493"/>
    </row>
    <row r="31" ht="15">
      <c r="A31" s="492" t="s">
        <v>342</v>
      </c>
    </row>
    <row r="32" ht="15">
      <c r="A32" s="492"/>
    </row>
    <row r="33" spans="1:8" ht="15">
      <c r="A33" s="493" t="str">
        <f>CONCATENATE("If your financial records for ",inputPrYr!C5-2," are not closed")</f>
        <v>If your financial records for 2012 are not closed</v>
      </c>
      <c r="B33" s="493"/>
      <c r="C33" s="493"/>
      <c r="D33" s="493"/>
      <c r="E33" s="493"/>
      <c r="F33" s="493"/>
      <c r="G33" s="493"/>
      <c r="H33" s="493"/>
    </row>
    <row r="34" spans="1:8" ht="15">
      <c r="A34" s="493" t="str">
        <f>CONCATENATE("(i.e. an audit has not been completed, or the ",inputPrYr!C5," adopted ")</f>
        <v>(i.e. an audit has not been completed, or the 2014 adopted </v>
      </c>
      <c r="B34" s="493"/>
      <c r="C34" s="493"/>
      <c r="D34" s="493"/>
      <c r="E34" s="493"/>
      <c r="F34" s="493"/>
      <c r="G34" s="493"/>
      <c r="H34" s="493"/>
    </row>
    <row r="35" spans="1:8" ht="15">
      <c r="A35" s="493" t="s">
        <v>343</v>
      </c>
      <c r="B35" s="493"/>
      <c r="C35" s="493"/>
      <c r="D35" s="493"/>
      <c r="E35" s="493"/>
      <c r="F35" s="493"/>
      <c r="G35" s="493"/>
      <c r="H35" s="493"/>
    </row>
    <row r="36" spans="1:8" ht="15">
      <c r="A36" s="493" t="s">
        <v>344</v>
      </c>
      <c r="B36" s="493"/>
      <c r="C36" s="493"/>
      <c r="D36" s="493"/>
      <c r="E36" s="493"/>
      <c r="F36" s="493"/>
      <c r="G36" s="493"/>
      <c r="H36" s="493"/>
    </row>
    <row r="37" spans="1:8" ht="15">
      <c r="A37" s="493" t="s">
        <v>345</v>
      </c>
      <c r="B37" s="493"/>
      <c r="C37" s="493"/>
      <c r="D37" s="493"/>
      <c r="E37" s="493"/>
      <c r="F37" s="493"/>
      <c r="G37" s="493"/>
      <c r="H37" s="493"/>
    </row>
    <row r="38" spans="1:8" ht="15">
      <c r="A38" s="493" t="s">
        <v>346</v>
      </c>
      <c r="B38" s="493"/>
      <c r="C38" s="493"/>
      <c r="D38" s="493"/>
      <c r="E38" s="493"/>
      <c r="F38" s="493"/>
      <c r="G38" s="493"/>
      <c r="H38" s="493"/>
    </row>
    <row r="39" spans="1:8" ht="15">
      <c r="A39" s="493" t="s">
        <v>347</v>
      </c>
      <c r="B39" s="493"/>
      <c r="C39" s="493"/>
      <c r="D39" s="493"/>
      <c r="E39" s="493"/>
      <c r="F39" s="493"/>
      <c r="G39" s="493"/>
      <c r="H39" s="493"/>
    </row>
    <row r="40" spans="1:8" ht="15">
      <c r="A40" s="493"/>
      <c r="B40" s="493"/>
      <c r="C40" s="493"/>
      <c r="D40" s="493"/>
      <c r="E40" s="493"/>
      <c r="F40" s="493"/>
      <c r="G40" s="493"/>
      <c r="H40" s="493"/>
    </row>
    <row r="41" spans="1:8" ht="15">
      <c r="A41" s="493" t="s">
        <v>348</v>
      </c>
      <c r="B41" s="493"/>
      <c r="C41" s="493"/>
      <c r="D41" s="493"/>
      <c r="E41" s="493"/>
      <c r="F41" s="493"/>
      <c r="G41" s="493"/>
      <c r="H41" s="493"/>
    </row>
    <row r="42" spans="1:8" ht="15">
      <c r="A42" s="493" t="s">
        <v>349</v>
      </c>
      <c r="B42" s="493"/>
      <c r="C42" s="493"/>
      <c r="D42" s="493"/>
      <c r="E42" s="493"/>
      <c r="F42" s="493"/>
      <c r="G42" s="493"/>
      <c r="H42" s="493"/>
    </row>
    <row r="43" spans="1:8" ht="15">
      <c r="A43" s="493" t="s">
        <v>350</v>
      </c>
      <c r="B43" s="493"/>
      <c r="C43" s="493"/>
      <c r="D43" s="493"/>
      <c r="E43" s="493"/>
      <c r="F43" s="493"/>
      <c r="G43" s="493"/>
      <c r="H43" s="493"/>
    </row>
    <row r="44" spans="1:8" ht="15">
      <c r="A44" s="493" t="s">
        <v>351</v>
      </c>
      <c r="B44" s="493"/>
      <c r="C44" s="493"/>
      <c r="D44" s="493"/>
      <c r="E44" s="493"/>
      <c r="F44" s="493"/>
      <c r="G44" s="493"/>
      <c r="H44" s="493"/>
    </row>
    <row r="45" spans="1:8" ht="15">
      <c r="A45" s="493"/>
      <c r="B45" s="493"/>
      <c r="C45" s="493"/>
      <c r="D45" s="493"/>
      <c r="E45" s="493"/>
      <c r="F45" s="493"/>
      <c r="G45" s="493"/>
      <c r="H45" s="493"/>
    </row>
    <row r="46" spans="1:8" ht="15">
      <c r="A46" s="493" t="s">
        <v>352</v>
      </c>
      <c r="B46" s="493"/>
      <c r="C46" s="493"/>
      <c r="D46" s="493"/>
      <c r="E46" s="493"/>
      <c r="F46" s="493"/>
      <c r="G46" s="493"/>
      <c r="H46" s="493"/>
    </row>
    <row r="47" spans="1:8" ht="15">
      <c r="A47" s="493" t="s">
        <v>353</v>
      </c>
      <c r="B47" s="493"/>
      <c r="C47" s="493"/>
      <c r="D47" s="493"/>
      <c r="E47" s="493"/>
      <c r="F47" s="493"/>
      <c r="G47" s="493"/>
      <c r="H47" s="493"/>
    </row>
    <row r="48" spans="1:8" ht="15">
      <c r="A48" s="493" t="s">
        <v>354</v>
      </c>
      <c r="B48" s="493"/>
      <c r="C48" s="493"/>
      <c r="D48" s="493"/>
      <c r="E48" s="493"/>
      <c r="F48" s="493"/>
      <c r="G48" s="493"/>
      <c r="H48" s="493"/>
    </row>
    <row r="49" spans="1:8" ht="15">
      <c r="A49" s="493" t="s">
        <v>355</v>
      </c>
      <c r="B49" s="493"/>
      <c r="C49" s="493"/>
      <c r="D49" s="493"/>
      <c r="E49" s="493"/>
      <c r="F49" s="493"/>
      <c r="G49" s="493"/>
      <c r="H49" s="493"/>
    </row>
    <row r="50" spans="1:8" ht="15">
      <c r="A50" s="493" t="s">
        <v>356</v>
      </c>
      <c r="B50" s="493"/>
      <c r="C50" s="493"/>
      <c r="D50" s="493"/>
      <c r="E50" s="493"/>
      <c r="F50" s="493"/>
      <c r="G50" s="493"/>
      <c r="H50" s="493"/>
    </row>
    <row r="51" spans="1:8" ht="15">
      <c r="A51" s="493"/>
      <c r="B51" s="493"/>
      <c r="C51" s="493"/>
      <c r="D51" s="493"/>
      <c r="E51" s="493"/>
      <c r="F51" s="493"/>
      <c r="G51" s="493"/>
      <c r="H51" s="493"/>
    </row>
    <row r="52" spans="1:8" ht="15">
      <c r="A52" s="492" t="s">
        <v>357</v>
      </c>
      <c r="B52" s="492"/>
      <c r="C52" s="492"/>
      <c r="D52" s="492"/>
      <c r="E52" s="492"/>
      <c r="F52" s="492"/>
      <c r="G52" s="492"/>
      <c r="H52" s="493"/>
    </row>
    <row r="53" spans="1:8" ht="15">
      <c r="A53" s="492" t="s">
        <v>358</v>
      </c>
      <c r="B53" s="492"/>
      <c r="C53" s="492"/>
      <c r="D53" s="492"/>
      <c r="E53" s="492"/>
      <c r="F53" s="492"/>
      <c r="G53" s="492"/>
      <c r="H53" s="493"/>
    </row>
    <row r="54" spans="1:8" ht="15">
      <c r="A54" s="493"/>
      <c r="B54" s="493"/>
      <c r="C54" s="493"/>
      <c r="D54" s="493"/>
      <c r="E54" s="493"/>
      <c r="F54" s="493"/>
      <c r="G54" s="493"/>
      <c r="H54" s="493"/>
    </row>
    <row r="55" spans="1:8" ht="15">
      <c r="A55" s="493" t="s">
        <v>359</v>
      </c>
      <c r="B55" s="493"/>
      <c r="C55" s="493"/>
      <c r="D55" s="493"/>
      <c r="E55" s="493"/>
      <c r="F55" s="493"/>
      <c r="G55" s="493"/>
      <c r="H55" s="493"/>
    </row>
    <row r="56" spans="1:8" ht="15">
      <c r="A56" s="493" t="s">
        <v>360</v>
      </c>
      <c r="B56" s="493"/>
      <c r="C56" s="493"/>
      <c r="D56" s="493"/>
      <c r="E56" s="493"/>
      <c r="F56" s="493"/>
      <c r="G56" s="493"/>
      <c r="H56" s="493"/>
    </row>
    <row r="57" spans="1:8" ht="15">
      <c r="A57" s="493" t="s">
        <v>361</v>
      </c>
      <c r="B57" s="493"/>
      <c r="C57" s="493"/>
      <c r="D57" s="493"/>
      <c r="E57" s="493"/>
      <c r="F57" s="493"/>
      <c r="G57" s="493"/>
      <c r="H57" s="493"/>
    </row>
    <row r="58" spans="1:8" ht="15">
      <c r="A58" s="493" t="s">
        <v>362</v>
      </c>
      <c r="B58" s="493"/>
      <c r="C58" s="493"/>
      <c r="D58" s="493"/>
      <c r="E58" s="493"/>
      <c r="F58" s="493"/>
      <c r="G58" s="493"/>
      <c r="H58" s="493"/>
    </row>
    <row r="59" spans="1:8" ht="15">
      <c r="A59" s="493"/>
      <c r="B59" s="493"/>
      <c r="C59" s="493"/>
      <c r="D59" s="493"/>
      <c r="E59" s="493"/>
      <c r="F59" s="493"/>
      <c r="G59" s="493"/>
      <c r="H59" s="493"/>
    </row>
    <row r="60" spans="1:8" ht="15">
      <c r="A60" s="493" t="s">
        <v>363</v>
      </c>
      <c r="B60" s="493"/>
      <c r="C60" s="493"/>
      <c r="D60" s="493"/>
      <c r="E60" s="493"/>
      <c r="F60" s="493"/>
      <c r="G60" s="493"/>
      <c r="H60" s="493"/>
    </row>
    <row r="61" spans="1:8" ht="15">
      <c r="A61" s="493" t="s">
        <v>364</v>
      </c>
      <c r="B61" s="493"/>
      <c r="C61" s="493"/>
      <c r="D61" s="493"/>
      <c r="E61" s="493"/>
      <c r="F61" s="493"/>
      <c r="G61" s="493"/>
      <c r="H61" s="493"/>
    </row>
    <row r="62" spans="1:8" ht="15">
      <c r="A62" s="493" t="s">
        <v>365</v>
      </c>
      <c r="B62" s="493"/>
      <c r="C62" s="493"/>
      <c r="D62" s="493"/>
      <c r="E62" s="493"/>
      <c r="F62" s="493"/>
      <c r="G62" s="493"/>
      <c r="H62" s="493"/>
    </row>
    <row r="63" spans="1:8" ht="15">
      <c r="A63" s="493" t="s">
        <v>366</v>
      </c>
      <c r="B63" s="493"/>
      <c r="C63" s="493"/>
      <c r="D63" s="493"/>
      <c r="E63" s="493"/>
      <c r="F63" s="493"/>
      <c r="G63" s="493"/>
      <c r="H63" s="493"/>
    </row>
    <row r="64" spans="1:8" ht="15">
      <c r="A64" s="493" t="s">
        <v>367</v>
      </c>
      <c r="B64" s="493"/>
      <c r="C64" s="493"/>
      <c r="D64" s="493"/>
      <c r="E64" s="493"/>
      <c r="F64" s="493"/>
      <c r="G64" s="493"/>
      <c r="H64" s="493"/>
    </row>
    <row r="65" spans="1:8" ht="15">
      <c r="A65" s="493" t="s">
        <v>368</v>
      </c>
      <c r="B65" s="493"/>
      <c r="C65" s="493"/>
      <c r="D65" s="493"/>
      <c r="E65" s="493"/>
      <c r="F65" s="493"/>
      <c r="G65" s="493"/>
      <c r="H65" s="493"/>
    </row>
    <row r="66" spans="1:8" ht="15">
      <c r="A66" s="493"/>
      <c r="B66" s="493"/>
      <c r="C66" s="493"/>
      <c r="D66" s="493"/>
      <c r="E66" s="493"/>
      <c r="F66" s="493"/>
      <c r="G66" s="493"/>
      <c r="H66" s="493"/>
    </row>
    <row r="67" spans="1:8" ht="15">
      <c r="A67" s="493" t="s">
        <v>369</v>
      </c>
      <c r="B67" s="493"/>
      <c r="C67" s="493"/>
      <c r="D67" s="493"/>
      <c r="E67" s="493"/>
      <c r="F67" s="493"/>
      <c r="G67" s="493"/>
      <c r="H67" s="493"/>
    </row>
    <row r="68" spans="1:8" ht="15">
      <c r="A68" s="493" t="s">
        <v>370</v>
      </c>
      <c r="B68" s="493"/>
      <c r="C68" s="493"/>
      <c r="D68" s="493"/>
      <c r="E68" s="493"/>
      <c r="F68" s="493"/>
      <c r="G68" s="493"/>
      <c r="H68" s="493"/>
    </row>
    <row r="69" spans="1:8" ht="15">
      <c r="A69" s="493" t="s">
        <v>371</v>
      </c>
      <c r="B69" s="493"/>
      <c r="C69" s="493"/>
      <c r="D69" s="493"/>
      <c r="E69" s="493"/>
      <c r="F69" s="493"/>
      <c r="G69" s="493"/>
      <c r="H69" s="493"/>
    </row>
    <row r="70" spans="1:8" ht="15">
      <c r="A70" s="493" t="s">
        <v>372</v>
      </c>
      <c r="B70" s="493"/>
      <c r="C70" s="493"/>
      <c r="D70" s="493"/>
      <c r="E70" s="493"/>
      <c r="F70" s="493"/>
      <c r="G70" s="493"/>
      <c r="H70" s="493"/>
    </row>
    <row r="71" spans="1:8" ht="15">
      <c r="A71" s="493" t="s">
        <v>373</v>
      </c>
      <c r="B71" s="493"/>
      <c r="C71" s="493"/>
      <c r="D71" s="493"/>
      <c r="E71" s="493"/>
      <c r="F71" s="493"/>
      <c r="G71" s="493"/>
      <c r="H71" s="493"/>
    </row>
    <row r="72" spans="1:8" ht="15">
      <c r="A72" s="493" t="s">
        <v>374</v>
      </c>
      <c r="B72" s="493"/>
      <c r="C72" s="493"/>
      <c r="D72" s="493"/>
      <c r="E72" s="493"/>
      <c r="F72" s="493"/>
      <c r="G72" s="493"/>
      <c r="H72" s="493"/>
    </row>
    <row r="73" spans="1:8" ht="15">
      <c r="A73" s="493" t="s">
        <v>375</v>
      </c>
      <c r="B73" s="493"/>
      <c r="C73" s="493"/>
      <c r="D73" s="493"/>
      <c r="E73" s="493"/>
      <c r="F73" s="493"/>
      <c r="G73" s="493"/>
      <c r="H73" s="493"/>
    </row>
    <row r="74" spans="1:8" ht="15">
      <c r="A74" s="493"/>
      <c r="B74" s="493"/>
      <c r="C74" s="493"/>
      <c r="D74" s="493"/>
      <c r="E74" s="493"/>
      <c r="F74" s="493"/>
      <c r="G74" s="493"/>
      <c r="H74" s="493"/>
    </row>
    <row r="75" spans="1:8" ht="15">
      <c r="A75" s="493" t="s">
        <v>376</v>
      </c>
      <c r="B75" s="493"/>
      <c r="C75" s="493"/>
      <c r="D75" s="493"/>
      <c r="E75" s="493"/>
      <c r="F75" s="493"/>
      <c r="G75" s="493"/>
      <c r="H75" s="493"/>
    </row>
    <row r="76" spans="1:8" ht="15">
      <c r="A76" s="493" t="s">
        <v>377</v>
      </c>
      <c r="B76" s="493"/>
      <c r="C76" s="493"/>
      <c r="D76" s="493"/>
      <c r="E76" s="493"/>
      <c r="F76" s="493"/>
      <c r="G76" s="493"/>
      <c r="H76" s="493"/>
    </row>
    <row r="77" spans="1:8" ht="15">
      <c r="A77" s="493" t="s">
        <v>378</v>
      </c>
      <c r="B77" s="493"/>
      <c r="C77" s="493"/>
      <c r="D77" s="493"/>
      <c r="E77" s="493"/>
      <c r="F77" s="493"/>
      <c r="G77" s="493"/>
      <c r="H77" s="493"/>
    </row>
    <row r="78" spans="1:8" ht="15">
      <c r="A78" s="493"/>
      <c r="B78" s="493"/>
      <c r="C78" s="493"/>
      <c r="D78" s="493"/>
      <c r="E78" s="493"/>
      <c r="F78" s="493"/>
      <c r="G78" s="493"/>
      <c r="H78" s="493"/>
    </row>
    <row r="79" ht="15">
      <c r="A79" s="493" t="s">
        <v>379</v>
      </c>
    </row>
    <row r="80" ht="15">
      <c r="A80" s="492"/>
    </row>
    <row r="81" ht="15">
      <c r="A81" s="493"/>
    </row>
    <row r="82" ht="15">
      <c r="A82" s="493"/>
    </row>
    <row r="83" ht="15">
      <c r="A83" s="493"/>
    </row>
    <row r="84" ht="15">
      <c r="A84" s="493"/>
    </row>
    <row r="85" ht="15">
      <c r="A85" s="493"/>
    </row>
    <row r="86" ht="15">
      <c r="A86" s="493"/>
    </row>
    <row r="87" ht="15">
      <c r="A87" s="493"/>
    </row>
    <row r="88" ht="15">
      <c r="A88" s="493"/>
    </row>
    <row r="89" ht="15">
      <c r="A89" s="493"/>
    </row>
    <row r="90" ht="15">
      <c r="A90" s="493"/>
    </row>
    <row r="91" ht="15">
      <c r="A91" s="493"/>
    </row>
    <row r="92" ht="15">
      <c r="A92" s="493"/>
    </row>
    <row r="93" ht="15">
      <c r="A93" s="493"/>
    </row>
    <row r="94" ht="15">
      <c r="A94" s="493"/>
    </row>
    <row r="95" ht="15">
      <c r="A95" s="493"/>
    </row>
    <row r="96" ht="15">
      <c r="A96" s="493"/>
    </row>
    <row r="97" ht="15">
      <c r="A97" s="493"/>
    </row>
    <row r="98" ht="15">
      <c r="A98" s="493"/>
    </row>
    <row r="99" ht="15">
      <c r="A99" s="493"/>
    </row>
    <row r="100" ht="15">
      <c r="A100" s="493"/>
    </row>
    <row r="101" ht="15">
      <c r="A101" s="493"/>
    </row>
    <row r="103" ht="15">
      <c r="A103" s="493"/>
    </row>
    <row r="104" ht="15">
      <c r="A104" s="493"/>
    </row>
    <row r="105" ht="15">
      <c r="A105" s="493"/>
    </row>
    <row r="107" ht="15">
      <c r="A107" s="492"/>
    </row>
    <row r="108" ht="15">
      <c r="A108" s="492"/>
    </row>
    <row r="109" ht="15">
      <c r="A109" s="492"/>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94" t="s">
        <v>436</v>
      </c>
      <c r="B3" s="494"/>
      <c r="C3" s="494"/>
      <c r="D3" s="494"/>
      <c r="E3" s="494"/>
      <c r="F3" s="494"/>
      <c r="G3" s="494"/>
      <c r="H3" s="494"/>
      <c r="I3" s="494"/>
      <c r="J3" s="494"/>
      <c r="K3" s="494"/>
      <c r="L3" s="494"/>
    </row>
    <row r="4" spans="1:12" ht="15">
      <c r="A4" s="494"/>
      <c r="B4" s="494"/>
      <c r="C4" s="494"/>
      <c r="D4" s="494"/>
      <c r="E4" s="494"/>
      <c r="F4" s="494"/>
      <c r="G4" s="494"/>
      <c r="H4" s="494"/>
      <c r="I4" s="494"/>
      <c r="J4" s="494"/>
      <c r="K4" s="494"/>
      <c r="L4" s="494"/>
    </row>
    <row r="5" spans="1:12" ht="15">
      <c r="A5" s="493" t="s">
        <v>381</v>
      </c>
      <c r="I5" s="494"/>
      <c r="J5" s="494"/>
      <c r="K5" s="494"/>
      <c r="L5" s="494"/>
    </row>
    <row r="6" spans="1:12" ht="15">
      <c r="A6" s="493" t="str">
        <f>CONCATENATE("estimated ",inputPrYr!C5-1," 'total expenditures' exceed your ",inputPrYr!C5-1,"")</f>
        <v>estimated 2013 'total expenditures' exceed your 2013</v>
      </c>
      <c r="I6" s="494"/>
      <c r="J6" s="494"/>
      <c r="K6" s="494"/>
      <c r="L6" s="494"/>
    </row>
    <row r="7" spans="1:12" ht="15">
      <c r="A7" s="496" t="s">
        <v>437</v>
      </c>
      <c r="I7" s="494"/>
      <c r="J7" s="494"/>
      <c r="K7" s="494"/>
      <c r="L7" s="494"/>
    </row>
    <row r="8" spans="1:12" ht="15">
      <c r="A8" s="493"/>
      <c r="I8" s="494"/>
      <c r="J8" s="494"/>
      <c r="K8" s="494"/>
      <c r="L8" s="494"/>
    </row>
    <row r="9" spans="1:12" ht="15">
      <c r="A9" s="493" t="s">
        <v>438</v>
      </c>
      <c r="I9" s="494"/>
      <c r="J9" s="494"/>
      <c r="K9" s="494"/>
      <c r="L9" s="494"/>
    </row>
    <row r="10" spans="1:12" ht="15">
      <c r="A10" s="493" t="s">
        <v>439</v>
      </c>
      <c r="I10" s="494"/>
      <c r="J10" s="494"/>
      <c r="K10" s="494"/>
      <c r="L10" s="494"/>
    </row>
    <row r="11" spans="1:12" ht="15">
      <c r="A11" s="493" t="s">
        <v>440</v>
      </c>
      <c r="I11" s="494"/>
      <c r="J11" s="494"/>
      <c r="K11" s="494"/>
      <c r="L11" s="494"/>
    </row>
    <row r="12" spans="1:12" ht="15">
      <c r="A12" s="493" t="s">
        <v>441</v>
      </c>
      <c r="I12" s="494"/>
      <c r="J12" s="494"/>
      <c r="K12" s="494"/>
      <c r="L12" s="494"/>
    </row>
    <row r="13" spans="1:12" ht="15">
      <c r="A13" s="493" t="s">
        <v>442</v>
      </c>
      <c r="I13" s="494"/>
      <c r="J13" s="494"/>
      <c r="K13" s="494"/>
      <c r="L13" s="494"/>
    </row>
    <row r="14" spans="1:12" ht="15">
      <c r="A14" s="494"/>
      <c r="B14" s="494"/>
      <c r="C14" s="494"/>
      <c r="D14" s="494"/>
      <c r="E14" s="494"/>
      <c r="F14" s="494"/>
      <c r="G14" s="494"/>
      <c r="H14" s="494"/>
      <c r="I14" s="494"/>
      <c r="J14" s="494"/>
      <c r="K14" s="494"/>
      <c r="L14" s="494"/>
    </row>
    <row r="15" ht="15">
      <c r="A15" s="492" t="s">
        <v>443</v>
      </c>
    </row>
    <row r="16" ht="15">
      <c r="A16" s="492" t="s">
        <v>444</v>
      </c>
    </row>
    <row r="17" ht="15">
      <c r="A17" s="492"/>
    </row>
    <row r="18" spans="1:7" ht="15">
      <c r="A18" s="493" t="s">
        <v>445</v>
      </c>
      <c r="B18" s="493"/>
      <c r="C18" s="493"/>
      <c r="D18" s="493"/>
      <c r="E18" s="493"/>
      <c r="F18" s="493"/>
      <c r="G18" s="493"/>
    </row>
    <row r="19" spans="1:7" ht="15">
      <c r="A19" s="493" t="str">
        <f>CONCATENATE("your ",inputPrYr!C5-1," numbers to see what steps might be necessary to")</f>
        <v>your 2013 numbers to see what steps might be necessary to</v>
      </c>
      <c r="B19" s="493"/>
      <c r="C19" s="493"/>
      <c r="D19" s="493"/>
      <c r="E19" s="493"/>
      <c r="F19" s="493"/>
      <c r="G19" s="493"/>
    </row>
    <row r="20" spans="1:7" ht="15">
      <c r="A20" s="493" t="s">
        <v>446</v>
      </c>
      <c r="B20" s="493"/>
      <c r="C20" s="493"/>
      <c r="D20" s="493"/>
      <c r="E20" s="493"/>
      <c r="F20" s="493"/>
      <c r="G20" s="493"/>
    </row>
    <row r="21" spans="1:7" ht="15">
      <c r="A21" s="493" t="s">
        <v>447</v>
      </c>
      <c r="B21" s="493"/>
      <c r="C21" s="493"/>
      <c r="D21" s="493"/>
      <c r="E21" s="493"/>
      <c r="F21" s="493"/>
      <c r="G21" s="493"/>
    </row>
    <row r="22" ht="15">
      <c r="A22" s="493"/>
    </row>
    <row r="23" ht="15">
      <c r="A23" s="492" t="s">
        <v>448</v>
      </c>
    </row>
    <row r="24" ht="15">
      <c r="A24" s="492"/>
    </row>
    <row r="25" ht="15">
      <c r="A25" s="493" t="s">
        <v>449</v>
      </c>
    </row>
    <row r="26" spans="1:6" ht="15">
      <c r="A26" s="493" t="s">
        <v>450</v>
      </c>
      <c r="B26" s="493"/>
      <c r="C26" s="493"/>
      <c r="D26" s="493"/>
      <c r="E26" s="493"/>
      <c r="F26" s="493"/>
    </row>
    <row r="27" spans="1:6" ht="15">
      <c r="A27" s="493" t="s">
        <v>451</v>
      </c>
      <c r="B27" s="493"/>
      <c r="C27" s="493"/>
      <c r="D27" s="493"/>
      <c r="E27" s="493"/>
      <c r="F27" s="493"/>
    </row>
    <row r="28" spans="1:6" ht="15">
      <c r="A28" s="493" t="s">
        <v>452</v>
      </c>
      <c r="B28" s="493"/>
      <c r="C28" s="493"/>
      <c r="D28" s="493"/>
      <c r="E28" s="493"/>
      <c r="F28" s="493"/>
    </row>
    <row r="29" spans="1:6" ht="15">
      <c r="A29" s="493"/>
      <c r="B29" s="493"/>
      <c r="C29" s="493"/>
      <c r="D29" s="493"/>
      <c r="E29" s="493"/>
      <c r="F29" s="493"/>
    </row>
    <row r="30" spans="1:7" ht="15">
      <c r="A30" s="492" t="s">
        <v>453</v>
      </c>
      <c r="B30" s="492"/>
      <c r="C30" s="492"/>
      <c r="D30" s="492"/>
      <c r="E30" s="492"/>
      <c r="F30" s="492"/>
      <c r="G30" s="492"/>
    </row>
    <row r="31" spans="1:7" ht="15">
      <c r="A31" s="492" t="s">
        <v>454</v>
      </c>
      <c r="B31" s="492"/>
      <c r="C31" s="492"/>
      <c r="D31" s="492"/>
      <c r="E31" s="492"/>
      <c r="F31" s="492"/>
      <c r="G31" s="492"/>
    </row>
    <row r="32" spans="1:6" ht="15">
      <c r="A32" s="493"/>
      <c r="B32" s="493"/>
      <c r="C32" s="493"/>
      <c r="D32" s="493"/>
      <c r="E32" s="493"/>
      <c r="F32" s="493"/>
    </row>
    <row r="33" spans="1:6" ht="15">
      <c r="A33" s="497" t="str">
        <f>CONCATENATE("Well, let's look to see if any of your ",inputPrYr!C5-1," expenditures can")</f>
        <v>Well, let's look to see if any of your 2013 expenditures can</v>
      </c>
      <c r="B33" s="493"/>
      <c r="C33" s="493"/>
      <c r="D33" s="493"/>
      <c r="E33" s="493"/>
      <c r="F33" s="493"/>
    </row>
    <row r="34" spans="1:6" ht="15">
      <c r="A34" s="497" t="s">
        <v>455</v>
      </c>
      <c r="B34" s="493"/>
      <c r="C34" s="493"/>
      <c r="D34" s="493"/>
      <c r="E34" s="493"/>
      <c r="F34" s="493"/>
    </row>
    <row r="35" spans="1:6" ht="15">
      <c r="A35" s="497" t="s">
        <v>395</v>
      </c>
      <c r="B35" s="493"/>
      <c r="C35" s="493"/>
      <c r="D35" s="493"/>
      <c r="E35" s="493"/>
      <c r="F35" s="493"/>
    </row>
    <row r="36" spans="1:6" ht="15">
      <c r="A36" s="497" t="s">
        <v>396</v>
      </c>
      <c r="B36" s="493"/>
      <c r="C36" s="493"/>
      <c r="D36" s="493"/>
      <c r="E36" s="493"/>
      <c r="F36" s="493"/>
    </row>
    <row r="37" spans="1:6" ht="15">
      <c r="A37" s="497"/>
      <c r="B37" s="493"/>
      <c r="C37" s="493"/>
      <c r="D37" s="493"/>
      <c r="E37" s="493"/>
      <c r="F37" s="493"/>
    </row>
    <row r="38" spans="1:6" ht="15">
      <c r="A38" s="497" t="str">
        <f>CONCATENATE("Additionally, do your ",inputPrYr!C5-1," receipts contain a reimbursement")</f>
        <v>Additionally, do your 2013 receipts contain a reimbursement</v>
      </c>
      <c r="B38" s="493"/>
      <c r="C38" s="493"/>
      <c r="D38" s="493"/>
      <c r="E38" s="493"/>
      <c r="F38" s="493"/>
    </row>
    <row r="39" spans="1:6" ht="15">
      <c r="A39" s="497" t="s">
        <v>397</v>
      </c>
      <c r="B39" s="493"/>
      <c r="C39" s="493"/>
      <c r="D39" s="493"/>
      <c r="E39" s="493"/>
      <c r="F39" s="493"/>
    </row>
    <row r="40" spans="1:6" ht="15">
      <c r="A40" s="497" t="s">
        <v>398</v>
      </c>
      <c r="B40" s="493"/>
      <c r="C40" s="493"/>
      <c r="D40" s="493"/>
      <c r="E40" s="493"/>
      <c r="F40" s="493"/>
    </row>
    <row r="41" spans="1:6" ht="15">
      <c r="A41" s="497"/>
      <c r="B41" s="493"/>
      <c r="C41" s="493"/>
      <c r="D41" s="493"/>
      <c r="E41" s="493"/>
      <c r="F41" s="493"/>
    </row>
    <row r="42" spans="1:6" ht="15">
      <c r="A42" s="497" t="s">
        <v>399</v>
      </c>
      <c r="B42" s="493"/>
      <c r="C42" s="493"/>
      <c r="D42" s="493"/>
      <c r="E42" s="493"/>
      <c r="F42" s="493"/>
    </row>
    <row r="43" spans="1:6" ht="15">
      <c r="A43" s="497" t="s">
        <v>400</v>
      </c>
      <c r="B43" s="493"/>
      <c r="C43" s="493"/>
      <c r="D43" s="493"/>
      <c r="E43" s="493"/>
      <c r="F43" s="493"/>
    </row>
    <row r="44" spans="1:6" ht="15">
      <c r="A44" s="497" t="s">
        <v>401</v>
      </c>
      <c r="B44" s="493"/>
      <c r="C44" s="493"/>
      <c r="D44" s="493"/>
      <c r="E44" s="493"/>
      <c r="F44" s="493"/>
    </row>
    <row r="45" spans="1:6" ht="15">
      <c r="A45" s="497" t="s">
        <v>456</v>
      </c>
      <c r="B45" s="493"/>
      <c r="C45" s="493"/>
      <c r="D45" s="493"/>
      <c r="E45" s="493"/>
      <c r="F45" s="493"/>
    </row>
    <row r="46" spans="1:6" ht="15">
      <c r="A46" s="497" t="s">
        <v>403</v>
      </c>
      <c r="B46" s="493"/>
      <c r="C46" s="493"/>
      <c r="D46" s="493"/>
      <c r="E46" s="493"/>
      <c r="F46" s="493"/>
    </row>
    <row r="47" spans="1:6" ht="15">
      <c r="A47" s="497" t="s">
        <v>457</v>
      </c>
      <c r="B47" s="493"/>
      <c r="C47" s="493"/>
      <c r="D47" s="493"/>
      <c r="E47" s="493"/>
      <c r="F47" s="493"/>
    </row>
    <row r="48" spans="1:6" ht="15">
      <c r="A48" s="497" t="s">
        <v>458</v>
      </c>
      <c r="B48" s="493"/>
      <c r="C48" s="493"/>
      <c r="D48" s="493"/>
      <c r="E48" s="493"/>
      <c r="F48" s="493"/>
    </row>
    <row r="49" spans="1:6" ht="15">
      <c r="A49" s="497" t="s">
        <v>406</v>
      </c>
      <c r="B49" s="493"/>
      <c r="C49" s="493"/>
      <c r="D49" s="493"/>
      <c r="E49" s="493"/>
      <c r="F49" s="493"/>
    </row>
    <row r="50" spans="1:6" ht="15">
      <c r="A50" s="497"/>
      <c r="B50" s="493"/>
      <c r="C50" s="493"/>
      <c r="D50" s="493"/>
      <c r="E50" s="493"/>
      <c r="F50" s="493"/>
    </row>
    <row r="51" spans="1:6" ht="15">
      <c r="A51" s="497" t="s">
        <v>407</v>
      </c>
      <c r="B51" s="493"/>
      <c r="C51" s="493"/>
      <c r="D51" s="493"/>
      <c r="E51" s="493"/>
      <c r="F51" s="493"/>
    </row>
    <row r="52" spans="1:6" ht="15">
      <c r="A52" s="497" t="s">
        <v>408</v>
      </c>
      <c r="B52" s="493"/>
      <c r="C52" s="493"/>
      <c r="D52" s="493"/>
      <c r="E52" s="493"/>
      <c r="F52" s="493"/>
    </row>
    <row r="53" spans="1:6" ht="15">
      <c r="A53" s="497" t="s">
        <v>409</v>
      </c>
      <c r="B53" s="493"/>
      <c r="C53" s="493"/>
      <c r="D53" s="493"/>
      <c r="E53" s="493"/>
      <c r="F53" s="493"/>
    </row>
    <row r="54" spans="1:6" ht="15">
      <c r="A54" s="497"/>
      <c r="B54" s="493"/>
      <c r="C54" s="493"/>
      <c r="D54" s="493"/>
      <c r="E54" s="493"/>
      <c r="F54" s="493"/>
    </row>
    <row r="55" spans="1:6" ht="15">
      <c r="A55" s="497" t="s">
        <v>459</v>
      </c>
      <c r="B55" s="493"/>
      <c r="C55" s="493"/>
      <c r="D55" s="493"/>
      <c r="E55" s="493"/>
      <c r="F55" s="493"/>
    </row>
    <row r="56" spans="1:6" ht="15">
      <c r="A56" s="497" t="s">
        <v>460</v>
      </c>
      <c r="B56" s="493"/>
      <c r="C56" s="493"/>
      <c r="D56" s="493"/>
      <c r="E56" s="493"/>
      <c r="F56" s="493"/>
    </row>
    <row r="57" spans="1:6" ht="15">
      <c r="A57" s="497" t="s">
        <v>461</v>
      </c>
      <c r="B57" s="493"/>
      <c r="C57" s="493"/>
      <c r="D57" s="493"/>
      <c r="E57" s="493"/>
      <c r="F57" s="493"/>
    </row>
    <row r="58" spans="1:6" ht="15">
      <c r="A58" s="497" t="s">
        <v>462</v>
      </c>
      <c r="B58" s="493"/>
      <c r="C58" s="493"/>
      <c r="D58" s="493"/>
      <c r="E58" s="493"/>
      <c r="F58" s="493"/>
    </row>
    <row r="59" spans="1:6" ht="15">
      <c r="A59" s="497" t="s">
        <v>463</v>
      </c>
      <c r="B59" s="493"/>
      <c r="C59" s="493"/>
      <c r="D59" s="493"/>
      <c r="E59" s="493"/>
      <c r="F59" s="493"/>
    </row>
    <row r="60" spans="1:6" ht="15">
      <c r="A60" s="497"/>
      <c r="B60" s="493"/>
      <c r="C60" s="493"/>
      <c r="D60" s="493"/>
      <c r="E60" s="493"/>
      <c r="F60" s="493"/>
    </row>
    <row r="61" spans="1:6" ht="15">
      <c r="A61" s="498" t="s">
        <v>464</v>
      </c>
      <c r="B61" s="493"/>
      <c r="C61" s="493"/>
      <c r="D61" s="493"/>
      <c r="E61" s="493"/>
      <c r="F61" s="493"/>
    </row>
    <row r="62" spans="1:6" ht="15">
      <c r="A62" s="498" t="s">
        <v>465</v>
      </c>
      <c r="B62" s="493"/>
      <c r="C62" s="493"/>
      <c r="D62" s="493"/>
      <c r="E62" s="493"/>
      <c r="F62" s="493"/>
    </row>
    <row r="63" spans="1:6" ht="15">
      <c r="A63" s="498" t="s">
        <v>466</v>
      </c>
      <c r="B63" s="493"/>
      <c r="C63" s="493"/>
      <c r="D63" s="493"/>
      <c r="E63" s="493"/>
      <c r="F63" s="493"/>
    </row>
    <row r="64" ht="15">
      <c r="A64" s="498" t="s">
        <v>467</v>
      </c>
    </row>
    <row r="65" ht="15">
      <c r="A65" s="498" t="s">
        <v>468</v>
      </c>
    </row>
    <row r="66" ht="15">
      <c r="A66" s="498" t="s">
        <v>469</v>
      </c>
    </row>
    <row r="68" ht="15">
      <c r="A68" s="493" t="s">
        <v>470</v>
      </c>
    </row>
    <row r="69" ht="15">
      <c r="A69" s="493" t="s">
        <v>471</v>
      </c>
    </row>
    <row r="70" ht="15">
      <c r="A70" s="493" t="s">
        <v>472</v>
      </c>
    </row>
    <row r="71" ht="15">
      <c r="A71" s="493" t="s">
        <v>473</v>
      </c>
    </row>
    <row r="72" ht="15">
      <c r="A72" s="493" t="s">
        <v>474</v>
      </c>
    </row>
    <row r="73" ht="15">
      <c r="A73" s="493" t="s">
        <v>475</v>
      </c>
    </row>
    <row r="75" ht="15">
      <c r="A75" s="493" t="s">
        <v>379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94" t="s">
        <v>476</v>
      </c>
      <c r="B3" s="494"/>
      <c r="C3" s="494"/>
      <c r="D3" s="494"/>
      <c r="E3" s="494"/>
      <c r="F3" s="494"/>
      <c r="G3" s="494"/>
    </row>
    <row r="4" spans="1:7" ht="15">
      <c r="A4" s="494"/>
      <c r="B4" s="494"/>
      <c r="C4" s="494"/>
      <c r="D4" s="494"/>
      <c r="E4" s="494"/>
      <c r="F4" s="494"/>
      <c r="G4" s="494"/>
    </row>
    <row r="5" ht="15">
      <c r="A5" s="493" t="s">
        <v>325</v>
      </c>
    </row>
    <row r="6" ht="15">
      <c r="A6" s="493" t="str">
        <f>CONCATENATE(inputPrYr!C5," estimated expenditures show that at the end of this year")</f>
        <v>2014 estimated expenditures show that at the end of this year</v>
      </c>
    </row>
    <row r="7" ht="15">
      <c r="A7" s="493" t="s">
        <v>477</v>
      </c>
    </row>
    <row r="8" ht="15">
      <c r="A8" s="493" t="s">
        <v>478</v>
      </c>
    </row>
    <row r="10" ht="15">
      <c r="A10" t="s">
        <v>327</v>
      </c>
    </row>
    <row r="11" ht="15">
      <c r="A11" t="s">
        <v>328</v>
      </c>
    </row>
    <row r="12" ht="15">
      <c r="A12" t="s">
        <v>329</v>
      </c>
    </row>
    <row r="13" spans="1:7" ht="15">
      <c r="A13" s="494"/>
      <c r="B13" s="494"/>
      <c r="C13" s="494"/>
      <c r="D13" s="494"/>
      <c r="E13" s="494"/>
      <c r="F13" s="494"/>
      <c r="G13" s="494"/>
    </row>
    <row r="14" ht="15">
      <c r="A14" s="492" t="s">
        <v>479</v>
      </c>
    </row>
    <row r="15" ht="15">
      <c r="A15" s="493"/>
    </row>
    <row r="16" ht="15">
      <c r="A16" s="493" t="s">
        <v>480</v>
      </c>
    </row>
    <row r="17" ht="15">
      <c r="A17" s="493" t="s">
        <v>481</v>
      </c>
    </row>
    <row r="18" ht="15">
      <c r="A18" s="493" t="s">
        <v>482</v>
      </c>
    </row>
    <row r="19" ht="15">
      <c r="A19" s="493"/>
    </row>
    <row r="20" ht="15">
      <c r="A20" s="493" t="s">
        <v>483</v>
      </c>
    </row>
    <row r="21" ht="15">
      <c r="A21" s="493" t="s">
        <v>484</v>
      </c>
    </row>
    <row r="22" ht="15">
      <c r="A22" s="493" t="s">
        <v>485</v>
      </c>
    </row>
    <row r="23" ht="15">
      <c r="A23" s="493" t="s">
        <v>486</v>
      </c>
    </row>
    <row r="24" ht="15">
      <c r="A24" s="493"/>
    </row>
    <row r="25" ht="15">
      <c r="A25" s="492" t="s">
        <v>448</v>
      </c>
    </row>
    <row r="26" ht="15">
      <c r="A26" s="492"/>
    </row>
    <row r="27" ht="15">
      <c r="A27" s="493" t="s">
        <v>449</v>
      </c>
    </row>
    <row r="28" spans="1:6" ht="15">
      <c r="A28" s="493" t="s">
        <v>450</v>
      </c>
      <c r="B28" s="493"/>
      <c r="C28" s="493"/>
      <c r="D28" s="493"/>
      <c r="E28" s="493"/>
      <c r="F28" s="493"/>
    </row>
    <row r="29" spans="1:6" ht="15">
      <c r="A29" s="493" t="s">
        <v>451</v>
      </c>
      <c r="B29" s="493"/>
      <c r="C29" s="493"/>
      <c r="D29" s="493"/>
      <c r="E29" s="493"/>
      <c r="F29" s="493"/>
    </row>
    <row r="30" spans="1:6" ht="15">
      <c r="A30" s="493" t="s">
        <v>452</v>
      </c>
      <c r="B30" s="493"/>
      <c r="C30" s="493"/>
      <c r="D30" s="493"/>
      <c r="E30" s="493"/>
      <c r="F30" s="493"/>
    </row>
    <row r="31" ht="15">
      <c r="A31" s="493"/>
    </row>
    <row r="32" spans="1:7" ht="15">
      <c r="A32" s="492" t="s">
        <v>453</v>
      </c>
      <c r="B32" s="492"/>
      <c r="C32" s="492"/>
      <c r="D32" s="492"/>
      <c r="E32" s="492"/>
      <c r="F32" s="492"/>
      <c r="G32" s="492"/>
    </row>
    <row r="33" spans="1:7" ht="15">
      <c r="A33" s="492" t="s">
        <v>454</v>
      </c>
      <c r="B33" s="492"/>
      <c r="C33" s="492"/>
      <c r="D33" s="492"/>
      <c r="E33" s="492"/>
      <c r="F33" s="492"/>
      <c r="G33" s="492"/>
    </row>
    <row r="34" spans="1:7" ht="15">
      <c r="A34" s="492"/>
      <c r="B34" s="492"/>
      <c r="C34" s="492"/>
      <c r="D34" s="492"/>
      <c r="E34" s="492"/>
      <c r="F34" s="492"/>
      <c r="G34" s="492"/>
    </row>
    <row r="35" spans="1:7" ht="15">
      <c r="A35" s="493" t="s">
        <v>487</v>
      </c>
      <c r="B35" s="493"/>
      <c r="C35" s="493"/>
      <c r="D35" s="493"/>
      <c r="E35" s="493"/>
      <c r="F35" s="493"/>
      <c r="G35" s="493"/>
    </row>
    <row r="36" spans="1:7" ht="15">
      <c r="A36" s="493" t="s">
        <v>488</v>
      </c>
      <c r="B36" s="493"/>
      <c r="C36" s="493"/>
      <c r="D36" s="493"/>
      <c r="E36" s="493"/>
      <c r="F36" s="493"/>
      <c r="G36" s="493"/>
    </row>
    <row r="37" spans="1:7" ht="15">
      <c r="A37" s="493" t="s">
        <v>489</v>
      </c>
      <c r="B37" s="493"/>
      <c r="C37" s="493"/>
      <c r="D37" s="493"/>
      <c r="E37" s="493"/>
      <c r="F37" s="493"/>
      <c r="G37" s="493"/>
    </row>
    <row r="38" spans="1:7" ht="15">
      <c r="A38" s="493" t="s">
        <v>490</v>
      </c>
      <c r="B38" s="493"/>
      <c r="C38" s="493"/>
      <c r="D38" s="493"/>
      <c r="E38" s="493"/>
      <c r="F38" s="493"/>
      <c r="G38" s="493"/>
    </row>
    <row r="39" spans="1:7" ht="15">
      <c r="A39" s="493" t="s">
        <v>491</v>
      </c>
      <c r="B39" s="493"/>
      <c r="C39" s="493"/>
      <c r="D39" s="493"/>
      <c r="E39" s="493"/>
      <c r="F39" s="493"/>
      <c r="G39" s="493"/>
    </row>
    <row r="40" spans="1:7" ht="15">
      <c r="A40" s="492"/>
      <c r="B40" s="492"/>
      <c r="C40" s="492"/>
      <c r="D40" s="492"/>
      <c r="E40" s="492"/>
      <c r="F40" s="492"/>
      <c r="G40" s="492"/>
    </row>
    <row r="41" spans="1:6" ht="15">
      <c r="A41" s="497" t="str">
        <f>CONCATENATE("So, let's look to see if any of your ",inputPrYr!C5-1," expenditures can")</f>
        <v>So, let's look to see if any of your 2013 expenditures can</v>
      </c>
      <c r="B41" s="493"/>
      <c r="C41" s="493"/>
      <c r="D41" s="493"/>
      <c r="E41" s="493"/>
      <c r="F41" s="493"/>
    </row>
    <row r="42" spans="1:6" ht="15">
      <c r="A42" s="497" t="s">
        <v>455</v>
      </c>
      <c r="B42" s="493"/>
      <c r="C42" s="493"/>
      <c r="D42" s="493"/>
      <c r="E42" s="493"/>
      <c r="F42" s="493"/>
    </row>
    <row r="43" spans="1:6" ht="15">
      <c r="A43" s="497" t="s">
        <v>395</v>
      </c>
      <c r="B43" s="493"/>
      <c r="C43" s="493"/>
      <c r="D43" s="493"/>
      <c r="E43" s="493"/>
      <c r="F43" s="493"/>
    </row>
    <row r="44" spans="1:6" ht="15">
      <c r="A44" s="497" t="s">
        <v>396</v>
      </c>
      <c r="B44" s="493"/>
      <c r="C44" s="493"/>
      <c r="D44" s="493"/>
      <c r="E44" s="493"/>
      <c r="F44" s="493"/>
    </row>
    <row r="45" ht="15">
      <c r="A45" s="493"/>
    </row>
    <row r="46" spans="1:6" ht="15">
      <c r="A46" s="497" t="str">
        <f>CONCATENATE("Additionally, do your ",inputPrYr!C5-1," receipts contain a reimbursement")</f>
        <v>Additionally, do your 2013 receipts contain a reimbursement</v>
      </c>
      <c r="B46" s="493"/>
      <c r="C46" s="493"/>
      <c r="D46" s="493"/>
      <c r="E46" s="493"/>
      <c r="F46" s="493"/>
    </row>
    <row r="47" spans="1:6" ht="15">
      <c r="A47" s="497" t="s">
        <v>397</v>
      </c>
      <c r="B47" s="493"/>
      <c r="C47" s="493"/>
      <c r="D47" s="493"/>
      <c r="E47" s="493"/>
      <c r="F47" s="493"/>
    </row>
    <row r="48" spans="1:6" ht="15">
      <c r="A48" s="497" t="s">
        <v>398</v>
      </c>
      <c r="B48" s="493"/>
      <c r="C48" s="493"/>
      <c r="D48" s="493"/>
      <c r="E48" s="493"/>
      <c r="F48" s="493"/>
    </row>
    <row r="49" spans="1:7" ht="15">
      <c r="A49" s="493"/>
      <c r="B49" s="493"/>
      <c r="C49" s="493"/>
      <c r="D49" s="493"/>
      <c r="E49" s="493"/>
      <c r="F49" s="493"/>
      <c r="G49" s="493"/>
    </row>
    <row r="50" spans="1:7" ht="15">
      <c r="A50" s="493" t="s">
        <v>352</v>
      </c>
      <c r="B50" s="493"/>
      <c r="C50" s="493"/>
      <c r="D50" s="493"/>
      <c r="E50" s="493"/>
      <c r="F50" s="493"/>
      <c r="G50" s="493"/>
    </row>
    <row r="51" spans="1:7" ht="15">
      <c r="A51" s="493" t="s">
        <v>353</v>
      </c>
      <c r="B51" s="493"/>
      <c r="C51" s="493"/>
      <c r="D51" s="493"/>
      <c r="E51" s="493"/>
      <c r="F51" s="493"/>
      <c r="G51" s="493"/>
    </row>
    <row r="52" spans="1:7" ht="15">
      <c r="A52" s="493" t="s">
        <v>354</v>
      </c>
      <c r="B52" s="493"/>
      <c r="C52" s="493"/>
      <c r="D52" s="493"/>
      <c r="E52" s="493"/>
      <c r="F52" s="493"/>
      <c r="G52" s="493"/>
    </row>
    <row r="53" spans="1:7" ht="15">
      <c r="A53" s="493" t="s">
        <v>355</v>
      </c>
      <c r="B53" s="493"/>
      <c r="C53" s="493"/>
      <c r="D53" s="493"/>
      <c r="E53" s="493"/>
      <c r="F53" s="493"/>
      <c r="G53" s="493"/>
    </row>
    <row r="54" spans="1:7" ht="15">
      <c r="A54" s="493" t="s">
        <v>356</v>
      </c>
      <c r="B54" s="493"/>
      <c r="C54" s="493"/>
      <c r="D54" s="493"/>
      <c r="E54" s="493"/>
      <c r="F54" s="493"/>
      <c r="G54" s="493"/>
    </row>
    <row r="55" spans="1:7" ht="15">
      <c r="A55" s="493"/>
      <c r="B55" s="493"/>
      <c r="C55" s="493"/>
      <c r="D55" s="493"/>
      <c r="E55" s="493"/>
      <c r="F55" s="493"/>
      <c r="G55" s="493"/>
    </row>
    <row r="56" spans="1:6" ht="15">
      <c r="A56" s="497" t="s">
        <v>407</v>
      </c>
      <c r="B56" s="493"/>
      <c r="C56" s="493"/>
      <c r="D56" s="493"/>
      <c r="E56" s="493"/>
      <c r="F56" s="493"/>
    </row>
    <row r="57" spans="1:6" ht="15">
      <c r="A57" s="497" t="s">
        <v>408</v>
      </c>
      <c r="B57" s="493"/>
      <c r="C57" s="493"/>
      <c r="D57" s="493"/>
      <c r="E57" s="493"/>
      <c r="F57" s="493"/>
    </row>
    <row r="58" spans="1:6" ht="15">
      <c r="A58" s="497" t="s">
        <v>409</v>
      </c>
      <c r="B58" s="493"/>
      <c r="C58" s="493"/>
      <c r="D58" s="493"/>
      <c r="E58" s="493"/>
      <c r="F58" s="493"/>
    </row>
    <row r="59" spans="1:6" ht="15">
      <c r="A59" s="497"/>
      <c r="B59" s="493"/>
      <c r="C59" s="493"/>
      <c r="D59" s="493"/>
      <c r="E59" s="493"/>
      <c r="F59" s="493"/>
    </row>
    <row r="60" spans="1:7" ht="15">
      <c r="A60" s="493" t="s">
        <v>492</v>
      </c>
      <c r="B60" s="493"/>
      <c r="C60" s="493"/>
      <c r="D60" s="493"/>
      <c r="E60" s="493"/>
      <c r="F60" s="493"/>
      <c r="G60" s="493"/>
    </row>
    <row r="61" spans="1:7" ht="15">
      <c r="A61" s="493" t="s">
        <v>493</v>
      </c>
      <c r="B61" s="493"/>
      <c r="C61" s="493"/>
      <c r="D61" s="493"/>
      <c r="E61" s="493"/>
      <c r="F61" s="493"/>
      <c r="G61" s="493"/>
    </row>
    <row r="62" spans="1:7" ht="15">
      <c r="A62" s="493" t="s">
        <v>494</v>
      </c>
      <c r="B62" s="493"/>
      <c r="C62" s="493"/>
      <c r="D62" s="493"/>
      <c r="E62" s="493"/>
      <c r="F62" s="493"/>
      <c r="G62" s="493"/>
    </row>
    <row r="63" spans="1:7" ht="15">
      <c r="A63" s="493" t="s">
        <v>495</v>
      </c>
      <c r="B63" s="493"/>
      <c r="C63" s="493"/>
      <c r="D63" s="493"/>
      <c r="E63" s="493"/>
      <c r="F63" s="493"/>
      <c r="G63" s="493"/>
    </row>
    <row r="64" spans="1:7" ht="15">
      <c r="A64" s="493" t="s">
        <v>496</v>
      </c>
      <c r="B64" s="493"/>
      <c r="C64" s="493"/>
      <c r="D64" s="493"/>
      <c r="E64" s="493"/>
      <c r="F64" s="493"/>
      <c r="G64" s="493"/>
    </row>
    <row r="66" spans="1:6" ht="15">
      <c r="A66" s="497" t="s">
        <v>459</v>
      </c>
      <c r="B66" s="493"/>
      <c r="C66" s="493"/>
      <c r="D66" s="493"/>
      <c r="E66" s="493"/>
      <c r="F66" s="493"/>
    </row>
    <row r="67" spans="1:6" ht="15">
      <c r="A67" s="497" t="s">
        <v>460</v>
      </c>
      <c r="B67" s="493"/>
      <c r="C67" s="493"/>
      <c r="D67" s="493"/>
      <c r="E67" s="493"/>
      <c r="F67" s="493"/>
    </row>
    <row r="68" spans="1:6" ht="15">
      <c r="A68" s="497" t="s">
        <v>461</v>
      </c>
      <c r="B68" s="493"/>
      <c r="C68" s="493"/>
      <c r="D68" s="493"/>
      <c r="E68" s="493"/>
      <c r="F68" s="493"/>
    </row>
    <row r="69" spans="1:6" ht="15">
      <c r="A69" s="497" t="s">
        <v>462</v>
      </c>
      <c r="B69" s="493"/>
      <c r="C69" s="493"/>
      <c r="D69" s="493"/>
      <c r="E69" s="493"/>
      <c r="F69" s="493"/>
    </row>
    <row r="70" spans="1:6" ht="15">
      <c r="A70" s="497" t="s">
        <v>463</v>
      </c>
      <c r="B70" s="493"/>
      <c r="C70" s="493"/>
      <c r="D70" s="493"/>
      <c r="E70" s="493"/>
      <c r="F70" s="493"/>
    </row>
    <row r="71" ht="15">
      <c r="A71" s="493"/>
    </row>
    <row r="72" ht="15">
      <c r="A72" s="493" t="s">
        <v>379</v>
      </c>
    </row>
    <row r="73" ht="15">
      <c r="A73" s="493"/>
    </row>
    <row r="74" ht="15">
      <c r="A74" s="493"/>
    </row>
    <row r="75" ht="15">
      <c r="A75" s="493"/>
    </row>
    <row r="78" ht="15">
      <c r="A78" s="492"/>
    </row>
    <row r="80" ht="15">
      <c r="A80" s="493"/>
    </row>
    <row r="81" ht="15">
      <c r="A81" s="493"/>
    </row>
    <row r="82" ht="15">
      <c r="A82" s="493"/>
    </row>
    <row r="83" ht="15">
      <c r="A83" s="493"/>
    </row>
    <row r="84" ht="15">
      <c r="A84" s="493"/>
    </row>
    <row r="85" ht="15">
      <c r="A85" s="493"/>
    </row>
    <row r="86" ht="15">
      <c r="A86" s="493"/>
    </row>
    <row r="87" ht="15">
      <c r="A87" s="493"/>
    </row>
    <row r="88" ht="15">
      <c r="A88" s="493"/>
    </row>
    <row r="89" ht="15">
      <c r="A89" s="493"/>
    </row>
    <row r="90" ht="15">
      <c r="A90" s="493"/>
    </row>
    <row r="92" ht="15">
      <c r="A92" s="493"/>
    </row>
    <row r="93" ht="15">
      <c r="A93" s="493"/>
    </row>
    <row r="94" ht="15">
      <c r="A94" s="493"/>
    </row>
    <row r="95" ht="15">
      <c r="A95" s="493"/>
    </row>
    <row r="96" ht="15">
      <c r="A96" s="493"/>
    </row>
    <row r="97" ht="15">
      <c r="A97" s="493"/>
    </row>
    <row r="98" ht="15">
      <c r="A98" s="493"/>
    </row>
    <row r="99" ht="15">
      <c r="A99" s="493"/>
    </row>
    <row r="100" ht="15">
      <c r="A100" s="493"/>
    </row>
    <row r="101" ht="15">
      <c r="A101" s="493"/>
    </row>
    <row r="102" ht="15">
      <c r="A102" s="493"/>
    </row>
    <row r="103" ht="15">
      <c r="A103" s="493"/>
    </row>
    <row r="104" ht="15">
      <c r="A104" s="493"/>
    </row>
    <row r="105" ht="15">
      <c r="A105" s="493"/>
    </row>
    <row r="106" ht="15">
      <c r="A106" s="493"/>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6"/>
  <sheetViews>
    <sheetView zoomScalePageLayoutView="0" workbookViewId="0" topLeftCell="A50">
      <selection activeCell="E31" sqref="E31"/>
    </sheetView>
  </sheetViews>
  <sheetFormatPr defaultColWidth="8.8984375" defaultRowHeight="15"/>
  <cols>
    <col min="1" max="1" width="15.796875" style="185" customWidth="1"/>
    <col min="2" max="2" width="20.796875" style="185" customWidth="1"/>
    <col min="3" max="3" width="9.796875" style="185" customWidth="1"/>
    <col min="4" max="4" width="15.09765625" style="185" customWidth="1"/>
    <col min="5" max="5" width="15.796875" style="185" customWidth="1"/>
    <col min="6" max="16384" width="8.8984375" style="185" customWidth="1"/>
  </cols>
  <sheetData>
    <row r="1" spans="1:5" ht="15.75">
      <c r="A1" s="186" t="str">
        <f>inputPrYr!$D$2</f>
        <v>CITY OF BOGUE</v>
      </c>
      <c r="B1" s="187"/>
      <c r="C1" s="187"/>
      <c r="D1" s="187"/>
      <c r="E1" s="188">
        <f>inputPrYr!C5</f>
        <v>2014</v>
      </c>
    </row>
    <row r="2" spans="1:5" ht="15">
      <c r="A2" s="187"/>
      <c r="B2" s="187"/>
      <c r="C2" s="187"/>
      <c r="D2" s="187"/>
      <c r="E2" s="187"/>
    </row>
    <row r="3" spans="1:5" ht="15.75">
      <c r="A3" s="531" t="s">
        <v>662</v>
      </c>
      <c r="B3" s="532"/>
      <c r="C3" s="532"/>
      <c r="D3" s="532"/>
      <c r="E3" s="532"/>
    </row>
    <row r="4" spans="1:5" ht="15.75">
      <c r="A4" s="134"/>
      <c r="B4" s="134"/>
      <c r="C4" s="134"/>
      <c r="D4" s="134"/>
      <c r="E4" s="134"/>
    </row>
    <row r="5" spans="1:5" ht="15.75">
      <c r="A5" s="137" t="s">
        <v>42</v>
      </c>
      <c r="B5" s="138"/>
      <c r="C5" s="121"/>
      <c r="D5" s="121"/>
      <c r="E5" s="147"/>
    </row>
    <row r="6" spans="1:5" ht="15.75">
      <c r="A6" s="189" t="str">
        <f>CONCATENATE("Total Assessed Valuation for ",E1-1,"")</f>
        <v>Total Assessed Valuation for 2013</v>
      </c>
      <c r="B6" s="174"/>
      <c r="C6" s="174"/>
      <c r="D6" s="174"/>
      <c r="E6" s="146"/>
    </row>
    <row r="7" spans="1:5" ht="15.75">
      <c r="A7" s="189" t="str">
        <f>CONCATENATE("New Improvements for ",E1-1,"")</f>
        <v>New Improvements for 2013</v>
      </c>
      <c r="B7" s="174"/>
      <c r="C7" s="174"/>
      <c r="D7" s="174"/>
      <c r="E7" s="190"/>
    </row>
    <row r="8" spans="1:5" ht="15.75">
      <c r="A8" s="189" t="str">
        <f>CONCATENATE("Personal Property excluding oil, gas, and mobile homes  - ",E1-1,"")</f>
        <v>Personal Property excluding oil, gas, and mobile homes  - 2013</v>
      </c>
      <c r="B8" s="174"/>
      <c r="C8" s="174"/>
      <c r="D8" s="174"/>
      <c r="E8" s="190"/>
    </row>
    <row r="9" spans="1:5" ht="15.75">
      <c r="A9" s="191" t="s">
        <v>191</v>
      </c>
      <c r="B9" s="174"/>
      <c r="C9" s="174"/>
      <c r="D9" s="174"/>
      <c r="E9" s="167"/>
    </row>
    <row r="10" spans="1:5" ht="15.75">
      <c r="A10" s="189" t="s">
        <v>181</v>
      </c>
      <c r="B10" s="174"/>
      <c r="C10" s="174"/>
      <c r="D10" s="174"/>
      <c r="E10" s="190"/>
    </row>
    <row r="11" spans="1:5" ht="15.75">
      <c r="A11" s="189" t="s">
        <v>182</v>
      </c>
      <c r="B11" s="174"/>
      <c r="C11" s="174"/>
      <c r="D11" s="174"/>
      <c r="E11" s="190"/>
    </row>
    <row r="12" spans="1:5" ht="15.75">
      <c r="A12" s="189" t="s">
        <v>183</v>
      </c>
      <c r="B12" s="174"/>
      <c r="C12" s="174"/>
      <c r="D12" s="174"/>
      <c r="E12" s="190"/>
    </row>
    <row r="13" spans="1:5" ht="15.75">
      <c r="A13" s="189" t="str">
        <f>CONCATENATE("Property that has changed in use for ",E1-1,"")</f>
        <v>Property that has changed in use for 2013</v>
      </c>
      <c r="B13" s="174"/>
      <c r="C13" s="174"/>
      <c r="D13" s="174"/>
      <c r="E13" s="190"/>
    </row>
    <row r="14" spans="1:5" ht="15.75">
      <c r="A14" s="189" t="str">
        <f>CONCATENATE("Personal Property  excluding oil, gas, and mobile homes- ",E1-2,"")</f>
        <v>Personal Property  excluding oil, gas, and mobile homes- 2012</v>
      </c>
      <c r="B14" s="174"/>
      <c r="C14" s="174"/>
      <c r="D14" s="174"/>
      <c r="E14" s="190"/>
    </row>
    <row r="15" spans="1:5" ht="15.75">
      <c r="A15" s="189" t="str">
        <f>CONCATENATE("Gross earnings (intangible) tax estimate for ",E1,"")</f>
        <v>Gross earnings (intangible) tax estimate for 2014</v>
      </c>
      <c r="B15" s="174"/>
      <c r="C15" s="174"/>
      <c r="D15" s="175"/>
      <c r="E15" s="146"/>
    </row>
    <row r="16" spans="1:5" ht="15.75">
      <c r="A16" s="189" t="s">
        <v>689</v>
      </c>
      <c r="B16" s="174"/>
      <c r="C16" s="174"/>
      <c r="D16" s="174"/>
      <c r="E16" s="182"/>
    </row>
    <row r="17" spans="1:5" ht="15.75">
      <c r="A17" s="158"/>
      <c r="B17" s="155"/>
      <c r="C17" s="155"/>
      <c r="D17" s="155"/>
      <c r="E17" s="160"/>
    </row>
    <row r="18" spans="1:5" ht="15.75">
      <c r="A18" s="158" t="str">
        <f>CONCATENATE("Actual Tax Rates for the ",E1-1," Budget:")</f>
        <v>Actual Tax Rates for the 2013 Budget:</v>
      </c>
      <c r="B18" s="155"/>
      <c r="C18" s="155"/>
      <c r="D18" s="155"/>
      <c r="E18" s="160"/>
    </row>
    <row r="19" spans="1:5" ht="15.75">
      <c r="A19" s="535" t="s">
        <v>57</v>
      </c>
      <c r="B19" s="536"/>
      <c r="C19" s="187"/>
      <c r="D19" s="192" t="s">
        <v>106</v>
      </c>
      <c r="E19" s="160"/>
    </row>
    <row r="20" spans="1:5" ht="15.75">
      <c r="A20" s="150" t="str">
        <f>inputPrYr!B17</f>
        <v>General</v>
      </c>
      <c r="B20" s="151"/>
      <c r="C20" s="155"/>
      <c r="D20" s="193">
        <v>64.253</v>
      </c>
      <c r="E20" s="160"/>
    </row>
    <row r="21" spans="1:5" ht="15.75">
      <c r="A21" s="150" t="str">
        <f>inputPrYr!B18</f>
        <v>Debt Service</v>
      </c>
      <c r="B21" s="174"/>
      <c r="C21" s="155"/>
      <c r="D21" s="194">
        <v>0</v>
      </c>
      <c r="E21" s="160"/>
    </row>
    <row r="22" spans="1:5" ht="15.75">
      <c r="A22" s="189">
        <f>inputPrYr!B20</f>
        <v>0</v>
      </c>
      <c r="B22" s="174"/>
      <c r="C22" s="155"/>
      <c r="D22" s="194"/>
      <c r="E22" s="160"/>
    </row>
    <row r="23" spans="1:5" ht="15.75">
      <c r="A23" s="189">
        <f>inputPrYr!B21</f>
        <v>0</v>
      </c>
      <c r="B23" s="174"/>
      <c r="C23" s="155"/>
      <c r="D23" s="194"/>
      <c r="E23" s="160"/>
    </row>
    <row r="24" spans="1:5" ht="15.75">
      <c r="A24" s="189">
        <f>inputPrYr!B22</f>
        <v>0</v>
      </c>
      <c r="B24" s="174"/>
      <c r="C24" s="155"/>
      <c r="D24" s="194"/>
      <c r="E24" s="160"/>
    </row>
    <row r="25" spans="1:5" ht="15.75">
      <c r="A25" s="189">
        <f>inputPrYr!B23</f>
        <v>0</v>
      </c>
      <c r="B25" s="195"/>
      <c r="C25" s="155"/>
      <c r="D25" s="196"/>
      <c r="E25" s="160"/>
    </row>
    <row r="26" spans="1:5" ht="15.75">
      <c r="A26" s="197"/>
      <c r="B26" s="145" t="s">
        <v>41</v>
      </c>
      <c r="C26" s="198"/>
      <c r="D26" s="170">
        <f>SUM(D20:D25)</f>
        <v>64.253</v>
      </c>
      <c r="E26" s="197"/>
    </row>
    <row r="27" spans="1:5" ht="15">
      <c r="A27" s="197"/>
      <c r="B27" s="197"/>
      <c r="C27" s="197"/>
      <c r="D27" s="197"/>
      <c r="E27" s="197"/>
    </row>
    <row r="28" spans="1:5" ht="15.75">
      <c r="A28" s="151" t="str">
        <f>CONCATENATE("Final Assessed Valuation from the November 1, ",E1-2," Abstract")</f>
        <v>Final Assessed Valuation from the November 1, 2012 Abstract</v>
      </c>
      <c r="B28" s="199"/>
      <c r="C28" s="199"/>
      <c r="D28" s="199"/>
      <c r="E28" s="182">
        <v>550726</v>
      </c>
    </row>
    <row r="29" spans="1:5" ht="15">
      <c r="A29" s="197"/>
      <c r="B29" s="197"/>
      <c r="C29" s="197"/>
      <c r="D29" s="197"/>
      <c r="E29" s="197"/>
    </row>
    <row r="30" spans="1:5" ht="15.75">
      <c r="A30" s="200" t="s">
        <v>192</v>
      </c>
      <c r="B30" s="136"/>
      <c r="C30" s="136"/>
      <c r="D30" s="201"/>
      <c r="E30" s="147"/>
    </row>
    <row r="31" spans="1:5" ht="15.75">
      <c r="A31" s="150" t="s">
        <v>43</v>
      </c>
      <c r="B31" s="151"/>
      <c r="C31" s="151"/>
      <c r="D31" s="202"/>
      <c r="E31" s="146">
        <v>6607</v>
      </c>
    </row>
    <row r="32" spans="1:5" ht="15.75">
      <c r="A32" s="189" t="s">
        <v>44</v>
      </c>
      <c r="B32" s="174"/>
      <c r="C32" s="174"/>
      <c r="D32" s="203"/>
      <c r="E32" s="146">
        <v>178</v>
      </c>
    </row>
    <row r="33" spans="1:5" ht="15.75">
      <c r="A33" s="189" t="s">
        <v>136</v>
      </c>
      <c r="B33" s="174"/>
      <c r="C33" s="174"/>
      <c r="D33" s="203"/>
      <c r="E33" s="146">
        <v>0</v>
      </c>
    </row>
    <row r="34" spans="1:5" ht="15.75">
      <c r="A34" s="189" t="s">
        <v>26</v>
      </c>
      <c r="B34" s="174"/>
      <c r="C34" s="174"/>
      <c r="D34" s="203"/>
      <c r="E34" s="146">
        <v>0</v>
      </c>
    </row>
    <row r="35" spans="1:5" ht="15.75">
      <c r="A35" s="189" t="s">
        <v>29</v>
      </c>
      <c r="B35" s="174"/>
      <c r="C35" s="174"/>
      <c r="D35" s="203"/>
      <c r="E35" s="146">
        <v>0</v>
      </c>
    </row>
    <row r="36" spans="1:5" ht="15.75">
      <c r="A36" s="150" t="s">
        <v>27</v>
      </c>
      <c r="B36" s="151"/>
      <c r="C36" s="151"/>
      <c r="D36" s="202"/>
      <c r="E36" s="146">
        <v>0</v>
      </c>
    </row>
    <row r="37" spans="1:5" ht="15.75">
      <c r="A37" s="121" t="s">
        <v>170</v>
      </c>
      <c r="B37" s="121"/>
      <c r="C37" s="121"/>
      <c r="D37" s="121"/>
      <c r="E37" s="121"/>
    </row>
    <row r="38" spans="1:5" ht="15.75">
      <c r="A38" s="123" t="s">
        <v>64</v>
      </c>
      <c r="B38" s="132"/>
      <c r="C38" s="132"/>
      <c r="D38" s="121"/>
      <c r="E38" s="121"/>
    </row>
    <row r="39" spans="1:5" ht="15.75">
      <c r="A39" s="158" t="str">
        <f>CONCATENATE("Actual Delinquency for ",E1-2," Tax - (round to three decimal places)")</f>
        <v>Actual Delinquency for 2012 Tax - (round to three decimal places)</v>
      </c>
      <c r="B39" s="155"/>
      <c r="C39" s="121"/>
      <c r="D39" s="121"/>
      <c r="E39" s="204">
        <v>3</v>
      </c>
    </row>
    <row r="40" spans="1:5" ht="15.75">
      <c r="A40" s="158" t="s">
        <v>648</v>
      </c>
      <c r="B40" s="158"/>
      <c r="C40" s="155"/>
      <c r="D40" s="155"/>
      <c r="E40" s="205">
        <v>0.03</v>
      </c>
    </row>
    <row r="41" spans="1:5" ht="15.75">
      <c r="A41" s="206" t="s">
        <v>649</v>
      </c>
      <c r="B41" s="206"/>
      <c r="C41" s="207"/>
      <c r="D41" s="207"/>
      <c r="E41" s="208"/>
    </row>
    <row r="42" spans="1:5" ht="15.75">
      <c r="A42" s="121"/>
      <c r="B42" s="121"/>
      <c r="C42" s="121"/>
      <c r="D42" s="121"/>
      <c r="E42" s="121"/>
    </row>
    <row r="43" spans="1:5" ht="15.75">
      <c r="A43" s="209" t="s">
        <v>688</v>
      </c>
      <c r="B43" s="210"/>
      <c r="C43" s="211"/>
      <c r="D43" s="211"/>
      <c r="E43" s="211"/>
    </row>
    <row r="44" spans="1:5" ht="15.75">
      <c r="A44" s="212" t="str">
        <f>CONCATENATE("",E1," State Distribution for Kansas Gas Tax")</f>
        <v>2014 State Distribution for Kansas Gas Tax</v>
      </c>
      <c r="B44" s="213"/>
      <c r="C44" s="213"/>
      <c r="D44" s="214"/>
      <c r="E44" s="182"/>
    </row>
    <row r="45" spans="1:5" ht="15.75">
      <c r="A45" s="215" t="str">
        <f>CONCATENATE("",E1," County Transfers for Gas***")</f>
        <v>2014 County Transfers for Gas***</v>
      </c>
      <c r="B45" s="216"/>
      <c r="C45" s="216"/>
      <c r="D45" s="217"/>
      <c r="E45" s="182"/>
    </row>
    <row r="46" spans="1:5" ht="15.75">
      <c r="A46" s="215" t="str">
        <f>CONCATENATE("Adjusted ",E1-1," State Distribution for Kansas Gas Tax")</f>
        <v>Adjusted 2013 State Distribution for Kansas Gas Tax</v>
      </c>
      <c r="B46" s="216"/>
      <c r="C46" s="216"/>
      <c r="D46" s="217"/>
      <c r="E46" s="182">
        <v>5000</v>
      </c>
    </row>
    <row r="47" spans="1:5" ht="15.75">
      <c r="A47" s="215" t="str">
        <f>CONCATENATE("Adjusted ",E1-1," County Transfers for Gas***")</f>
        <v>Adjusted 2013 County Transfers for Gas***</v>
      </c>
      <c r="B47" s="216"/>
      <c r="C47" s="216"/>
      <c r="D47" s="217"/>
      <c r="E47" s="182">
        <v>0</v>
      </c>
    </row>
    <row r="48" spans="1:5" ht="18" customHeight="1">
      <c r="A48" s="537" t="s">
        <v>655</v>
      </c>
      <c r="B48" s="538"/>
      <c r="C48" s="538"/>
      <c r="D48" s="538"/>
      <c r="E48" s="538"/>
    </row>
    <row r="49" spans="1:5" ht="15">
      <c r="A49" s="218" t="s">
        <v>656</v>
      </c>
      <c r="B49" s="218"/>
      <c r="C49" s="218"/>
      <c r="D49" s="218"/>
      <c r="E49" s="218"/>
    </row>
    <row r="50" spans="1:5" ht="15">
      <c r="A50" s="187"/>
      <c r="B50" s="187"/>
      <c r="C50" s="187"/>
      <c r="D50" s="187"/>
      <c r="E50" s="187"/>
    </row>
    <row r="51" spans="1:5" ht="15.75">
      <c r="A51" s="539" t="str">
        <f>CONCATENATE("From the ",E1-2," Budget Certificate Page")</f>
        <v>From the 2012 Budget Certificate Page</v>
      </c>
      <c r="B51" s="540"/>
      <c r="C51" s="187"/>
      <c r="D51" s="187"/>
      <c r="E51" s="187"/>
    </row>
    <row r="52" spans="1:5" ht="15.75">
      <c r="A52" s="219"/>
      <c r="B52" s="219" t="str">
        <f>CONCATENATE("",E1-2," Expenditure Amounts")</f>
        <v>2012 Expenditure Amounts</v>
      </c>
      <c r="C52" s="533" t="str">
        <f>CONCATENATE("Note: If the ",E1-2," budget was amended, then the")</f>
        <v>Note: If the 2012 budget was amended, then the</v>
      </c>
      <c r="D52" s="534"/>
      <c r="E52" s="534"/>
    </row>
    <row r="53" spans="1:5" ht="15.75">
      <c r="A53" s="220" t="s">
        <v>698</v>
      </c>
      <c r="B53" s="220" t="s">
        <v>697</v>
      </c>
      <c r="C53" s="221" t="s">
        <v>695</v>
      </c>
      <c r="D53" s="222"/>
      <c r="E53" s="222"/>
    </row>
    <row r="54" spans="1:5" ht="15.75">
      <c r="A54" s="223" t="str">
        <f>inputPrYr!B17</f>
        <v>General</v>
      </c>
      <c r="B54" s="182">
        <v>61100</v>
      </c>
      <c r="C54" s="221" t="s">
        <v>696</v>
      </c>
      <c r="D54" s="222"/>
      <c r="E54" s="222"/>
    </row>
    <row r="55" spans="1:5" ht="15.75">
      <c r="A55" s="223" t="str">
        <f>inputPrYr!B18</f>
        <v>Debt Service</v>
      </c>
      <c r="B55" s="182">
        <v>0</v>
      </c>
      <c r="C55" s="221"/>
      <c r="D55" s="222"/>
      <c r="E55" s="222"/>
    </row>
    <row r="56" spans="1:5" ht="15.75">
      <c r="A56" s="223">
        <f>inputPrYr!B20</f>
        <v>0</v>
      </c>
      <c r="B56" s="182"/>
      <c r="C56" s="187"/>
      <c r="D56" s="187"/>
      <c r="E56" s="187"/>
    </row>
    <row r="57" spans="1:5" ht="15.75">
      <c r="A57" s="223">
        <f>inputPrYr!B21</f>
        <v>0</v>
      </c>
      <c r="B57" s="182"/>
      <c r="C57" s="187"/>
      <c r="D57" s="187"/>
      <c r="E57" s="187"/>
    </row>
    <row r="58" spans="1:5" ht="15.75">
      <c r="A58" s="223">
        <f>inputPrYr!B22</f>
        <v>0</v>
      </c>
      <c r="B58" s="182"/>
      <c r="C58" s="187"/>
      <c r="D58" s="187"/>
      <c r="E58" s="187"/>
    </row>
    <row r="59" spans="1:5" ht="15.75">
      <c r="A59" s="223">
        <f>inputPrYr!B23</f>
        <v>0</v>
      </c>
      <c r="B59" s="182"/>
      <c r="C59" s="187"/>
      <c r="D59" s="187"/>
      <c r="E59" s="187"/>
    </row>
    <row r="60" spans="1:5" ht="15.75">
      <c r="A60" s="223" t="str">
        <f>inputPrYr!B26</f>
        <v>Special Highway</v>
      </c>
      <c r="B60" s="182">
        <v>5000</v>
      </c>
      <c r="C60" s="187"/>
      <c r="D60" s="187"/>
      <c r="E60" s="187"/>
    </row>
    <row r="61" spans="1:5" ht="15.75">
      <c r="A61" s="223" t="str">
        <f>inputPrYr!B27</f>
        <v>Utility</v>
      </c>
      <c r="B61" s="182">
        <v>101440</v>
      </c>
      <c r="C61" s="187"/>
      <c r="D61" s="187"/>
      <c r="E61" s="187"/>
    </row>
    <row r="62" spans="1:5" ht="15.75">
      <c r="A62" s="223">
        <f>inputPrYr!B28</f>
        <v>0</v>
      </c>
      <c r="B62" s="182"/>
      <c r="C62" s="187"/>
      <c r="D62" s="187"/>
      <c r="E62" s="187"/>
    </row>
    <row r="63" spans="1:5" ht="15.75">
      <c r="A63" s="223">
        <f>inputPrYr!B29</f>
        <v>0</v>
      </c>
      <c r="B63" s="182"/>
      <c r="C63" s="187"/>
      <c r="D63" s="187"/>
      <c r="E63" s="187"/>
    </row>
    <row r="64" spans="1:5" ht="15.75">
      <c r="A64" s="223">
        <f>inputPrYr!B30</f>
        <v>0</v>
      </c>
      <c r="B64" s="182"/>
      <c r="C64" s="187"/>
      <c r="D64" s="187"/>
      <c r="E64" s="187"/>
    </row>
    <row r="65" spans="1:5" ht="15.75">
      <c r="A65" s="223">
        <f>inputPrYr!B31</f>
        <v>0</v>
      </c>
      <c r="B65" s="182"/>
      <c r="C65" s="187"/>
      <c r="D65" s="187"/>
      <c r="E65" s="187"/>
    </row>
    <row r="66" spans="1:5" ht="15.75">
      <c r="A66" s="223">
        <f>inputPrYr!B33</f>
        <v>0</v>
      </c>
      <c r="B66" s="182"/>
      <c r="C66" s="187"/>
      <c r="D66" s="187"/>
      <c r="E66" s="187"/>
    </row>
  </sheetData>
  <sheetProtection sheet="1" objects="1" scenarios="1"/>
  <mergeCells count="5">
    <mergeCell ref="C52:E52"/>
    <mergeCell ref="A19:B19"/>
    <mergeCell ref="A48:E48"/>
    <mergeCell ref="A3:E3"/>
    <mergeCell ref="A51:B51"/>
  </mergeCells>
  <printOptions/>
  <pageMargins left="0.75" right="0.75" top="1" bottom="1" header="0.5" footer="0.5"/>
  <pageSetup blackAndWhite="1" fitToHeight="1" fitToWidth="1" horizontalDpi="600" verticalDpi="600" orientation="portrait" scale="59"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28">
      <selection activeCell="C39" sqref="C39"/>
    </sheetView>
  </sheetViews>
  <sheetFormatPr defaultColWidth="8.796875" defaultRowHeight="15"/>
  <cols>
    <col min="1" max="1" width="71.296875" style="0" customWidth="1"/>
  </cols>
  <sheetData>
    <row r="3" spans="1:7" ht="15">
      <c r="A3" s="494" t="s">
        <v>497</v>
      </c>
      <c r="B3" s="494"/>
      <c r="C3" s="494"/>
      <c r="D3" s="494"/>
      <c r="E3" s="494"/>
      <c r="F3" s="494"/>
      <c r="G3" s="494"/>
    </row>
    <row r="4" spans="1:7" ht="15">
      <c r="A4" s="494" t="s">
        <v>498</v>
      </c>
      <c r="B4" s="494"/>
      <c r="C4" s="494"/>
      <c r="D4" s="494"/>
      <c r="E4" s="494"/>
      <c r="F4" s="494"/>
      <c r="G4" s="494"/>
    </row>
    <row r="5" spans="1:7" ht="15">
      <c r="A5" s="494"/>
      <c r="B5" s="494"/>
      <c r="C5" s="494"/>
      <c r="D5" s="494"/>
      <c r="E5" s="494"/>
      <c r="F5" s="494"/>
      <c r="G5" s="494"/>
    </row>
    <row r="6" spans="1:7" ht="15">
      <c r="A6" s="494"/>
      <c r="B6" s="494"/>
      <c r="C6" s="494"/>
      <c r="D6" s="494"/>
      <c r="E6" s="494"/>
      <c r="F6" s="494"/>
      <c r="G6" s="494"/>
    </row>
    <row r="7" ht="15">
      <c r="A7" s="493" t="s">
        <v>381</v>
      </c>
    </row>
    <row r="8" ht="15">
      <c r="A8" s="493" t="str">
        <f>CONCATENATE("estimated ",inputPrYr!C5," 'total expenditures' exceed your ",inputPrYr!C5,"")</f>
        <v>estimated 2014 'total expenditures' exceed your 2014</v>
      </c>
    </row>
    <row r="9" ht="15">
      <c r="A9" s="496" t="s">
        <v>499</v>
      </c>
    </row>
    <row r="10" ht="15">
      <c r="A10" s="493"/>
    </row>
    <row r="11" ht="15">
      <c r="A11" s="493" t="s">
        <v>500</v>
      </c>
    </row>
    <row r="12" ht="15">
      <c r="A12" s="493" t="s">
        <v>501</v>
      </c>
    </row>
    <row r="13" ht="15">
      <c r="A13" s="493" t="s">
        <v>502</v>
      </c>
    </row>
    <row r="14" ht="15">
      <c r="A14" s="493"/>
    </row>
    <row r="15" ht="15">
      <c r="A15" s="492" t="s">
        <v>503</v>
      </c>
    </row>
    <row r="16" spans="1:7" ht="15">
      <c r="A16" s="494"/>
      <c r="B16" s="494"/>
      <c r="C16" s="494"/>
      <c r="D16" s="494"/>
      <c r="E16" s="494"/>
      <c r="F16" s="494"/>
      <c r="G16" s="494"/>
    </row>
    <row r="17" spans="1:8" ht="15">
      <c r="A17" s="499" t="s">
        <v>504</v>
      </c>
      <c r="B17" s="481"/>
      <c r="C17" s="481"/>
      <c r="D17" s="481"/>
      <c r="E17" s="481"/>
      <c r="F17" s="481"/>
      <c r="G17" s="481"/>
      <c r="H17" s="481"/>
    </row>
    <row r="18" spans="1:7" ht="15">
      <c r="A18" s="493" t="s">
        <v>505</v>
      </c>
      <c r="B18" s="500"/>
      <c r="C18" s="500"/>
      <c r="D18" s="500"/>
      <c r="E18" s="500"/>
      <c r="F18" s="500"/>
      <c r="G18" s="500"/>
    </row>
    <row r="19" ht="15">
      <c r="A19" s="493" t="s">
        <v>506</v>
      </c>
    </row>
    <row r="20" ht="15">
      <c r="A20" s="493" t="s">
        <v>507</v>
      </c>
    </row>
    <row r="22" ht="15">
      <c r="A22" s="492" t="s">
        <v>508</v>
      </c>
    </row>
    <row r="24" ht="15">
      <c r="A24" s="493" t="s">
        <v>509</v>
      </c>
    </row>
    <row r="25" ht="15">
      <c r="A25" s="493" t="s">
        <v>510</v>
      </c>
    </row>
    <row r="26" ht="15">
      <c r="A26" s="493" t="s">
        <v>511</v>
      </c>
    </row>
    <row r="28" ht="15">
      <c r="A28" s="492" t="s">
        <v>512</v>
      </c>
    </row>
    <row r="30" ht="15">
      <c r="A30" t="s">
        <v>513</v>
      </c>
    </row>
    <row r="31" ht="15">
      <c r="A31" t="s">
        <v>514</v>
      </c>
    </row>
    <row r="32" ht="15">
      <c r="A32" t="s">
        <v>515</v>
      </c>
    </row>
    <row r="33" ht="15">
      <c r="A33" s="493"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493" t="s">
        <v>529</v>
      </c>
    </row>
    <row r="50" ht="15">
      <c r="A50" s="493" t="s">
        <v>530</v>
      </c>
    </row>
    <row r="52" ht="15">
      <c r="A52" t="s">
        <v>379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dimension ref="A1:A109"/>
  <sheetViews>
    <sheetView zoomScalePageLayoutView="0" workbookViewId="0" topLeftCell="C1">
      <selection activeCell="A5" sqref="A5"/>
    </sheetView>
  </sheetViews>
  <sheetFormatPr defaultColWidth="8.8984375" defaultRowHeight="15"/>
  <cols>
    <col min="1" max="1" width="80.09765625" style="107" customWidth="1"/>
    <col min="2" max="16384" width="8.8984375" style="107" customWidth="1"/>
  </cols>
  <sheetData>
    <row r="1" ht="15.75">
      <c r="A1" s="507" t="s">
        <v>583</v>
      </c>
    </row>
    <row r="2" ht="15.75">
      <c r="A2" s="107" t="s">
        <v>584</v>
      </c>
    </row>
    <row r="3" ht="15.75">
      <c r="A3" s="107" t="s">
        <v>585</v>
      </c>
    </row>
    <row r="4" ht="15.75">
      <c r="A4" s="107" t="s">
        <v>586</v>
      </c>
    </row>
    <row r="6" ht="15.75">
      <c r="A6" s="507" t="s">
        <v>571</v>
      </c>
    </row>
    <row r="7" ht="15.75">
      <c r="A7" s="107" t="s">
        <v>572</v>
      </c>
    </row>
    <row r="8" ht="15.75">
      <c r="A8" s="107" t="s">
        <v>573</v>
      </c>
    </row>
    <row r="10" ht="15.75">
      <c r="A10" s="507" t="s">
        <v>564</v>
      </c>
    </row>
    <row r="11" ht="15.75">
      <c r="A11" s="506" t="s">
        <v>565</v>
      </c>
    </row>
    <row r="12" ht="15.75">
      <c r="A12" s="506" t="s">
        <v>566</v>
      </c>
    </row>
    <row r="13" ht="15.75">
      <c r="A13" s="506" t="s">
        <v>567</v>
      </c>
    </row>
    <row r="14" ht="15.75">
      <c r="A14" s="107" t="s">
        <v>569</v>
      </c>
    </row>
    <row r="16" ht="15.75">
      <c r="A16" s="422" t="s">
        <v>265</v>
      </c>
    </row>
    <row r="17" ht="15.75">
      <c r="A17" s="469" t="s">
        <v>290</v>
      </c>
    </row>
    <row r="18" ht="15.75">
      <c r="A18" s="107" t="s">
        <v>291</v>
      </c>
    </row>
    <row r="19" ht="15.75">
      <c r="A19" s="107" t="s">
        <v>292</v>
      </c>
    </row>
    <row r="20" ht="21.75" customHeight="1">
      <c r="A20" s="110" t="s">
        <v>293</v>
      </c>
    </row>
    <row r="21" ht="15.75">
      <c r="A21" s="107" t="s">
        <v>294</v>
      </c>
    </row>
    <row r="22" ht="15.75">
      <c r="A22" s="107" t="s">
        <v>295</v>
      </c>
    </row>
    <row r="23" ht="15.75">
      <c r="A23" s="107" t="s">
        <v>296</v>
      </c>
    </row>
    <row r="24" ht="15.75">
      <c r="A24" s="107" t="s">
        <v>297</v>
      </c>
    </row>
    <row r="25" ht="15.75">
      <c r="A25" s="107" t="s">
        <v>315</v>
      </c>
    </row>
    <row r="27" ht="15.75">
      <c r="A27" s="422" t="s">
        <v>253</v>
      </c>
    </row>
    <row r="28" ht="15.75">
      <c r="A28" s="107" t="s">
        <v>254</v>
      </c>
    </row>
    <row r="29" ht="15.75">
      <c r="A29" s="107" t="s">
        <v>255</v>
      </c>
    </row>
    <row r="30" ht="15.75">
      <c r="A30" s="107" t="s">
        <v>256</v>
      </c>
    </row>
    <row r="31" ht="15.75">
      <c r="A31" s="107" t="s">
        <v>257</v>
      </c>
    </row>
    <row r="33" ht="15.75">
      <c r="A33" s="422" t="s">
        <v>251</v>
      </c>
    </row>
    <row r="34" ht="15.75">
      <c r="A34" s="107" t="s">
        <v>252</v>
      </c>
    </row>
    <row r="36" ht="15.75">
      <c r="A36" s="422" t="s">
        <v>249</v>
      </c>
    </row>
    <row r="37" ht="15.75">
      <c r="A37" s="107" t="s">
        <v>250</v>
      </c>
    </row>
    <row r="39" ht="15.75">
      <c r="A39" s="422" t="s">
        <v>245</v>
      </c>
    </row>
    <row r="40" ht="15.75">
      <c r="A40" s="107" t="s">
        <v>246</v>
      </c>
    </row>
    <row r="41" ht="15.75">
      <c r="A41" s="107" t="s">
        <v>247</v>
      </c>
    </row>
    <row r="42" ht="15.75">
      <c r="A42" s="107" t="s">
        <v>248</v>
      </c>
    </row>
    <row r="44" ht="15.75">
      <c r="A44" s="422" t="s">
        <v>8</v>
      </c>
    </row>
    <row r="45" ht="15.75">
      <c r="A45" s="107" t="s">
        <v>13</v>
      </c>
    </row>
    <row r="46" ht="15.75">
      <c r="A46" s="107" t="s">
        <v>9</v>
      </c>
    </row>
    <row r="47" ht="15.75">
      <c r="A47" s="107" t="s">
        <v>14</v>
      </c>
    </row>
    <row r="48" ht="32.25" customHeight="1">
      <c r="A48" s="107" t="s">
        <v>10</v>
      </c>
    </row>
    <row r="49" ht="36" customHeight="1">
      <c r="A49" s="107" t="s">
        <v>19</v>
      </c>
    </row>
    <row r="50" ht="35.25" customHeight="1">
      <c r="A50" s="107" t="s">
        <v>20</v>
      </c>
    </row>
    <row r="51" ht="18" customHeight="1">
      <c r="A51" s="110" t="s">
        <v>15</v>
      </c>
    </row>
    <row r="52" ht="36" customHeight="1">
      <c r="A52" s="110" t="s">
        <v>16</v>
      </c>
    </row>
    <row r="53" ht="31.5">
      <c r="A53" s="110" t="s">
        <v>17</v>
      </c>
    </row>
    <row r="54" ht="33.75" customHeight="1">
      <c r="A54" s="110" t="s">
        <v>751</v>
      </c>
    </row>
    <row r="55" ht="18.75" customHeight="1">
      <c r="A55" s="110" t="s">
        <v>710</v>
      </c>
    </row>
    <row r="56" ht="17.25" customHeight="1">
      <c r="A56" s="107" t="s">
        <v>709</v>
      </c>
    </row>
    <row r="57" ht="17.25" customHeight="1">
      <c r="A57" s="110" t="s">
        <v>2</v>
      </c>
    </row>
    <row r="58" ht="15.75">
      <c r="A58" s="107" t="s">
        <v>708</v>
      </c>
    </row>
    <row r="59" ht="15.75">
      <c r="A59" s="107" t="s">
        <v>0</v>
      </c>
    </row>
    <row r="60" ht="15.75">
      <c r="A60" s="107" t="s">
        <v>750</v>
      </c>
    </row>
    <row r="61" ht="15.75">
      <c r="A61" s="107" t="s">
        <v>707</v>
      </c>
    </row>
    <row r="62" ht="31.5">
      <c r="A62" s="110" t="s">
        <v>705</v>
      </c>
    </row>
    <row r="63" ht="15.75">
      <c r="A63" s="107" t="s">
        <v>706</v>
      </c>
    </row>
    <row r="65" ht="15.75">
      <c r="A65" s="422" t="s">
        <v>745</v>
      </c>
    </row>
    <row r="66" ht="15.75">
      <c r="A66" s="107" t="s">
        <v>3</v>
      </c>
    </row>
    <row r="67" ht="15.75">
      <c r="A67" s="107" t="s">
        <v>746</v>
      </c>
    </row>
    <row r="68" ht="15.75">
      <c r="A68" s="107" t="s">
        <v>747</v>
      </c>
    </row>
    <row r="69" ht="15.75">
      <c r="A69" s="107" t="s">
        <v>748</v>
      </c>
    </row>
    <row r="70" ht="15.75">
      <c r="A70" s="422" t="s">
        <v>742</v>
      </c>
    </row>
    <row r="71" ht="31.5">
      <c r="A71" s="110" t="s">
        <v>743</v>
      </c>
    </row>
    <row r="72" ht="18" customHeight="1">
      <c r="A72" s="107" t="s">
        <v>744</v>
      </c>
    </row>
    <row r="73" ht="51" customHeight="1"/>
    <row r="75" ht="15.75">
      <c r="A75" s="422" t="s">
        <v>238</v>
      </c>
    </row>
    <row r="76" ht="47.25">
      <c r="A76" s="110" t="s">
        <v>682</v>
      </c>
    </row>
    <row r="77" ht="15.75">
      <c r="A77" s="107" t="s">
        <v>21</v>
      </c>
    </row>
    <row r="78" ht="15.75">
      <c r="A78" s="107" t="s">
        <v>241</v>
      </c>
    </row>
    <row r="79" ht="15.75">
      <c r="A79" s="107" t="s">
        <v>683</v>
      </c>
    </row>
    <row r="80" ht="15.75">
      <c r="A80" s="107" t="s">
        <v>242</v>
      </c>
    </row>
    <row r="81" ht="15.75">
      <c r="A81" s="107" t="s">
        <v>243</v>
      </c>
    </row>
    <row r="82" ht="15.75">
      <c r="A82" s="107" t="s">
        <v>639</v>
      </c>
    </row>
    <row r="83" ht="15.75">
      <c r="A83" s="107" t="s">
        <v>640</v>
      </c>
    </row>
    <row r="84" ht="15.75">
      <c r="A84" s="107" t="s">
        <v>641</v>
      </c>
    </row>
    <row r="85" ht="31.5">
      <c r="A85" s="110" t="s">
        <v>650</v>
      </c>
    </row>
    <row r="86" ht="31.5">
      <c r="A86" s="110" t="s">
        <v>30</v>
      </c>
    </row>
    <row r="87" ht="15.75">
      <c r="A87" s="107" t="s">
        <v>645</v>
      </c>
    </row>
    <row r="88" ht="15.75">
      <c r="A88" s="107" t="s">
        <v>651</v>
      </c>
    </row>
    <row r="89" ht="15.75">
      <c r="A89" s="107" t="s">
        <v>684</v>
      </c>
    </row>
    <row r="90" ht="15.75">
      <c r="A90" s="107" t="s">
        <v>647</v>
      </c>
    </row>
    <row r="91" ht="15.75">
      <c r="A91" s="107" t="s">
        <v>685</v>
      </c>
    </row>
    <row r="92" ht="31.5">
      <c r="A92" s="110" t="s">
        <v>686</v>
      </c>
    </row>
    <row r="93" ht="15.75">
      <c r="A93" s="107" t="s">
        <v>659</v>
      </c>
    </row>
    <row r="94" ht="15.75">
      <c r="A94" s="107" t="s">
        <v>660</v>
      </c>
    </row>
    <row r="95" ht="31.5">
      <c r="A95" s="110" t="s">
        <v>661</v>
      </c>
    </row>
    <row r="96" ht="15.75">
      <c r="A96" s="107" t="s">
        <v>728</v>
      </c>
    </row>
    <row r="97" ht="15.75">
      <c r="A97" s="107" t="s">
        <v>729</v>
      </c>
    </row>
    <row r="98" ht="15.75">
      <c r="A98" s="107" t="s">
        <v>730</v>
      </c>
    </row>
    <row r="99" ht="15.75">
      <c r="A99" s="107" t="s">
        <v>731</v>
      </c>
    </row>
    <row r="100" ht="15.75">
      <c r="A100" s="107" t="s">
        <v>732</v>
      </c>
    </row>
    <row r="101" ht="15.75">
      <c r="A101" s="107" t="s">
        <v>733</v>
      </c>
    </row>
    <row r="102" ht="15.75">
      <c r="A102" s="107" t="s">
        <v>734</v>
      </c>
    </row>
    <row r="103" ht="15.75">
      <c r="A103" s="107" t="s">
        <v>735</v>
      </c>
    </row>
    <row r="104" ht="15.75">
      <c r="A104" s="107" t="s">
        <v>736</v>
      </c>
    </row>
    <row r="105" ht="31.5">
      <c r="A105" s="110" t="s">
        <v>737</v>
      </c>
    </row>
    <row r="106" ht="15.75">
      <c r="A106" s="107" t="s">
        <v>738</v>
      </c>
    </row>
    <row r="107" ht="15.75">
      <c r="A107" s="107" t="s">
        <v>739</v>
      </c>
    </row>
    <row r="108" ht="15.75">
      <c r="A108" s="107" t="s">
        <v>740</v>
      </c>
    </row>
    <row r="109" ht="15.75">
      <c r="A109" s="107" t="s">
        <v>741</v>
      </c>
    </row>
  </sheetData>
  <sheetProtection sheet="1"/>
  <printOptions/>
  <pageMargins left="0.32" right="0.31"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B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541" t="s">
        <v>316</v>
      </c>
      <c r="B2" s="542"/>
      <c r="C2" s="542"/>
      <c r="D2" s="542"/>
      <c r="E2" s="542"/>
      <c r="F2" s="542"/>
    </row>
    <row r="4" spans="1:6" ht="15.75">
      <c r="A4" s="482"/>
      <c r="B4" s="482"/>
      <c r="C4" s="482"/>
      <c r="D4" s="484"/>
      <c r="E4" s="482"/>
      <c r="F4" s="482"/>
    </row>
    <row r="5" spans="1:6" ht="15.75">
      <c r="A5" s="483" t="s">
        <v>317</v>
      </c>
      <c r="B5" s="485" t="s">
        <v>629</v>
      </c>
      <c r="C5" s="486"/>
      <c r="D5" s="483" t="s">
        <v>318</v>
      </c>
      <c r="E5" s="482"/>
      <c r="F5" s="482"/>
    </row>
    <row r="6" spans="1:6" ht="15.75">
      <c r="A6" s="483"/>
      <c r="B6" s="487"/>
      <c r="C6" s="488"/>
      <c r="D6" s="483"/>
      <c r="E6" s="482"/>
      <c r="F6" s="482"/>
    </row>
    <row r="7" spans="1:6" ht="15.75">
      <c r="A7" s="483" t="s">
        <v>319</v>
      </c>
      <c r="B7" s="485" t="s">
        <v>590</v>
      </c>
      <c r="C7" s="489"/>
      <c r="D7" s="483"/>
      <c r="E7" s="482"/>
      <c r="F7" s="482"/>
    </row>
    <row r="8" spans="1:6" ht="15.75">
      <c r="A8" s="483"/>
      <c r="B8" s="483"/>
      <c r="C8" s="483"/>
      <c r="D8" s="483"/>
      <c r="E8" s="482"/>
      <c r="F8" s="482"/>
    </row>
    <row r="9" spans="1:6" ht="15.75">
      <c r="A9" s="483" t="s">
        <v>320</v>
      </c>
      <c r="B9" s="490" t="s">
        <v>618</v>
      </c>
      <c r="C9" s="490"/>
      <c r="D9" s="490"/>
      <c r="E9" s="491"/>
      <c r="F9" s="482"/>
    </row>
    <row r="10" spans="1:6" ht="15.75">
      <c r="A10" s="483"/>
      <c r="B10" s="483"/>
      <c r="C10" s="483"/>
      <c r="D10" s="483"/>
      <c r="E10" s="482"/>
      <c r="F10" s="482"/>
    </row>
    <row r="11" spans="1:6" ht="15.75">
      <c r="A11" s="483"/>
      <c r="B11" s="483"/>
      <c r="C11" s="483"/>
      <c r="D11" s="483"/>
      <c r="E11" s="482"/>
      <c r="F11" s="482"/>
    </row>
    <row r="12" spans="1:6" ht="15.75">
      <c r="A12" s="483" t="s">
        <v>321</v>
      </c>
      <c r="B12" s="490" t="s">
        <v>619</v>
      </c>
      <c r="C12" s="490"/>
      <c r="D12" s="490"/>
      <c r="E12" s="491"/>
      <c r="F12" s="482"/>
    </row>
    <row r="15" spans="1:6" ht="15.75">
      <c r="A15" s="543" t="s">
        <v>322</v>
      </c>
      <c r="B15" s="543"/>
      <c r="C15" s="483"/>
      <c r="D15" s="483"/>
      <c r="E15" s="483"/>
      <c r="F15" s="482"/>
    </row>
    <row r="16" spans="1:6" ht="15.75">
      <c r="A16" s="483"/>
      <c r="B16" s="483"/>
      <c r="C16" s="483"/>
      <c r="D16" s="483"/>
      <c r="E16" s="483"/>
      <c r="F16" s="482"/>
    </row>
    <row r="17" spans="1:5" ht="15.75">
      <c r="A17" s="483" t="s">
        <v>317</v>
      </c>
      <c r="B17" s="487" t="s">
        <v>629</v>
      </c>
      <c r="C17" s="483"/>
      <c r="D17" s="483"/>
      <c r="E17" s="483"/>
    </row>
    <row r="18" spans="1:5" ht="15.75">
      <c r="A18" s="483"/>
      <c r="B18" s="483"/>
      <c r="C18" s="483"/>
      <c r="D18" s="483"/>
      <c r="E18" s="483"/>
    </row>
    <row r="19" spans="1:5" ht="15.75">
      <c r="A19" s="483" t="s">
        <v>319</v>
      </c>
      <c r="B19" s="518">
        <v>0.7916666666666666</v>
      </c>
      <c r="C19" s="483"/>
      <c r="D19" s="483"/>
      <c r="E19" s="483"/>
    </row>
    <row r="20" spans="1:5" ht="15.75">
      <c r="A20" s="483"/>
      <c r="B20" s="483"/>
      <c r="C20" s="483"/>
      <c r="D20" s="483"/>
      <c r="E20" s="483"/>
    </row>
    <row r="21" spans="1:5" ht="15.75">
      <c r="A21" s="483" t="s">
        <v>320</v>
      </c>
      <c r="B21" s="483" t="s">
        <v>323</v>
      </c>
      <c r="C21" s="483"/>
      <c r="D21" s="483"/>
      <c r="E21" s="483"/>
    </row>
    <row r="22" spans="1:5" ht="15.75">
      <c r="A22" s="483"/>
      <c r="B22" s="483"/>
      <c r="C22" s="483"/>
      <c r="D22" s="483"/>
      <c r="E22" s="483"/>
    </row>
    <row r="23" spans="1:5" ht="15.75">
      <c r="A23" s="483" t="s">
        <v>321</v>
      </c>
      <c r="B23" s="483" t="s">
        <v>323</v>
      </c>
      <c r="C23" s="483"/>
      <c r="D23" s="483"/>
      <c r="E23" s="483"/>
    </row>
  </sheetData>
  <sheetProtection/>
  <mergeCells count="2">
    <mergeCell ref="A2:F2"/>
    <mergeCell ref="A15:B15"/>
  </mergeCells>
  <printOptions/>
  <pageMargins left="0.7" right="0.7" top="0.75" bottom="0.75" header="0.3" footer="0.3"/>
  <pageSetup horizontalDpi="600" verticalDpi="600" orientation="portrait" r:id="rId1"/>
  <headerFooter alignWithMargins="0">
    <oddFooter>&amp;Lrevised 12/08/09</oddFooter>
  </headerFooter>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60"/>
  <sheetViews>
    <sheetView tabSelected="1" zoomScalePageLayoutView="0" workbookViewId="0" topLeftCell="A19">
      <selection activeCell="F23" sqref="F23"/>
    </sheetView>
  </sheetViews>
  <sheetFormatPr defaultColWidth="8.8984375" defaultRowHeight="15" customHeight="1"/>
  <cols>
    <col min="1" max="1" width="24.3984375" style="226" customWidth="1"/>
    <col min="2" max="2" width="11.296875" style="226" customWidth="1"/>
    <col min="3" max="3" width="5.796875" style="226" customWidth="1"/>
    <col min="4" max="4" width="13.8984375" style="226" customWidth="1"/>
    <col min="5" max="5" width="14" style="226" customWidth="1"/>
    <col min="6" max="6" width="13" style="226" customWidth="1"/>
    <col min="7" max="16384" width="8.8984375" style="226" customWidth="1"/>
  </cols>
  <sheetData>
    <row r="1" spans="1:6" ht="15" customHeight="1">
      <c r="A1" s="224"/>
      <c r="B1" s="224"/>
      <c r="C1" s="224"/>
      <c r="D1" s="224"/>
      <c r="E1" s="224"/>
      <c r="F1" s="225">
        <f>inputPrYr!$C$5</f>
        <v>2014</v>
      </c>
    </row>
    <row r="2" spans="1:6" ht="15" customHeight="1">
      <c r="A2" s="121"/>
      <c r="B2" s="121"/>
      <c r="C2" s="123" t="s">
        <v>129</v>
      </c>
      <c r="D2" s="121"/>
      <c r="E2" s="121"/>
      <c r="F2" s="227"/>
    </row>
    <row r="3" spans="1:6" s="122" customFormat="1" ht="15" customHeight="1">
      <c r="A3" s="544" t="str">
        <f>CONCATENATE("To the Clerk of ",inputPrYr!D3,", State of Kansas")</f>
        <v>To the Clerk of GRAHAM, State of Kansas</v>
      </c>
      <c r="B3" s="536"/>
      <c r="C3" s="536"/>
      <c r="D3" s="536"/>
      <c r="E3" s="536"/>
      <c r="F3" s="536"/>
    </row>
    <row r="4" spans="1:6" s="122" customFormat="1" ht="15" customHeight="1">
      <c r="A4" s="133" t="s">
        <v>587</v>
      </c>
      <c r="B4" s="132"/>
      <c r="C4" s="132"/>
      <c r="D4" s="132"/>
      <c r="E4" s="132"/>
      <c r="F4" s="132"/>
    </row>
    <row r="5" spans="1:6" s="122" customFormat="1" ht="15" customHeight="1">
      <c r="A5" s="121"/>
      <c r="B5" s="121"/>
      <c r="C5" s="228" t="str">
        <f>(inputPrYr!D2)</f>
        <v>CITY OF BOGUE</v>
      </c>
      <c r="D5" s="121"/>
      <c r="E5" s="121"/>
      <c r="F5" s="121"/>
    </row>
    <row r="6" spans="1:7" s="122" customFormat="1" ht="15" customHeight="1">
      <c r="A6" s="121"/>
      <c r="B6" s="121"/>
      <c r="C6" s="121"/>
      <c r="D6" s="121"/>
      <c r="E6" s="121"/>
      <c r="F6" s="121"/>
      <c r="G6" s="229"/>
    </row>
    <row r="7" spans="1:6" s="122" customFormat="1" ht="15" customHeight="1">
      <c r="A7" s="133" t="s">
        <v>45</v>
      </c>
      <c r="B7" s="132"/>
      <c r="C7" s="132"/>
      <c r="D7" s="132"/>
      <c r="E7" s="132"/>
      <c r="F7" s="132"/>
    </row>
    <row r="8" spans="1:6" s="122" customFormat="1" ht="15" customHeight="1">
      <c r="A8" s="133" t="s">
        <v>46</v>
      </c>
      <c r="B8" s="132"/>
      <c r="C8" s="132"/>
      <c r="D8" s="132"/>
      <c r="E8" s="132"/>
      <c r="F8" s="132"/>
    </row>
    <row r="9" spans="1:6" s="122" customFormat="1" ht="15" customHeight="1">
      <c r="A9" s="133" t="str">
        <f>CONCATENATE("maximum expenditure for the various funds for the year ",D12,"; and")</f>
        <v>maximum expenditure for the various funds for the year 2014; and</v>
      </c>
      <c r="B9" s="132"/>
      <c r="C9" s="132"/>
      <c r="D9" s="132"/>
      <c r="E9" s="132"/>
      <c r="F9" s="132"/>
    </row>
    <row r="10" spans="1:6" s="122" customFormat="1" ht="15" customHeight="1">
      <c r="A10" s="133" t="str">
        <f>CONCATENATE("(3) the Amount(s) of ",E13," Ad Valorem Tax are within statutory limiations.")</f>
        <v>(3) the Amount(s) of Amount of 2013 Ad Valorem Tax Ad Valorem Tax are within statutory limiations.</v>
      </c>
      <c r="B10" s="132"/>
      <c r="C10" s="132"/>
      <c r="D10" s="132"/>
      <c r="E10" s="132"/>
      <c r="F10" s="132"/>
    </row>
    <row r="11" spans="1:6" ht="15" customHeight="1">
      <c r="A11" s="230"/>
      <c r="B11" s="231"/>
      <c r="C11" s="231"/>
      <c r="D11" s="232"/>
      <c r="E11" s="231"/>
      <c r="F11" s="231"/>
    </row>
    <row r="12" spans="1:6" ht="15" customHeight="1">
      <c r="A12" s="121"/>
      <c r="B12" s="121"/>
      <c r="C12" s="233"/>
      <c r="D12" s="234">
        <f>inputPrYr!$C$5</f>
        <v>2014</v>
      </c>
      <c r="E12" s="235" t="s">
        <v>71</v>
      </c>
      <c r="F12" s="236"/>
    </row>
    <row r="13" spans="1:6" ht="16.5" customHeight="1">
      <c r="A13" s="231"/>
      <c r="B13" s="121"/>
      <c r="C13" s="237"/>
      <c r="D13" s="238" t="s">
        <v>47</v>
      </c>
      <c r="E13" s="547" t="str">
        <f>CONCATENATE("Amount of ",$F$1-1," Ad Valorem Tax")</f>
        <v>Amount of 2013 Ad Valorem Tax</v>
      </c>
      <c r="F13" s="239" t="s">
        <v>48</v>
      </c>
    </row>
    <row r="14" spans="1:6" ht="14.25" customHeight="1">
      <c r="A14" s="121"/>
      <c r="B14" s="121"/>
      <c r="C14" s="239" t="s">
        <v>49</v>
      </c>
      <c r="D14" s="240"/>
      <c r="E14" s="548"/>
      <c r="F14" s="240" t="s">
        <v>50</v>
      </c>
    </row>
    <row r="15" spans="1:6" ht="14.25" customHeight="1">
      <c r="A15" s="241" t="s">
        <v>51</v>
      </c>
      <c r="B15" s="162"/>
      <c r="C15" s="242" t="s">
        <v>52</v>
      </c>
      <c r="D15" s="242" t="s">
        <v>53</v>
      </c>
      <c r="E15" s="549"/>
      <c r="F15" s="242" t="s">
        <v>54</v>
      </c>
    </row>
    <row r="16" spans="1:6" ht="15" customHeight="1">
      <c r="A16" s="243" t="s">
        <v>221</v>
      </c>
      <c r="B16" s="244">
        <f>inputPrYr!$C$5</f>
        <v>2014</v>
      </c>
      <c r="C16" s="245">
        <v>2</v>
      </c>
      <c r="D16" s="155"/>
      <c r="E16" s="155"/>
      <c r="F16" s="246"/>
    </row>
    <row r="17" spans="1:6" ht="15" customHeight="1">
      <c r="A17" s="238" t="s">
        <v>693</v>
      </c>
      <c r="B17" s="247"/>
      <c r="C17" s="245">
        <v>3</v>
      </c>
      <c r="D17" s="155"/>
      <c r="E17" s="155"/>
      <c r="F17" s="233"/>
    </row>
    <row r="18" spans="1:6" ht="15" customHeight="1">
      <c r="A18" s="243" t="s">
        <v>194</v>
      </c>
      <c r="B18" s="175"/>
      <c r="C18" s="248">
        <v>4</v>
      </c>
      <c r="D18" s="155"/>
      <c r="E18" s="155"/>
      <c r="F18" s="233"/>
    </row>
    <row r="19" spans="1:6" ht="15" customHeight="1">
      <c r="A19" s="243" t="s">
        <v>55</v>
      </c>
      <c r="B19" s="175"/>
      <c r="C19" s="248">
        <v>5</v>
      </c>
      <c r="D19" s="155"/>
      <c r="E19" s="155"/>
      <c r="F19" s="233"/>
    </row>
    <row r="20" spans="1:7" ht="15" customHeight="1">
      <c r="A20" s="243" t="s">
        <v>56</v>
      </c>
      <c r="B20" s="175"/>
      <c r="C20" s="248">
        <v>6</v>
      </c>
      <c r="D20" s="155"/>
      <c r="E20" s="155"/>
      <c r="F20" s="233"/>
      <c r="G20" s="249"/>
    </row>
    <row r="21" spans="1:6" ht="15" customHeight="1">
      <c r="A21" s="250" t="s">
        <v>57</v>
      </c>
      <c r="B21" s="251" t="s">
        <v>58</v>
      </c>
      <c r="C21" s="252"/>
      <c r="D21" s="155"/>
      <c r="E21" s="155"/>
      <c r="F21" s="233"/>
    </row>
    <row r="22" spans="1:6" ht="15" customHeight="1">
      <c r="A22" s="144" t="s">
        <v>37</v>
      </c>
      <c r="B22" s="253" t="str">
        <f>inputPrYr!C17</f>
        <v>12-101a</v>
      </c>
      <c r="C22" s="245">
        <v>7</v>
      </c>
      <c r="D22" s="254">
        <v>72720</v>
      </c>
      <c r="E22" s="254">
        <v>25316</v>
      </c>
      <c r="F22" s="255">
        <v>44.948</v>
      </c>
    </row>
    <row r="23" spans="1:6" ht="15" customHeight="1">
      <c r="A23" s="144" t="s">
        <v>47</v>
      </c>
      <c r="B23" s="253" t="s">
        <v>47</v>
      </c>
      <c r="C23" s="245" t="s">
        <v>47</v>
      </c>
      <c r="D23" s="254" t="str">
        <f>IF((DebtService!$G$54)&lt;&gt;0,DebtService!$G$54,"  ")</f>
        <v>  </v>
      </c>
      <c r="E23" s="254" t="str">
        <f>IF((DebtService!$G$60)&lt;&gt;0,(DebtService!$G$60),"  ")</f>
        <v>  </v>
      </c>
      <c r="F23" s="255" t="str">
        <f>IF(AND(DebtService!G60=0,$D$41&gt;=0)," ",IF(AND(E23&gt;0,$D$41=0)," ",IF(AND(E23&gt;0,$D$41&gt;0),ROUND(E23/$D$41*1000,3))))</f>
        <v> </v>
      </c>
    </row>
    <row r="24" spans="1:6" ht="15" customHeight="1">
      <c r="A24" s="167" t="s">
        <v>40</v>
      </c>
      <c r="B24" s="253" t="s">
        <v>609</v>
      </c>
      <c r="C24" s="245">
        <v>8</v>
      </c>
      <c r="D24" s="254">
        <v>4500</v>
      </c>
      <c r="E24" s="254" t="str">
        <f>IF(('levy page9'!$G$38)&lt;&gt;0,('levy page9'!$G$38),"  ")</f>
        <v>  </v>
      </c>
      <c r="F24" s="255" t="str">
        <f>IF(AND('levy page9'!$G$38=0,$D$41&gt;=0)," ",IF(AND(E24&gt;0,$D$41=0)," ",IF(AND(E24&gt;0,$D$41&gt;0),ROUND(E24/$D$41*1000,3))))</f>
        <v> </v>
      </c>
    </row>
    <row r="25" spans="1:6" ht="15" customHeight="1">
      <c r="A25" s="167" t="str">
        <f>IF((inputPrYr!$B21&gt;"  "),(inputPrYr!$B21),"  ")</f>
        <v>  </v>
      </c>
      <c r="B25" s="253" t="str">
        <f>IF((inputPrYr!$C21&gt;"  "),(inputPrYr!$C21),"  ")</f>
        <v>  </v>
      </c>
      <c r="C25" s="245" t="str">
        <f>IF('levy page9'!C74&gt;0,'levy page9'!C74," ")</f>
        <v> </v>
      </c>
      <c r="D25" s="254" t="str">
        <f>IF(('levy page9'!$G$67)&lt;&gt;0,('levy page9'!$G$67),"  ")</f>
        <v>  </v>
      </c>
      <c r="E25" s="254" t="str">
        <f>IF(('levy page9'!$G$73)&lt;&gt;0,('levy page9'!$G$73),"  ")</f>
        <v>  </v>
      </c>
      <c r="F25" s="255" t="str">
        <f>IF(AND('levy page9'!$G$73=0,$D$41&gt;=0)," ",IF(AND(E25&gt;0,$D$41=0)," ",IF(AND(E25&gt;0,$D$41&gt;0),ROUND(E25/$D$41*1000,3))))</f>
        <v> </v>
      </c>
    </row>
    <row r="26" spans="1:6" ht="15" customHeight="1">
      <c r="A26" s="167" t="s">
        <v>591</v>
      </c>
      <c r="B26" s="253" t="s">
        <v>610</v>
      </c>
      <c r="C26" s="245">
        <v>8</v>
      </c>
      <c r="D26" s="254">
        <v>116912</v>
      </c>
      <c r="E26" s="254" t="str">
        <f>IF(('levy page10'!$G$37)&lt;&gt;0,('levy page10'!$G$37),"  ")</f>
        <v>  </v>
      </c>
      <c r="F26" s="255" t="str">
        <f>IF(AND('levy page10'!$G$37=0,$D$41&gt;=0)," ",IF(AND(E26&gt;0,$D$41=0)," ",IF(AND(E26&gt;0,$D$41&gt;0),ROUND(E26/$D$41*1000,3))))</f>
        <v> </v>
      </c>
    </row>
    <row r="27" spans="1:6" ht="15" customHeight="1">
      <c r="A27" s="167" t="str">
        <f>IF((inputPrYr!$B23&gt;"  "),(inputPrYr!$B23),"  ")</f>
        <v>  </v>
      </c>
      <c r="B27" s="253" t="str">
        <f>IF((inputPrYr!$C23&gt;"  "),(inputPrYr!$C23),"  ")</f>
        <v>  </v>
      </c>
      <c r="C27" s="245" t="str">
        <f>IF('levy page10'!C74&gt;0,'levy page10'!C74," ")</f>
        <v> </v>
      </c>
      <c r="D27" s="254" t="str">
        <f>IF(('levy page10'!$G$66)&lt;&gt;0,('levy page10'!$G$66),"  ")</f>
        <v>  </v>
      </c>
      <c r="E27" s="254" t="str">
        <f>IF(('levy page10'!$G$72)&lt;&gt;0,('levy page10'!$G$72),"  ")</f>
        <v>  </v>
      </c>
      <c r="F27" s="255" t="str">
        <f>IF(AND('levy page10'!$G$72=0,$D$41&gt;=0)," ",IF(AND(E27&gt;0,$D$41=0)," ",IF(AND(E27&gt;0,$D$41&gt;0),ROUND(E27/$D$41*1000,3))))</f>
        <v> </v>
      </c>
    </row>
    <row r="28" spans="1:6" ht="15" customHeight="1">
      <c r="A28" s="256" t="s">
        <v>47</v>
      </c>
      <c r="B28" s="175" t="s">
        <v>47</v>
      </c>
      <c r="C28" s="248" t="s">
        <v>47</v>
      </c>
      <c r="D28" s="254" t="s">
        <v>47</v>
      </c>
      <c r="E28" s="145"/>
      <c r="F28" s="145"/>
    </row>
    <row r="29" spans="1:6" ht="15" customHeight="1">
      <c r="A29" s="256" t="s">
        <v>47</v>
      </c>
      <c r="B29" s="175"/>
      <c r="C29" s="248" t="s">
        <v>47</v>
      </c>
      <c r="D29" s="254" t="s">
        <v>47</v>
      </c>
      <c r="E29" s="145"/>
      <c r="F29" s="145"/>
    </row>
    <row r="30" spans="1:6" ht="15" customHeight="1">
      <c r="A30" s="257" t="str">
        <f>IF((inputPrYr!$B28&gt;"  "),(inputPrYr!$B28),"  ")</f>
        <v>  </v>
      </c>
      <c r="B30" s="175"/>
      <c r="C30" s="248" t="s">
        <v>47</v>
      </c>
      <c r="D30" s="254" t="str">
        <f>IF(('no levy page12'!$E$29)&lt;&gt;0,('no levy page12'!$E$29),"  ")</f>
        <v>  </v>
      </c>
      <c r="E30" s="145"/>
      <c r="F30" s="145"/>
    </row>
    <row r="31" spans="1:6" ht="15" customHeight="1">
      <c r="A31" s="257" t="str">
        <f>IF((inputPrYr!$B29&gt;"  "),(inputPrYr!$B29),"  ")</f>
        <v>  </v>
      </c>
      <c r="B31" s="175"/>
      <c r="C31" s="248" t="str">
        <f>IF('no levy page12'!C67&gt;0,'no levy page12'!C67," ")</f>
        <v> </v>
      </c>
      <c r="D31" s="254" t="str">
        <f>IF(('no levy page12'!$E$61)&lt;&gt;0,('no levy page12'!$E$61),"  ")</f>
        <v>  </v>
      </c>
      <c r="E31" s="145"/>
      <c r="F31" s="145"/>
    </row>
    <row r="32" spans="1:6" ht="15" customHeight="1">
      <c r="A32" s="257" t="str">
        <f>IF((inputPrYr!$B30&gt;"  "),(inputPrYr!$B30),"  ")</f>
        <v>  </v>
      </c>
      <c r="B32" s="175"/>
      <c r="C32" s="248" t="str">
        <f>IF('no levy page13'!C67&gt;0,'no levy page13'!C67," ")</f>
        <v> </v>
      </c>
      <c r="D32" s="254" t="str">
        <f>IF(('no levy page13'!$E$29)&lt;&gt;0,('no levy page13'!$E$29),"  ")</f>
        <v>  </v>
      </c>
      <c r="E32" s="145"/>
      <c r="F32" s="145"/>
    </row>
    <row r="33" spans="1:6" ht="15" customHeight="1">
      <c r="A33" s="258" t="str">
        <f>IF((inputPrYr!$B31&gt;"  "),(inputPrYr!$B31),"  ")</f>
        <v>  </v>
      </c>
      <c r="B33" s="175"/>
      <c r="C33" s="248" t="str">
        <f>IF('no levy page13'!C67&gt;0,'no levy page13'!C67," ")</f>
        <v> </v>
      </c>
      <c r="D33" s="254" t="str">
        <f>IF(('no levy page13'!$E$61)&lt;&gt;0,('no levy page13'!$E$61),"  ")</f>
        <v>  </v>
      </c>
      <c r="E33" s="145"/>
      <c r="F33" s="145"/>
    </row>
    <row r="34" spans="1:6" ht="15" customHeight="1">
      <c r="A34" s="257" t="str">
        <f>IF((inputPrYr!$B33&gt;"  "),(inputPrYr!$B33),"  ")</f>
        <v>  </v>
      </c>
      <c r="B34" s="175"/>
      <c r="C34" s="248" t="str">
        <f>IF(Sinnolevy14!C57&gt;0,Sinnolevy14!C57," ")</f>
        <v> </v>
      </c>
      <c r="D34" s="254" t="str">
        <f>IF((Sinnolevy14!$E$51)&lt;&gt;0,(Sinnolevy14!$E$51),"  ")</f>
        <v>  </v>
      </c>
      <c r="E34" s="145"/>
      <c r="F34" s="145"/>
    </row>
    <row r="35" spans="1:6" ht="15" customHeight="1">
      <c r="A35" s="256" t="str">
        <f>IF((inputPrYr!$B36&gt;"  "),(nonbud!$A3),"  ")</f>
        <v>Non-Budgeted Funds</v>
      </c>
      <c r="B35" s="175"/>
      <c r="C35" s="248">
        <v>9</v>
      </c>
      <c r="D35" s="259" t="s">
        <v>47</v>
      </c>
      <c r="E35" s="260"/>
      <c r="F35" s="260"/>
    </row>
    <row r="36" spans="1:6" ht="16.5" customHeight="1" thickBot="1">
      <c r="A36" s="261" t="s">
        <v>70</v>
      </c>
      <c r="B36" s="168"/>
      <c r="C36" s="262" t="s">
        <v>59</v>
      </c>
      <c r="D36" s="263">
        <v>194132</v>
      </c>
      <c r="E36" s="263">
        <f>SUM(E22:E34)</f>
        <v>25316</v>
      </c>
      <c r="F36" s="264">
        <f>IF(SUM(F22:F34)=0,"",SUM(F22:F34))</f>
        <v>44.948</v>
      </c>
    </row>
    <row r="37" spans="1:6" ht="15" customHeight="1" thickTop="1">
      <c r="A37" s="238" t="s">
        <v>665</v>
      </c>
      <c r="B37" s="260"/>
      <c r="C37" s="239">
        <v>10</v>
      </c>
      <c r="D37" s="265"/>
      <c r="E37" s="121"/>
      <c r="F37" s="121"/>
    </row>
    <row r="38" spans="1:6" ht="15" customHeight="1">
      <c r="A38" s="238" t="s">
        <v>28</v>
      </c>
      <c r="B38" s="260"/>
      <c r="C38" s="239">
        <f>IF(Nhood!C31&gt;0,Nhood!C31,"")</f>
      </c>
      <c r="D38" s="266"/>
      <c r="E38" s="121"/>
      <c r="F38" s="121"/>
    </row>
    <row r="39" spans="1:6" ht="15" customHeight="1">
      <c r="A39" s="267" t="s">
        <v>677</v>
      </c>
      <c r="B39" s="268"/>
      <c r="C39" s="269"/>
      <c r="D39" s="270"/>
      <c r="E39" s="271" t="str">
        <f>IF(E36&gt;computation!J40,"Yes","No")</f>
        <v>No</v>
      </c>
      <c r="F39" s="121"/>
    </row>
    <row r="40" spans="1:6" ht="15" customHeight="1">
      <c r="A40" s="158"/>
      <c r="B40" s="155"/>
      <c r="C40" s="272"/>
      <c r="D40" s="273" t="s">
        <v>199</v>
      </c>
      <c r="E40" s="121"/>
      <c r="F40" s="121"/>
    </row>
    <row r="41" spans="1:6" ht="15" customHeight="1">
      <c r="A41" s="128" t="s">
        <v>60</v>
      </c>
      <c r="B41" s="121"/>
      <c r="C41" s="121"/>
      <c r="D41" s="274"/>
      <c r="E41" s="121"/>
      <c r="F41" s="121"/>
    </row>
    <row r="42" spans="1:6" ht="15" customHeight="1">
      <c r="A42" s="276" t="s">
        <v>611</v>
      </c>
      <c r="B42" s="121"/>
      <c r="C42" s="231"/>
      <c r="D42" s="545" t="s">
        <v>676</v>
      </c>
      <c r="E42" s="275"/>
      <c r="F42" s="275"/>
    </row>
    <row r="43" spans="1:6" ht="15" customHeight="1">
      <c r="A43" s="480"/>
      <c r="B43" s="155"/>
      <c r="C43" s="155"/>
      <c r="D43" s="546"/>
      <c r="E43" s="155"/>
      <c r="F43" s="155"/>
    </row>
    <row r="44" spans="1:6" ht="15" customHeight="1">
      <c r="A44" s="121" t="s">
        <v>215</v>
      </c>
      <c r="B44" s="479"/>
      <c r="C44" s="121"/>
      <c r="D44" s="121"/>
      <c r="E44" s="155"/>
      <c r="F44" s="155"/>
    </row>
    <row r="45" spans="1:6" ht="15" customHeight="1">
      <c r="A45" s="276" t="s">
        <v>612</v>
      </c>
      <c r="B45" s="155"/>
      <c r="C45" s="128"/>
      <c r="D45" s="121"/>
      <c r="E45" s="121"/>
      <c r="F45" s="121"/>
    </row>
    <row r="46" spans="1:6" ht="15" customHeight="1">
      <c r="A46" s="480" t="s">
        <v>613</v>
      </c>
      <c r="B46" s="121"/>
      <c r="C46" s="151"/>
      <c r="D46" s="151"/>
      <c r="E46" s="161"/>
      <c r="F46" s="161"/>
    </row>
    <row r="47" spans="1:6" ht="15" customHeight="1">
      <c r="A47" s="480"/>
      <c r="B47" s="128"/>
      <c r="C47" s="121"/>
      <c r="D47" s="121"/>
      <c r="E47" s="177"/>
      <c r="F47" s="177"/>
    </row>
    <row r="48" spans="1:6" ht="15" customHeight="1">
      <c r="A48" s="479"/>
      <c r="B48" s="121"/>
      <c r="C48" s="151"/>
      <c r="D48" s="151"/>
      <c r="E48" s="161"/>
      <c r="F48" s="161"/>
    </row>
    <row r="49" spans="1:6" ht="15" customHeight="1">
      <c r="A49" s="121"/>
      <c r="B49" s="121"/>
      <c r="C49" s="121"/>
      <c r="D49" s="121"/>
      <c r="E49" s="177"/>
      <c r="F49" s="177"/>
    </row>
    <row r="50" spans="1:6" ht="15" customHeight="1">
      <c r="A50" s="128" t="s">
        <v>664</v>
      </c>
      <c r="B50" s="277">
        <f>inputPrYr!$C$5-1</f>
        <v>2013</v>
      </c>
      <c r="C50" s="151"/>
      <c r="D50" s="151"/>
      <c r="E50" s="161"/>
      <c r="F50" s="161"/>
    </row>
    <row r="51" spans="1:6" ht="15" customHeight="1">
      <c r="A51" s="121"/>
      <c r="B51" s="121"/>
      <c r="C51" s="177"/>
      <c r="D51" s="177"/>
      <c r="E51" s="278"/>
      <c r="F51" s="279"/>
    </row>
    <row r="52" spans="1:6" ht="15" customHeight="1">
      <c r="A52" s="237"/>
      <c r="B52" s="121"/>
      <c r="C52" s="151"/>
      <c r="D52" s="151"/>
      <c r="E52" s="161"/>
      <c r="F52" s="161"/>
    </row>
    <row r="53" spans="1:6" ht="15" customHeight="1">
      <c r="A53" s="142" t="s">
        <v>62</v>
      </c>
      <c r="B53" s="121"/>
      <c r="C53" s="550" t="s">
        <v>61</v>
      </c>
      <c r="D53" s="551"/>
      <c r="E53" s="551"/>
      <c r="F53" s="551"/>
    </row>
    <row r="54" spans="1:2" ht="15" customHeight="1">
      <c r="A54" s="107"/>
      <c r="B54" s="281"/>
    </row>
    <row r="56" ht="15" customHeight="1">
      <c r="D56" s="282"/>
    </row>
    <row r="57" spans="1:6" ht="15" customHeight="1">
      <c r="A57" s="107"/>
      <c r="B57" s="107"/>
      <c r="C57" s="107"/>
      <c r="D57" s="107"/>
      <c r="E57" s="107"/>
      <c r="F57" s="107"/>
    </row>
    <row r="58" spans="1:6" ht="15" customHeight="1">
      <c r="A58" s="107"/>
      <c r="B58" s="107"/>
      <c r="C58" s="107"/>
      <c r="D58" s="107"/>
      <c r="E58" s="107"/>
      <c r="F58" s="107"/>
    </row>
    <row r="59" ht="15" customHeight="1">
      <c r="A59" s="107"/>
    </row>
    <row r="60" ht="15" customHeight="1">
      <c r="A60" s="107"/>
    </row>
  </sheetData>
  <sheetProtection/>
  <mergeCells count="4">
    <mergeCell ref="A3:F3"/>
    <mergeCell ref="D42:D43"/>
    <mergeCell ref="E13:E15"/>
    <mergeCell ref="C53:F53"/>
  </mergeCells>
  <printOptions/>
  <pageMargins left="0.5" right="0.5" top="1" bottom="0.5" header="0.5" footer="0.5"/>
  <pageSetup blackAndWhite="1" fitToHeight="1" fitToWidth="1" horizontalDpi="120" verticalDpi="120" orientation="portrait" scale="85" r:id="rId1"/>
  <headerFooter alignWithMargins="0">
    <oddHeader>&amp;RState of Kansas
City
</oddHeader>
    <oddFooter>&amp;Lrevised 10/2/09&amp;CPage No. 1</oddFooter>
  </headerFooter>
</worksheet>
</file>

<file path=xl/worksheets/sheet5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30">
      <selection activeCell="J48" sqref="J48"/>
    </sheetView>
  </sheetViews>
  <sheetFormatPr defaultColWidth="8.8984375" defaultRowHeight="15.75" customHeight="1"/>
  <cols>
    <col min="1" max="2" width="3.296875" style="107" customWidth="1"/>
    <col min="3" max="3" width="31.296875" style="107" customWidth="1"/>
    <col min="4" max="4" width="2.296875" style="107" customWidth="1"/>
    <col min="5" max="5" width="15.796875" style="107" customWidth="1"/>
    <col min="6" max="6" width="2" style="107" customWidth="1"/>
    <col min="7" max="7" width="15.796875" style="107" customWidth="1"/>
    <col min="8" max="8" width="1.8984375" style="107" customWidth="1"/>
    <col min="9" max="9" width="1.796875" style="107" customWidth="1"/>
    <col min="10" max="10" width="15.796875" style="107" customWidth="1"/>
    <col min="11" max="16384" width="8.8984375" style="107" customWidth="1"/>
  </cols>
  <sheetData>
    <row r="1" spans="1:10" ht="15.75" customHeight="1">
      <c r="A1" s="121"/>
      <c r="B1" s="121"/>
      <c r="C1" s="283" t="str">
        <f>inputPrYr!D2</f>
        <v>CITY OF BOGUE</v>
      </c>
      <c r="D1" s="121"/>
      <c r="E1" s="121"/>
      <c r="F1" s="121"/>
      <c r="G1" s="121"/>
      <c r="H1" s="121"/>
      <c r="I1" s="121"/>
      <c r="J1" s="225">
        <f>inputPrYr!$C$5</f>
        <v>2014</v>
      </c>
    </row>
    <row r="2" spans="1:10" ht="15.75" customHeight="1">
      <c r="A2" s="121"/>
      <c r="B2" s="121"/>
      <c r="C2" s="121"/>
      <c r="D2" s="121"/>
      <c r="E2" s="121"/>
      <c r="F2" s="121"/>
      <c r="G2" s="121"/>
      <c r="H2" s="121"/>
      <c r="I2" s="121"/>
      <c r="J2" s="121"/>
    </row>
    <row r="3" spans="1:10" ht="15.75">
      <c r="A3" s="554" t="str">
        <f>CONCATENATE("Computation to Determine Limit for ",J1)</f>
        <v>Computation to Determine Limit for 2014</v>
      </c>
      <c r="B3" s="555"/>
      <c r="C3" s="555"/>
      <c r="D3" s="555"/>
      <c r="E3" s="555"/>
      <c r="F3" s="555"/>
      <c r="G3" s="555"/>
      <c r="H3" s="555"/>
      <c r="I3" s="555"/>
      <c r="J3" s="555"/>
    </row>
    <row r="4" spans="1:10" ht="15.75">
      <c r="A4" s="121"/>
      <c r="B4" s="121"/>
      <c r="C4" s="121"/>
      <c r="D4" s="121"/>
      <c r="E4" s="555"/>
      <c r="F4" s="555"/>
      <c r="G4" s="555"/>
      <c r="H4" s="284"/>
      <c r="I4" s="121"/>
      <c r="J4" s="285" t="s">
        <v>142</v>
      </c>
    </row>
    <row r="5" spans="1:10" ht="15.75">
      <c r="A5" s="286" t="s">
        <v>143</v>
      </c>
      <c r="B5" s="121" t="str">
        <f>CONCATENATE("Total Tax Levy Amount in ",J1-1," Budget")</f>
        <v>Total Tax Levy Amount in 2013 Budget</v>
      </c>
      <c r="C5" s="121"/>
      <c r="D5" s="121"/>
      <c r="E5" s="147"/>
      <c r="F5" s="147"/>
      <c r="G5" s="147"/>
      <c r="H5" s="287" t="s">
        <v>144</v>
      </c>
      <c r="I5" s="147" t="s">
        <v>145</v>
      </c>
      <c r="J5" s="288">
        <f>inputPrYr!E24</f>
        <v>34421</v>
      </c>
    </row>
    <row r="6" spans="1:10" ht="15.75">
      <c r="A6" s="286" t="s">
        <v>146</v>
      </c>
      <c r="B6" s="121" t="str">
        <f>CONCATENATE("Debt Service Levy in ",J1-1," Budget")</f>
        <v>Debt Service Levy in 2013 Budget</v>
      </c>
      <c r="C6" s="121"/>
      <c r="D6" s="121"/>
      <c r="E6" s="147"/>
      <c r="F6" s="147"/>
      <c r="G6" s="147"/>
      <c r="H6" s="287" t="s">
        <v>147</v>
      </c>
      <c r="I6" s="147" t="s">
        <v>145</v>
      </c>
      <c r="J6" s="289">
        <f>inputPrYr!$E$18</f>
        <v>0</v>
      </c>
    </row>
    <row r="7" spans="1:10" ht="15.75">
      <c r="A7" s="286" t="s">
        <v>168</v>
      </c>
      <c r="B7" s="140" t="s">
        <v>171</v>
      </c>
      <c r="C7" s="121"/>
      <c r="D7" s="121"/>
      <c r="E7" s="147"/>
      <c r="F7" s="147"/>
      <c r="G7" s="147"/>
      <c r="H7" s="147"/>
      <c r="I7" s="147" t="s">
        <v>145</v>
      </c>
      <c r="J7" s="152">
        <f>J5-J6</f>
        <v>34421</v>
      </c>
    </row>
    <row r="8" spans="1:10" ht="15.75">
      <c r="A8" s="121"/>
      <c r="B8" s="121"/>
      <c r="C8" s="121"/>
      <c r="D8" s="121"/>
      <c r="E8" s="147"/>
      <c r="F8" s="147"/>
      <c r="G8" s="147"/>
      <c r="H8" s="147"/>
      <c r="I8" s="147"/>
      <c r="J8" s="147"/>
    </row>
    <row r="9" spans="1:10" ht="15.75">
      <c r="A9" s="121"/>
      <c r="B9" s="140" t="str">
        <f>CONCATENATE(J1-1," Valuation Information for Valuation Adjustments:")</f>
        <v>2013 Valuation Information for Valuation Adjustments:</v>
      </c>
      <c r="C9" s="121"/>
      <c r="D9" s="121"/>
      <c r="E9" s="147"/>
      <c r="F9" s="147"/>
      <c r="G9" s="147"/>
      <c r="H9" s="147"/>
      <c r="I9" s="147"/>
      <c r="J9" s="147"/>
    </row>
    <row r="10" spans="1:10" ht="15.75">
      <c r="A10" s="121"/>
      <c r="B10" s="121"/>
      <c r="C10" s="140"/>
      <c r="D10" s="121"/>
      <c r="E10" s="147"/>
      <c r="F10" s="147"/>
      <c r="G10" s="147"/>
      <c r="H10" s="147"/>
      <c r="I10" s="147"/>
      <c r="J10" s="147"/>
    </row>
    <row r="11" spans="1:10" ht="15.75">
      <c r="A11" s="286" t="s">
        <v>148</v>
      </c>
      <c r="B11" s="140" t="str">
        <f>CONCATENATE("New Improvements for ",J1-1," :")</f>
        <v>New Improvements for 2013 :</v>
      </c>
      <c r="C11" s="121"/>
      <c r="D11" s="121"/>
      <c r="E11" s="287"/>
      <c r="F11" s="287" t="s">
        <v>144</v>
      </c>
      <c r="G11" s="288">
        <v>0</v>
      </c>
      <c r="H11" s="290"/>
      <c r="I11" s="147"/>
      <c r="J11" s="147"/>
    </row>
    <row r="12" spans="1:10" ht="15.75">
      <c r="A12" s="286"/>
      <c r="B12" s="291"/>
      <c r="C12" s="121"/>
      <c r="D12" s="121"/>
      <c r="E12" s="287"/>
      <c r="F12" s="287"/>
      <c r="G12" s="290"/>
      <c r="H12" s="290"/>
      <c r="I12" s="147"/>
      <c r="J12" s="147"/>
    </row>
    <row r="13" spans="1:10" ht="15.75">
      <c r="A13" s="286" t="s">
        <v>149</v>
      </c>
      <c r="B13" s="140" t="str">
        <f>CONCATENATE("Increase in Personal Property for ",J1-1," :")</f>
        <v>Increase in Personal Property for 2013 :</v>
      </c>
      <c r="C13" s="121"/>
      <c r="D13" s="121"/>
      <c r="E13" s="287"/>
      <c r="F13" s="287"/>
      <c r="G13" s="290"/>
      <c r="H13" s="290"/>
      <c r="I13" s="147"/>
      <c r="J13" s="147"/>
    </row>
    <row r="14" spans="1:10" ht="15.75">
      <c r="A14" s="292"/>
      <c r="B14" s="121" t="s">
        <v>150</v>
      </c>
      <c r="C14" s="121" t="str">
        <f>CONCATENATE("Personal Property ",J1-1)</f>
        <v>Personal Property 2013</v>
      </c>
      <c r="D14" s="291" t="s">
        <v>144</v>
      </c>
      <c r="E14" s="288">
        <v>41035</v>
      </c>
      <c r="F14" s="287"/>
      <c r="G14" s="147"/>
      <c r="H14" s="147"/>
      <c r="I14" s="290"/>
      <c r="J14" s="147"/>
    </row>
    <row r="15" spans="1:10" ht="15.75">
      <c r="A15" s="291"/>
      <c r="B15" s="121" t="s">
        <v>151</v>
      </c>
      <c r="C15" s="121" t="str">
        <f>CONCATENATE("Personal Property ",J1-2)</f>
        <v>Personal Property 2012</v>
      </c>
      <c r="D15" s="291" t="s">
        <v>147</v>
      </c>
      <c r="E15" s="152">
        <v>42044</v>
      </c>
      <c r="F15" s="287"/>
      <c r="G15" s="290"/>
      <c r="H15" s="290"/>
      <c r="I15" s="147"/>
      <c r="J15" s="147"/>
    </row>
    <row r="16" spans="1:10" ht="15.75">
      <c r="A16" s="291"/>
      <c r="B16" s="121" t="s">
        <v>152</v>
      </c>
      <c r="C16" s="121" t="s">
        <v>172</v>
      </c>
      <c r="D16" s="121"/>
      <c r="E16" s="147"/>
      <c r="F16" s="147" t="s">
        <v>144</v>
      </c>
      <c r="G16" s="288">
        <f>IF(E14&gt;E15,E14-E15,0)</f>
        <v>0</v>
      </c>
      <c r="H16" s="290"/>
      <c r="I16" s="147"/>
      <c r="J16" s="147"/>
    </row>
    <row r="17" spans="1:10" ht="15.75">
      <c r="A17" s="291"/>
      <c r="B17" s="291"/>
      <c r="C17" s="121"/>
      <c r="D17" s="121"/>
      <c r="E17" s="147"/>
      <c r="F17" s="147"/>
      <c r="G17" s="290" t="s">
        <v>165</v>
      </c>
      <c r="H17" s="290"/>
      <c r="I17" s="147"/>
      <c r="J17" s="147"/>
    </row>
    <row r="18" spans="1:10" ht="15.75">
      <c r="A18" s="291" t="s">
        <v>153</v>
      </c>
      <c r="B18" s="140" t="str">
        <f>CONCATENATE("Valuation of annexed territory for ",J1-1," :")</f>
        <v>Valuation of annexed territory for 2013 :</v>
      </c>
      <c r="C18" s="121"/>
      <c r="D18" s="121"/>
      <c r="E18" s="290"/>
      <c r="F18" s="147"/>
      <c r="G18" s="147"/>
      <c r="H18" s="147"/>
      <c r="I18" s="147"/>
      <c r="J18" s="147"/>
    </row>
    <row r="19" spans="1:10" ht="15.75">
      <c r="A19" s="291"/>
      <c r="B19" s="121" t="s">
        <v>154</v>
      </c>
      <c r="C19" s="121" t="s">
        <v>173</v>
      </c>
      <c r="D19" s="291" t="s">
        <v>144</v>
      </c>
      <c r="E19" s="288">
        <f>inputOth!E10</f>
        <v>0</v>
      </c>
      <c r="F19" s="147"/>
      <c r="G19" s="147"/>
      <c r="H19" s="147"/>
      <c r="I19" s="147"/>
      <c r="J19" s="147"/>
    </row>
    <row r="20" spans="1:10" ht="15.75">
      <c r="A20" s="291"/>
      <c r="B20" s="121" t="s">
        <v>155</v>
      </c>
      <c r="C20" s="121" t="s">
        <v>174</v>
      </c>
      <c r="D20" s="291" t="s">
        <v>144</v>
      </c>
      <c r="E20" s="152">
        <f>inputOth!E11</f>
        <v>0</v>
      </c>
      <c r="F20" s="147"/>
      <c r="G20" s="290"/>
      <c r="H20" s="290"/>
      <c r="I20" s="147"/>
      <c r="J20" s="147"/>
    </row>
    <row r="21" spans="1:10" ht="15.75">
      <c r="A21" s="291"/>
      <c r="B21" s="121" t="s">
        <v>156</v>
      </c>
      <c r="C21" s="121" t="s">
        <v>175</v>
      </c>
      <c r="D21" s="291" t="s">
        <v>147</v>
      </c>
      <c r="E21" s="152">
        <f>inputOth!E12</f>
        <v>0</v>
      </c>
      <c r="F21" s="147"/>
      <c r="G21" s="290"/>
      <c r="H21" s="290"/>
      <c r="I21" s="147"/>
      <c r="J21" s="147"/>
    </row>
    <row r="22" spans="1:10" ht="15.75">
      <c r="A22" s="291"/>
      <c r="B22" s="121" t="s">
        <v>157</v>
      </c>
      <c r="C22" s="121" t="s">
        <v>176</v>
      </c>
      <c r="D22" s="291"/>
      <c r="E22" s="290"/>
      <c r="F22" s="147" t="s">
        <v>144</v>
      </c>
      <c r="G22" s="288">
        <f>E19+E20-E21</f>
        <v>0</v>
      </c>
      <c r="H22" s="290"/>
      <c r="I22" s="147"/>
      <c r="J22" s="147"/>
    </row>
    <row r="23" spans="1:10" ht="15.75">
      <c r="A23" s="291"/>
      <c r="B23" s="291"/>
      <c r="C23" s="121"/>
      <c r="D23" s="291"/>
      <c r="E23" s="290"/>
      <c r="F23" s="147"/>
      <c r="G23" s="290"/>
      <c r="H23" s="290"/>
      <c r="I23" s="147"/>
      <c r="J23" s="147"/>
    </row>
    <row r="24" spans="1:10" ht="15.75">
      <c r="A24" s="291" t="s">
        <v>158</v>
      </c>
      <c r="B24" s="140" t="str">
        <f>CONCATENATE("Valuation of Property that has Changed in Use during ",J1-1," :")</f>
        <v>Valuation of Property that has Changed in Use during 2013 :</v>
      </c>
      <c r="C24" s="121"/>
      <c r="D24" s="121"/>
      <c r="E24" s="147"/>
      <c r="F24" s="287" t="s">
        <v>144</v>
      </c>
      <c r="G24" s="288">
        <v>0</v>
      </c>
      <c r="H24" s="147"/>
      <c r="I24" s="147"/>
      <c r="J24" s="147"/>
    </row>
    <row r="25" spans="1:10" ht="15.75">
      <c r="A25" s="121" t="s">
        <v>47</v>
      </c>
      <c r="B25" s="121"/>
      <c r="C25" s="121"/>
      <c r="D25" s="291"/>
      <c r="E25" s="290"/>
      <c r="F25" s="147"/>
      <c r="G25" s="147"/>
      <c r="H25" s="147"/>
      <c r="I25" s="147"/>
      <c r="J25" s="147"/>
    </row>
    <row r="26" spans="1:10" ht="15.75">
      <c r="A26" s="291" t="s">
        <v>159</v>
      </c>
      <c r="B26" s="140" t="s">
        <v>177</v>
      </c>
      <c r="C26" s="121"/>
      <c r="D26" s="121"/>
      <c r="E26" s="147"/>
      <c r="F26" s="147"/>
      <c r="G26" s="288">
        <f>G11+G16+G22+G24</f>
        <v>0</v>
      </c>
      <c r="H26" s="290"/>
      <c r="I26" s="147"/>
      <c r="J26" s="147"/>
    </row>
    <row r="27" spans="1:10" ht="15.75">
      <c r="A27" s="291"/>
      <c r="B27" s="291"/>
      <c r="C27" s="140"/>
      <c r="D27" s="121"/>
      <c r="E27" s="147"/>
      <c r="F27" s="147"/>
      <c r="G27" s="290"/>
      <c r="H27" s="290"/>
      <c r="I27" s="147"/>
      <c r="J27" s="147"/>
    </row>
    <row r="28" spans="1:10" ht="15.75">
      <c r="A28" s="291" t="s">
        <v>160</v>
      </c>
      <c r="B28" s="121" t="str">
        <f>CONCATENATE("Total Estimated Valuation July 1, ",J1-1)</f>
        <v>Total Estimated Valuation July 1, 2013</v>
      </c>
      <c r="C28" s="121"/>
      <c r="D28" s="121"/>
      <c r="E28" s="288">
        <v>535713</v>
      </c>
      <c r="F28" s="147"/>
      <c r="G28" s="147"/>
      <c r="H28" s="147"/>
      <c r="I28" s="287"/>
      <c r="J28" s="147"/>
    </row>
    <row r="29" spans="1:10" ht="15.75">
      <c r="A29" s="291"/>
      <c r="B29" s="291"/>
      <c r="C29" s="121"/>
      <c r="D29" s="121"/>
      <c r="E29" s="290"/>
      <c r="F29" s="147"/>
      <c r="G29" s="147"/>
      <c r="H29" s="147"/>
      <c r="I29" s="287"/>
      <c r="J29" s="147"/>
    </row>
    <row r="30" spans="1:10" ht="15.75">
      <c r="A30" s="291" t="s">
        <v>161</v>
      </c>
      <c r="B30" s="140" t="s">
        <v>178</v>
      </c>
      <c r="C30" s="121"/>
      <c r="D30" s="121"/>
      <c r="E30" s="147"/>
      <c r="F30" s="147"/>
      <c r="G30" s="288">
        <f>E28-G26</f>
        <v>535713</v>
      </c>
      <c r="H30" s="290"/>
      <c r="I30" s="287"/>
      <c r="J30" s="147"/>
    </row>
    <row r="31" spans="1:10" ht="15.75">
      <c r="A31" s="291"/>
      <c r="B31" s="291"/>
      <c r="C31" s="140"/>
      <c r="D31" s="121"/>
      <c r="E31" s="147"/>
      <c r="F31" s="147"/>
      <c r="G31" s="293"/>
      <c r="H31" s="290"/>
      <c r="I31" s="287"/>
      <c r="J31" s="147"/>
    </row>
    <row r="32" spans="1:10" ht="15.75">
      <c r="A32" s="291" t="s">
        <v>162</v>
      </c>
      <c r="B32" s="121" t="s">
        <v>179</v>
      </c>
      <c r="C32" s="121"/>
      <c r="D32" s="121"/>
      <c r="E32" s="121"/>
      <c r="F32" s="121"/>
      <c r="G32" s="294">
        <f>IF(G26&gt;0,G26/G30,0)</f>
        <v>0</v>
      </c>
      <c r="H32" s="155"/>
      <c r="I32" s="121"/>
      <c r="J32" s="121"/>
    </row>
    <row r="33" spans="1:10" ht="15.75">
      <c r="A33" s="291"/>
      <c r="B33" s="291"/>
      <c r="C33" s="121"/>
      <c r="D33" s="121"/>
      <c r="E33" s="121"/>
      <c r="F33" s="121"/>
      <c r="G33" s="155"/>
      <c r="H33" s="155"/>
      <c r="I33" s="121"/>
      <c r="J33" s="121"/>
    </row>
    <row r="34" spans="1:10" ht="15.75">
      <c r="A34" s="291" t="s">
        <v>163</v>
      </c>
      <c r="B34" s="121" t="s">
        <v>180</v>
      </c>
      <c r="C34" s="121"/>
      <c r="D34" s="121"/>
      <c r="E34" s="121"/>
      <c r="F34" s="121"/>
      <c r="G34" s="155"/>
      <c r="H34" s="295" t="s">
        <v>144</v>
      </c>
      <c r="I34" s="121" t="s">
        <v>145</v>
      </c>
      <c r="J34" s="288">
        <f>ROUND(G32*J7,0)</f>
        <v>0</v>
      </c>
    </row>
    <row r="35" spans="1:10" ht="15.75">
      <c r="A35" s="291"/>
      <c r="B35" s="291"/>
      <c r="C35" s="121"/>
      <c r="D35" s="121"/>
      <c r="E35" s="121"/>
      <c r="F35" s="121"/>
      <c r="G35" s="155"/>
      <c r="H35" s="295"/>
      <c r="I35" s="121"/>
      <c r="J35" s="290"/>
    </row>
    <row r="36" spans="1:10" ht="16.5" thickBot="1">
      <c r="A36" s="291" t="s">
        <v>164</v>
      </c>
      <c r="B36" s="140" t="s">
        <v>186</v>
      </c>
      <c r="C36" s="121"/>
      <c r="D36" s="121"/>
      <c r="E36" s="121"/>
      <c r="F36" s="121"/>
      <c r="G36" s="121"/>
      <c r="H36" s="121"/>
      <c r="I36" s="121" t="s">
        <v>145</v>
      </c>
      <c r="J36" s="296">
        <f>J7+J34</f>
        <v>34421</v>
      </c>
    </row>
    <row r="37" spans="1:10" ht="16.5" thickTop="1">
      <c r="A37" s="121"/>
      <c r="B37" s="121"/>
      <c r="C37" s="121"/>
      <c r="D37" s="121"/>
      <c r="E37" s="121"/>
      <c r="F37" s="121"/>
      <c r="G37" s="121"/>
      <c r="H37" s="121"/>
      <c r="I37" s="121"/>
      <c r="J37" s="290"/>
    </row>
    <row r="38" spans="1:10" ht="15.75">
      <c r="A38" s="291" t="s">
        <v>184</v>
      </c>
      <c r="B38" s="140" t="str">
        <f>CONCATENATE("Debt Service Levy in this ",J1," Budget")</f>
        <v>Debt Service Levy in this 2014 Budget</v>
      </c>
      <c r="C38" s="121"/>
      <c r="D38" s="121"/>
      <c r="E38" s="121"/>
      <c r="F38" s="121"/>
      <c r="G38" s="121"/>
      <c r="H38" s="121"/>
      <c r="I38" s="121"/>
      <c r="J38" s="297">
        <f>DebtService!$G$60</f>
        <v>0</v>
      </c>
    </row>
    <row r="39" spans="1:10" ht="15.75">
      <c r="A39" s="291"/>
      <c r="B39" s="140"/>
      <c r="C39" s="121"/>
      <c r="D39" s="121"/>
      <c r="E39" s="121"/>
      <c r="F39" s="121"/>
      <c r="G39" s="121"/>
      <c r="H39" s="121"/>
      <c r="I39" s="121"/>
      <c r="J39" s="290"/>
    </row>
    <row r="40" spans="1:10" ht="16.5" thickBot="1">
      <c r="A40" s="291" t="s">
        <v>185</v>
      </c>
      <c r="B40" s="140" t="s">
        <v>187</v>
      </c>
      <c r="C40" s="121"/>
      <c r="D40" s="121"/>
      <c r="E40" s="121"/>
      <c r="F40" s="121"/>
      <c r="G40" s="121"/>
      <c r="H40" s="121"/>
      <c r="I40" s="121"/>
      <c r="J40" s="296">
        <f>J36+J38</f>
        <v>34421</v>
      </c>
    </row>
    <row r="41" spans="1:10" ht="19.5" thickTop="1">
      <c r="A41" s="553"/>
      <c r="B41" s="553"/>
      <c r="C41" s="553"/>
      <c r="D41" s="553"/>
      <c r="E41" s="553"/>
      <c r="F41" s="553"/>
      <c r="G41" s="553"/>
      <c r="H41" s="553"/>
      <c r="I41" s="553"/>
      <c r="J41" s="553"/>
    </row>
    <row r="42" spans="1:10" s="298" customFormat="1" ht="18.75">
      <c r="A42" s="553" t="str">
        <f>CONCATENATE("If the ",J1," budget includes tax levies exceeding the total on line 15, you must")</f>
        <v>If the 2014 budget includes tax levies exceeding the total on line 15, you must</v>
      </c>
      <c r="B42" s="553"/>
      <c r="C42" s="553"/>
      <c r="D42" s="553"/>
      <c r="E42" s="553"/>
      <c r="F42" s="553"/>
      <c r="G42" s="553"/>
      <c r="H42" s="553"/>
      <c r="I42" s="553"/>
      <c r="J42" s="553"/>
    </row>
    <row r="43" spans="1:10" s="298" customFormat="1" ht="18.75">
      <c r="A43" s="553" t="s">
        <v>642</v>
      </c>
      <c r="B43" s="553"/>
      <c r="C43" s="553"/>
      <c r="D43" s="553"/>
      <c r="E43" s="553"/>
      <c r="F43" s="553"/>
      <c r="G43" s="553"/>
      <c r="H43" s="553"/>
      <c r="I43" s="553"/>
      <c r="J43" s="553"/>
    </row>
    <row r="44" spans="1:10" ht="15.75" customHeight="1">
      <c r="A44" s="552" t="s">
        <v>643</v>
      </c>
      <c r="B44" s="552"/>
      <c r="C44" s="552"/>
      <c r="D44" s="552"/>
      <c r="E44" s="552"/>
      <c r="F44" s="552"/>
      <c r="G44" s="552"/>
      <c r="H44" s="552"/>
      <c r="I44" s="552"/>
      <c r="J44" s="552"/>
    </row>
  </sheetData>
  <sheetProtection/>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&amp;Lrevised 8/6/07&amp;CPage No. 2</oddFooter>
  </headerFooter>
</worksheet>
</file>

<file path=xl/worksheets/sheet6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28">
      <selection activeCell="E21" sqref="E21"/>
    </sheetView>
  </sheetViews>
  <sheetFormatPr defaultColWidth="8.8984375" defaultRowHeight="15" customHeight="1"/>
  <cols>
    <col min="1" max="2" width="17.3984375" style="122" customWidth="1"/>
    <col min="3" max="3" width="10.796875" style="122" customWidth="1"/>
    <col min="4" max="4" width="11" style="122" customWidth="1"/>
    <col min="5" max="6" width="10.796875" style="122" customWidth="1"/>
    <col min="7" max="16384" width="8.8984375" style="122" customWidth="1"/>
  </cols>
  <sheetData>
    <row r="1" spans="1:6" ht="15" customHeight="1">
      <c r="A1" s="283" t="str">
        <f>inputPrYr!D2</f>
        <v>CITY OF BOGUE</v>
      </c>
      <c r="B1" s="121"/>
      <c r="C1" s="121"/>
      <c r="D1" s="121"/>
      <c r="E1" s="300"/>
      <c r="F1" s="225"/>
    </row>
    <row r="2" spans="1:6" ht="15" customHeight="1">
      <c r="A2" s="121"/>
      <c r="B2" s="121"/>
      <c r="C2" s="121"/>
      <c r="D2" s="121"/>
      <c r="E2" s="121"/>
      <c r="F2" s="225">
        <f>inputPrYr!$C$5</f>
        <v>2014</v>
      </c>
    </row>
    <row r="3" spans="1:6" ht="20.25" customHeight="1">
      <c r="A3" s="554" t="s">
        <v>694</v>
      </c>
      <c r="B3" s="554"/>
      <c r="C3" s="554"/>
      <c r="D3" s="554"/>
      <c r="E3" s="554"/>
      <c r="F3" s="121"/>
    </row>
    <row r="4" spans="1:6" ht="15" customHeight="1">
      <c r="A4" s="133"/>
      <c r="B4" s="132"/>
      <c r="C4" s="132"/>
      <c r="D4" s="132"/>
      <c r="E4" s="121"/>
      <c r="F4" s="121"/>
    </row>
    <row r="5" spans="1:6" ht="15" customHeight="1">
      <c r="A5" s="121"/>
      <c r="B5" s="121"/>
      <c r="C5" s="121"/>
      <c r="D5" s="121"/>
      <c r="E5" s="121"/>
      <c r="F5" s="121"/>
    </row>
    <row r="6" spans="1:6" ht="15.75" customHeight="1">
      <c r="A6" s="301" t="s">
        <v>229</v>
      </c>
      <c r="B6" s="239" t="s">
        <v>230</v>
      </c>
      <c r="C6" s="556" t="str">
        <f>CONCATENATE("Allocation for Year ",F1,"")</f>
        <v>Allocation for Year </v>
      </c>
      <c r="D6" s="557"/>
      <c r="E6" s="558"/>
      <c r="F6" s="526"/>
    </row>
    <row r="7" spans="1:6" ht="23.25" customHeight="1">
      <c r="A7" s="302" t="s">
        <v>47</v>
      </c>
      <c r="B7" s="302">
        <v>2013</v>
      </c>
      <c r="C7" s="242" t="s">
        <v>141</v>
      </c>
      <c r="D7" s="242" t="s">
        <v>140</v>
      </c>
      <c r="E7" s="242" t="s">
        <v>139</v>
      </c>
      <c r="F7" s="252" t="s">
        <v>27</v>
      </c>
    </row>
    <row r="8" spans="1:6" ht="15" customHeight="1">
      <c r="A8" s="144" t="s">
        <v>37</v>
      </c>
      <c r="B8" s="303">
        <f>IF((inputPrYr!E17)&gt;0,(inputPrYr!E17),"  ")</f>
        <v>34421</v>
      </c>
      <c r="C8" s="303">
        <v>6607</v>
      </c>
      <c r="D8" s="303">
        <v>178</v>
      </c>
      <c r="E8" s="303">
        <v>0</v>
      </c>
      <c r="F8" s="303">
        <f>IF(inputPrYr!E17=0,0,F22-SUM(F9:F13))</f>
        <v>0</v>
      </c>
    </row>
    <row r="9" spans="1:6" ht="15" customHeight="1">
      <c r="A9" s="144" t="str">
        <f>IF(inputPrYr!B18&gt;" ",inputPrYr!B18," ")</f>
        <v>Debt Service</v>
      </c>
      <c r="B9" s="303">
        <v>0</v>
      </c>
      <c r="C9" s="303" t="str">
        <f>IF(inputPrYr!$E18&gt;0,ROUND(B9*C$24,0),"  ")</f>
        <v>  </v>
      </c>
      <c r="D9" s="303" t="str">
        <f>IF(inputPrYr!$E18&gt;0,ROUND(+B9*D$26,0),"  ")</f>
        <v>  </v>
      </c>
      <c r="E9" s="303" t="str">
        <f>IF(inputPrYr!E18&gt;0,ROUND(B9*E$28,0),"  ")</f>
        <v>  </v>
      </c>
      <c r="F9" s="303" t="str">
        <f>IF(inputPrYr!E18&gt;0,ROUND(B9*F$30,0),"  ")</f>
        <v>  </v>
      </c>
    </row>
    <row r="10" spans="1:6" ht="15" customHeight="1">
      <c r="A10" s="167" t="str">
        <f>IF((inputPrYr!$B20&gt;"  "),(inputPrYr!$B20),"  ")</f>
        <v>  </v>
      </c>
      <c r="B10" s="303" t="str">
        <f>IF((inputPrYr!E20)&gt;0,(inputPrYr!E20),"  ")</f>
        <v>  </v>
      </c>
      <c r="C10" s="303" t="str">
        <f>IF(inputPrYr!$E20&gt;0,ROUND(B10*C$24,0),"  ")</f>
        <v>  </v>
      </c>
      <c r="D10" s="303" t="str">
        <f>IF(inputPrYr!$E20&gt;0,ROUND(+B10*D$26,0),"  ")</f>
        <v>  </v>
      </c>
      <c r="E10" s="303" t="str">
        <f>IF(inputPrYr!E20&gt;0,ROUND(B10*E$28,0),"  ")</f>
        <v>  </v>
      </c>
      <c r="F10" s="303" t="str">
        <f>IF(inputPrYr!E20&gt;0,ROUND(B10*F$30,0),"  ")</f>
        <v>  </v>
      </c>
    </row>
    <row r="11" spans="1:6" ht="15" customHeight="1">
      <c r="A11" s="167" t="str">
        <f>IF((inputPrYr!$B21&gt;"  "),(inputPrYr!$B21),"  ")</f>
        <v>  </v>
      </c>
      <c r="B11" s="303" t="str">
        <f>IF((inputPrYr!E21)&gt;0,(inputPrYr!E21),"  ")</f>
        <v>  </v>
      </c>
      <c r="C11" s="303" t="str">
        <f>IF(inputPrYr!$E21&gt;0,ROUND(B11*C$24,0),"  ")</f>
        <v>  </v>
      </c>
      <c r="D11" s="303" t="str">
        <f>IF(inputPrYr!$E21&gt;0,ROUND(+B11*D$26,0),"  ")</f>
        <v>  </v>
      </c>
      <c r="E11" s="303" t="str">
        <f>IF(inputPrYr!E21&gt;0,ROUND(B11*E$28,0),"  ")</f>
        <v>  </v>
      </c>
      <c r="F11" s="303" t="str">
        <f>IF(inputPrYr!E21&gt;0,ROUND(B11*F$30,0),"  ")</f>
        <v>  </v>
      </c>
    </row>
    <row r="12" spans="1:6" ht="15" customHeight="1">
      <c r="A12" s="167" t="str">
        <f>IF((inputPrYr!$B22&gt;"  "),(inputPrYr!$B22),"  ")</f>
        <v>  </v>
      </c>
      <c r="B12" s="303" t="str">
        <f>IF((inputPrYr!E22)&gt;0,(inputPrYr!E22),"  ")</f>
        <v>  </v>
      </c>
      <c r="C12" s="303" t="str">
        <f>IF(inputPrYr!$E22&gt;0,ROUND(B12*C$24,0),"  ")</f>
        <v>  </v>
      </c>
      <c r="D12" s="303" t="str">
        <f>IF(inputPrYr!$E22&gt;0,ROUND(+B12*D$26,0),"  ")</f>
        <v>  </v>
      </c>
      <c r="E12" s="303" t="str">
        <f>IF(inputPrYr!E22&gt;0,ROUND(B12*E$28,0),"  ")</f>
        <v>  </v>
      </c>
      <c r="F12" s="303" t="str">
        <f>IF(inputPrYr!E22&gt;0,ROUND(B12*F$30,0),"  ")</f>
        <v>  </v>
      </c>
    </row>
    <row r="13" spans="1:6" ht="15" customHeight="1">
      <c r="A13" s="167" t="str">
        <f>IF((inputPrYr!$B23&gt;"  "),(inputPrYr!$B23),"  ")</f>
        <v>  </v>
      </c>
      <c r="B13" s="303" t="str">
        <f>IF((inputPrYr!E23)&gt;0,(inputPrYr!E23),"  ")</f>
        <v>  </v>
      </c>
      <c r="C13" s="303" t="str">
        <f>IF(inputPrYr!$E23&gt;0,ROUND(B13*C$24,0),"  ")</f>
        <v>  </v>
      </c>
      <c r="D13" s="303" t="str">
        <f>IF(inputPrYr!$E23&gt;0,ROUND(+B13*D$26,0),"  ")</f>
        <v>  </v>
      </c>
      <c r="E13" s="303" t="str">
        <f>IF(inputPrYr!E23&gt;0,ROUND(B13*E$28,0),"  ")</f>
        <v>  </v>
      </c>
      <c r="F13" s="303" t="str">
        <f>IF(inputPrYr!E23&gt;0,ROUND(B13*F$30,0),"  ")</f>
        <v>  </v>
      </c>
    </row>
    <row r="14" spans="1:6" ht="16.5" customHeight="1" thickBot="1">
      <c r="A14" s="145" t="s">
        <v>65</v>
      </c>
      <c r="B14" s="304">
        <f>SUM(B8:B13)</f>
        <v>34421</v>
      </c>
      <c r="C14" s="304">
        <f>SUM(C8:C13)</f>
        <v>6607</v>
      </c>
      <c r="D14" s="304">
        <f>SUM(D8:D13)</f>
        <v>178</v>
      </c>
      <c r="E14" s="304">
        <f>SUM(E8:E13)</f>
        <v>0</v>
      </c>
      <c r="F14" s="304">
        <f>SUM(F8:F13)</f>
        <v>0</v>
      </c>
    </row>
    <row r="15" spans="1:6" ht="15" customHeight="1" thickTop="1">
      <c r="A15" s="121"/>
      <c r="B15" s="121"/>
      <c r="C15" s="121"/>
      <c r="D15" s="121"/>
      <c r="E15" s="121"/>
      <c r="F15" s="121"/>
    </row>
    <row r="16" spans="1:6" ht="15" customHeight="1">
      <c r="A16" s="128" t="s">
        <v>66</v>
      </c>
      <c r="B16" s="305"/>
      <c r="C16" s="288">
        <v>6607</v>
      </c>
      <c r="D16" s="305"/>
      <c r="E16" s="121"/>
      <c r="F16" s="121"/>
    </row>
    <row r="17" spans="1:6" ht="15" customHeight="1">
      <c r="A17" s="121"/>
      <c r="B17" s="121"/>
      <c r="C17" s="121"/>
      <c r="D17" s="121"/>
      <c r="E17" s="121"/>
      <c r="F17" s="121"/>
    </row>
    <row r="18" spans="1:6" ht="15" customHeight="1">
      <c r="A18" s="128" t="s">
        <v>67</v>
      </c>
      <c r="B18" s="121"/>
      <c r="C18" s="121"/>
      <c r="D18" s="288">
        <v>178</v>
      </c>
      <c r="E18" s="121"/>
      <c r="F18" s="121"/>
    </row>
    <row r="19" spans="1:6" ht="15" customHeight="1">
      <c r="A19" s="121"/>
      <c r="B19" s="121"/>
      <c r="C19" s="121"/>
      <c r="D19" s="121"/>
      <c r="E19" s="121"/>
      <c r="F19" s="121"/>
    </row>
    <row r="20" spans="1:6" ht="15" customHeight="1">
      <c r="A20" s="128" t="s">
        <v>138</v>
      </c>
      <c r="B20" s="121"/>
      <c r="C20" s="121"/>
      <c r="D20" s="121"/>
      <c r="E20" s="288">
        <v>0</v>
      </c>
      <c r="F20" s="121"/>
    </row>
    <row r="21" spans="1:6" ht="15" customHeight="1">
      <c r="A21" s="121"/>
      <c r="B21" s="121"/>
      <c r="C21" s="121"/>
      <c r="D21" s="121"/>
      <c r="E21" s="121"/>
      <c r="F21" s="121"/>
    </row>
    <row r="22" spans="1:6" ht="15" customHeight="1">
      <c r="A22" s="121" t="s">
        <v>691</v>
      </c>
      <c r="B22" s="121"/>
      <c r="C22" s="121"/>
      <c r="D22" s="121"/>
      <c r="E22" s="121"/>
      <c r="F22" s="288">
        <f>inputOth!E36</f>
        <v>0</v>
      </c>
    </row>
    <row r="23" spans="1:6" ht="15" customHeight="1">
      <c r="A23" s="121"/>
      <c r="B23" s="121"/>
      <c r="C23" s="121"/>
      <c r="D23" s="121"/>
      <c r="E23" s="121"/>
      <c r="F23" s="121"/>
    </row>
    <row r="24" spans="1:6" ht="15" customHeight="1">
      <c r="A24" s="128" t="s">
        <v>68</v>
      </c>
      <c r="B24" s="121"/>
      <c r="C24" s="294">
        <f>IF(B14=0,0,C16/B14)</f>
        <v>0.19194677667702856</v>
      </c>
      <c r="D24" s="121"/>
      <c r="E24" s="121"/>
      <c r="F24" s="121"/>
    </row>
    <row r="25" spans="1:6" ht="15" customHeight="1">
      <c r="A25" s="121"/>
      <c r="B25" s="121"/>
      <c r="C25" s="121"/>
      <c r="D25" s="121"/>
      <c r="E25" s="121"/>
      <c r="F25" s="121"/>
    </row>
    <row r="26" spans="1:6" ht="15" customHeight="1">
      <c r="A26" s="128" t="s">
        <v>69</v>
      </c>
      <c r="B26" s="121"/>
      <c r="C26" s="121"/>
      <c r="D26" s="294">
        <f>IF(B14=0,0,D18/B14)</f>
        <v>0.005171261729757997</v>
      </c>
      <c r="E26" s="121"/>
      <c r="F26" s="121"/>
    </row>
    <row r="27" spans="1:6" ht="15" customHeight="1">
      <c r="A27" s="121"/>
      <c r="B27" s="121"/>
      <c r="C27" s="121"/>
      <c r="D27" s="121"/>
      <c r="E27" s="121"/>
      <c r="F27" s="121"/>
    </row>
    <row r="28" spans="1:6" ht="15" customHeight="1">
      <c r="A28" s="121" t="s">
        <v>137</v>
      </c>
      <c r="B28" s="121"/>
      <c r="C28" s="121"/>
      <c r="D28" s="121"/>
      <c r="E28" s="294">
        <f>IF(B14=0,0,E20/B14)</f>
        <v>0</v>
      </c>
      <c r="F28" s="121"/>
    </row>
    <row r="29" spans="1:6" ht="15" customHeight="1">
      <c r="A29" s="177"/>
      <c r="B29" s="177"/>
      <c r="C29" s="177"/>
      <c r="D29" s="177"/>
      <c r="E29" s="177"/>
      <c r="F29" s="177"/>
    </row>
    <row r="30" spans="1:6" ht="15" customHeight="1">
      <c r="A30" s="177" t="s">
        <v>692</v>
      </c>
      <c r="B30" s="177"/>
      <c r="C30" s="177"/>
      <c r="D30" s="177"/>
      <c r="E30" s="177"/>
      <c r="F30" s="294">
        <f>IF(B14=0,0,F22/B14)</f>
        <v>0</v>
      </c>
    </row>
    <row r="31" spans="1:6" ht="15" customHeight="1">
      <c r="A31" s="177"/>
      <c r="B31" s="177"/>
      <c r="C31" s="177"/>
      <c r="D31" s="177"/>
      <c r="E31" s="177"/>
      <c r="F31" s="177"/>
    </row>
    <row r="35" ht="16.5" customHeight="1"/>
    <row r="36" ht="15.75" customHeight="1"/>
    <row r="37" s="306" customFormat="1" ht="15.75" customHeight="1"/>
    <row r="38" ht="18.75" customHeight="1"/>
    <row r="44" ht="17.25" customHeight="1"/>
  </sheetData>
  <sheetProtection/>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&amp;Lrevised 7/16/09&amp;CPage No. 3</oddFooter>
  </headerFooter>
</worksheet>
</file>

<file path=xl/worksheets/sheet7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7" sqref="C7"/>
    </sheetView>
  </sheetViews>
  <sheetFormatPr defaultColWidth="8.8984375" defaultRowHeight="15"/>
  <cols>
    <col min="1" max="2" width="17.796875" style="185" customWidth="1"/>
    <col min="3" max="6" width="12.796875" style="185" customWidth="1"/>
    <col min="7" max="16384" width="8.8984375" style="185" customWidth="1"/>
  </cols>
  <sheetData>
    <row r="1" spans="1:6" ht="15.75">
      <c r="A1" s="283" t="str">
        <f>inputPrYr!D2</f>
        <v>CITY OF BOGUE</v>
      </c>
      <c r="B1" s="121"/>
      <c r="C1" s="121"/>
      <c r="D1" s="121"/>
      <c r="E1" s="121"/>
      <c r="F1" s="121">
        <f>inputPrYr!C5</f>
        <v>2014</v>
      </c>
    </row>
    <row r="2" spans="1:6" ht="15.75">
      <c r="A2" s="121"/>
      <c r="B2" s="121"/>
      <c r="C2" s="121"/>
      <c r="D2" s="121"/>
      <c r="E2" s="121"/>
      <c r="F2" s="121"/>
    </row>
    <row r="3" spans="1:6" ht="15.75">
      <c r="A3" s="555" t="s">
        <v>194</v>
      </c>
      <c r="B3" s="555"/>
      <c r="C3" s="555"/>
      <c r="D3" s="555"/>
      <c r="E3" s="555"/>
      <c r="F3" s="555"/>
    </row>
    <row r="4" spans="1:6" ht="15.75">
      <c r="A4" s="307"/>
      <c r="B4" s="307"/>
      <c r="C4" s="307"/>
      <c r="D4" s="307"/>
      <c r="E4" s="307"/>
      <c r="F4" s="307"/>
    </row>
    <row r="5" spans="1:6" ht="15.75">
      <c r="A5" s="308" t="s">
        <v>576</v>
      </c>
      <c r="B5" s="308" t="s">
        <v>578</v>
      </c>
      <c r="C5" s="308" t="s">
        <v>85</v>
      </c>
      <c r="D5" s="308" t="s">
        <v>211</v>
      </c>
      <c r="E5" s="308" t="s">
        <v>212</v>
      </c>
      <c r="F5" s="308" t="s">
        <v>228</v>
      </c>
    </row>
    <row r="6" spans="1:6" ht="15.75">
      <c r="A6" s="309" t="s">
        <v>575</v>
      </c>
      <c r="B6" s="309" t="s">
        <v>577</v>
      </c>
      <c r="C6" s="309" t="s">
        <v>227</v>
      </c>
      <c r="D6" s="309" t="s">
        <v>227</v>
      </c>
      <c r="E6" s="309" t="s">
        <v>227</v>
      </c>
      <c r="F6" s="309" t="s">
        <v>213</v>
      </c>
    </row>
    <row r="7" spans="1:6" ht="15.75">
      <c r="A7" s="310" t="s">
        <v>225</v>
      </c>
      <c r="B7" s="310" t="s">
        <v>226</v>
      </c>
      <c r="C7" s="311">
        <f>F1-2</f>
        <v>2012</v>
      </c>
      <c r="D7" s="311">
        <f>F1-1</f>
        <v>2013</v>
      </c>
      <c r="E7" s="311">
        <f>F1</f>
        <v>2014</v>
      </c>
      <c r="F7" s="310" t="s">
        <v>214</v>
      </c>
    </row>
    <row r="8" spans="1:6" ht="15.75">
      <c r="A8" s="312" t="s">
        <v>37</v>
      </c>
      <c r="B8" s="312" t="s">
        <v>592</v>
      </c>
      <c r="C8" s="313">
        <v>6000</v>
      </c>
      <c r="D8" s="313">
        <v>6000</v>
      </c>
      <c r="E8" s="313">
        <v>6000</v>
      </c>
      <c r="F8" s="517" t="s">
        <v>601</v>
      </c>
    </row>
    <row r="9" spans="1:6" ht="15.75">
      <c r="A9" s="314" t="s">
        <v>591</v>
      </c>
      <c r="B9" s="314" t="s">
        <v>592</v>
      </c>
      <c r="C9" s="315">
        <v>3000</v>
      </c>
      <c r="D9" s="315">
        <v>3000</v>
      </c>
      <c r="E9" s="315">
        <v>3000</v>
      </c>
      <c r="F9" s="314" t="s">
        <v>602</v>
      </c>
    </row>
    <row r="10" spans="1:6" ht="15.75">
      <c r="A10" s="314"/>
      <c r="B10" s="314"/>
      <c r="C10" s="315"/>
      <c r="D10" s="315"/>
      <c r="E10" s="315"/>
      <c r="F10" s="314"/>
    </row>
    <row r="11" spans="1:6" ht="15.75">
      <c r="A11" s="314"/>
      <c r="B11" s="314"/>
      <c r="C11" s="315"/>
      <c r="D11" s="315"/>
      <c r="E11" s="315"/>
      <c r="F11" s="314"/>
    </row>
    <row r="12" spans="1:6" ht="15.75">
      <c r="A12" s="314"/>
      <c r="B12" s="314"/>
      <c r="C12" s="315"/>
      <c r="D12" s="315"/>
      <c r="E12" s="315"/>
      <c r="F12" s="314"/>
    </row>
    <row r="13" spans="1:6" ht="15.75">
      <c r="A13" s="314"/>
      <c r="B13" s="314"/>
      <c r="C13" s="315"/>
      <c r="D13" s="315"/>
      <c r="E13" s="315"/>
      <c r="F13" s="314"/>
    </row>
    <row r="14" spans="1:6" ht="15.75">
      <c r="A14" s="314"/>
      <c r="B14" s="314"/>
      <c r="C14" s="315"/>
      <c r="D14" s="315"/>
      <c r="E14" s="315"/>
      <c r="F14" s="314"/>
    </row>
    <row r="15" spans="1:6" ht="15.75">
      <c r="A15" s="314"/>
      <c r="B15" s="314"/>
      <c r="C15" s="315"/>
      <c r="D15" s="315"/>
      <c r="E15" s="315"/>
      <c r="F15" s="314"/>
    </row>
    <row r="16" spans="1:6" ht="15.75">
      <c r="A16" s="314"/>
      <c r="B16" s="314"/>
      <c r="C16" s="315"/>
      <c r="D16" s="315"/>
      <c r="E16" s="315"/>
      <c r="F16" s="314"/>
    </row>
    <row r="17" spans="1:6" ht="15.75">
      <c r="A17" s="314"/>
      <c r="B17" s="314"/>
      <c r="C17" s="315"/>
      <c r="D17" s="315"/>
      <c r="E17" s="315"/>
      <c r="F17" s="314"/>
    </row>
    <row r="18" spans="1:6" ht="15.75">
      <c r="A18" s="314"/>
      <c r="B18" s="314"/>
      <c r="C18" s="315"/>
      <c r="D18" s="315"/>
      <c r="E18" s="315"/>
      <c r="F18" s="314"/>
    </row>
    <row r="19" spans="1:6" ht="15.75">
      <c r="A19" s="314"/>
      <c r="B19" s="314"/>
      <c r="C19" s="315"/>
      <c r="D19" s="315"/>
      <c r="E19" s="315"/>
      <c r="F19" s="314"/>
    </row>
    <row r="20" spans="1:6" ht="15.75">
      <c r="A20" s="314"/>
      <c r="B20" s="314"/>
      <c r="C20" s="315"/>
      <c r="D20" s="315"/>
      <c r="E20" s="315"/>
      <c r="F20" s="314"/>
    </row>
    <row r="21" spans="1:6" ht="15.75">
      <c r="A21" s="314"/>
      <c r="B21" s="314"/>
      <c r="C21" s="315"/>
      <c r="D21" s="315"/>
      <c r="E21" s="315"/>
      <c r="F21" s="314"/>
    </row>
    <row r="22" spans="1:6" ht="15.75">
      <c r="A22" s="280"/>
      <c r="B22" s="316" t="s">
        <v>70</v>
      </c>
      <c r="C22" s="317">
        <f>SUM(C8:C21)</f>
        <v>9000</v>
      </c>
      <c r="D22" s="317">
        <f>SUM(D8:D21)</f>
        <v>9000</v>
      </c>
      <c r="E22" s="317">
        <f>SUM(E8:E21)</f>
        <v>9000</v>
      </c>
      <c r="F22" s="280"/>
    </row>
    <row r="23" spans="1:6" ht="15.75">
      <c r="A23" s="280"/>
      <c r="B23" s="318" t="s">
        <v>574</v>
      </c>
      <c r="C23" s="319"/>
      <c r="D23" s="320"/>
      <c r="E23" s="320"/>
      <c r="F23" s="280"/>
    </row>
    <row r="24" spans="1:6" ht="15.75">
      <c r="A24" s="280"/>
      <c r="B24" s="316" t="s">
        <v>22</v>
      </c>
      <c r="C24" s="317">
        <f>C22</f>
        <v>9000</v>
      </c>
      <c r="D24" s="317">
        <f>SUM(D22-D23)</f>
        <v>9000</v>
      </c>
      <c r="E24" s="317">
        <f>SUM(E22-E23)</f>
        <v>9000</v>
      </c>
      <c r="F24" s="280"/>
    </row>
    <row r="25" spans="1:6" ht="15.75">
      <c r="A25" s="177"/>
      <c r="B25" s="177"/>
      <c r="C25" s="177"/>
      <c r="D25" s="177"/>
      <c r="E25" s="177"/>
      <c r="F25" s="177"/>
    </row>
    <row r="26" spans="1:6" ht="15.75">
      <c r="A26" s="177"/>
      <c r="B26" s="177"/>
      <c r="C26" s="177"/>
      <c r="D26" s="177"/>
      <c r="E26" s="177"/>
      <c r="F26" s="177"/>
    </row>
    <row r="27" spans="1:6" ht="15.75">
      <c r="A27" s="513" t="s">
        <v>579</v>
      </c>
      <c r="B27" s="512" t="str">
        <f>CONCATENATE("Adjustments are required only if the transfer is being made in ",D7," and/or ",E7," from a non-budgeted fund.")</f>
        <v>Adjustments are required only if the transfer is being made in 2013 and/or 2014 from a non-budgeted fund.</v>
      </c>
      <c r="C27" s="177"/>
      <c r="D27" s="177"/>
      <c r="E27" s="177"/>
      <c r="F27" s="177"/>
    </row>
    <row r="28" spans="1:6" ht="15.75">
      <c r="A28" s="177"/>
      <c r="B28" s="177"/>
      <c r="C28" s="177"/>
      <c r="D28" s="177"/>
      <c r="E28" s="177"/>
      <c r="F28" s="177"/>
    </row>
    <row r="29" spans="1:6" ht="15.75">
      <c r="A29" s="177"/>
      <c r="B29" s="177"/>
      <c r="C29" s="177"/>
      <c r="D29" s="177"/>
      <c r="E29" s="177"/>
      <c r="F29" s="177"/>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&amp;Lrevised 1/05/10&amp;CPage No. 4</oddFooter>
  </headerFooter>
</worksheet>
</file>

<file path=xl/worksheets/sheet8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8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9"/>
  <sheetViews>
    <sheetView zoomScalePageLayoutView="0" workbookViewId="0" topLeftCell="A40">
      <selection activeCell="A1" sqref="A1:IV16384"/>
    </sheetView>
  </sheetViews>
  <sheetFormatPr defaultColWidth="8.8984375" defaultRowHeight="15"/>
  <cols>
    <col min="1" max="1" width="70.59765625" style="470" customWidth="1"/>
    <col min="2" max="16384" width="8.8984375" style="470" customWidth="1"/>
  </cols>
  <sheetData>
    <row r="1" ht="18.75">
      <c r="A1" s="471" t="s">
        <v>298</v>
      </c>
    </row>
    <row r="2" ht="15.75">
      <c r="A2" s="472"/>
    </row>
    <row r="3" ht="47.25">
      <c r="A3" s="473" t="s">
        <v>299</v>
      </c>
    </row>
    <row r="4" ht="15.75">
      <c r="A4" s="472"/>
    </row>
    <row r="5" ht="15.75">
      <c r="A5" s="472"/>
    </row>
    <row r="6" ht="63">
      <c r="A6" s="473" t="s">
        <v>300</v>
      </c>
    </row>
    <row r="7" ht="15.75">
      <c r="A7" s="474"/>
    </row>
    <row r="8" ht="15.75">
      <c r="A8" s="472"/>
    </row>
    <row r="9" ht="47.25">
      <c r="A9" s="473" t="s">
        <v>301</v>
      </c>
    </row>
    <row r="10" ht="15.75">
      <c r="A10" s="474"/>
    </row>
    <row r="11" ht="15.75">
      <c r="A11" s="472"/>
    </row>
    <row r="12" ht="47.25">
      <c r="A12" s="473" t="s">
        <v>302</v>
      </c>
    </row>
    <row r="13" ht="15.75">
      <c r="A13" s="474"/>
    </row>
    <row r="14" ht="15.75">
      <c r="A14" s="474"/>
    </row>
    <row r="15" ht="47.25">
      <c r="A15" s="473" t="s">
        <v>303</v>
      </c>
    </row>
    <row r="16" ht="15.75">
      <c r="A16" s="474"/>
    </row>
    <row r="17" ht="15.75">
      <c r="A17" s="474"/>
    </row>
    <row r="18" ht="47.25">
      <c r="A18" s="473" t="s">
        <v>304</v>
      </c>
    </row>
    <row r="19" ht="15.75">
      <c r="A19" s="474"/>
    </row>
    <row r="20" ht="15.75">
      <c r="A20" s="474"/>
    </row>
    <row r="21" ht="31.5">
      <c r="A21" s="473" t="s">
        <v>305</v>
      </c>
    </row>
    <row r="22" ht="15.75">
      <c r="A22" s="472"/>
    </row>
    <row r="23" ht="15.75">
      <c r="A23" s="472"/>
    </row>
    <row r="24" ht="60">
      <c r="A24" s="475" t="s">
        <v>306</v>
      </c>
    </row>
    <row r="25" ht="15">
      <c r="A25" s="476"/>
    </row>
    <row r="26" ht="15">
      <c r="A26" s="476"/>
    </row>
    <row r="27" ht="47.25">
      <c r="A27" s="473" t="s">
        <v>307</v>
      </c>
    </row>
    <row r="28" ht="15.75">
      <c r="A28" s="472"/>
    </row>
    <row r="29" ht="15.75">
      <c r="A29" s="472"/>
    </row>
    <row r="30" ht="63">
      <c r="A30" s="477" t="s">
        <v>308</v>
      </c>
    </row>
    <row r="31" ht="15.75">
      <c r="A31" s="474"/>
    </row>
    <row r="32" ht="15.75">
      <c r="A32" s="472"/>
    </row>
    <row r="33" ht="63">
      <c r="A33" s="473" t="s">
        <v>309</v>
      </c>
    </row>
    <row r="34" ht="15.75">
      <c r="A34" s="474"/>
    </row>
    <row r="35" ht="15.75">
      <c r="A35" s="474"/>
    </row>
    <row r="36" ht="63">
      <c r="A36" s="473" t="s">
        <v>310</v>
      </c>
    </row>
    <row r="37" ht="15.75">
      <c r="A37" s="474"/>
    </row>
    <row r="38" ht="15.75">
      <c r="A38" s="474"/>
    </row>
    <row r="39" ht="63">
      <c r="A39" s="473" t="s">
        <v>311</v>
      </c>
    </row>
    <row r="40" ht="15.75">
      <c r="A40" s="474"/>
    </row>
    <row r="41" ht="15.75">
      <c r="A41" s="474"/>
    </row>
    <row r="42" ht="47.25">
      <c r="A42" s="473" t="s">
        <v>312</v>
      </c>
    </row>
    <row r="43" ht="15.75">
      <c r="A43" s="474"/>
    </row>
    <row r="44" ht="15.75">
      <c r="A44" s="474"/>
    </row>
    <row r="45" ht="47.25">
      <c r="A45" s="473" t="s">
        <v>313</v>
      </c>
    </row>
    <row r="46" ht="15.75">
      <c r="A46" s="474"/>
    </row>
    <row r="47" ht="15.75">
      <c r="A47" s="474"/>
    </row>
    <row r="48" ht="78.75">
      <c r="A48" s="473" t="s">
        <v>314</v>
      </c>
    </row>
    <row r="49" ht="15">
      <c r="A49" s="478"/>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jirby</cp:lastModifiedBy>
  <cp:lastPrinted>2013-08-19T18:21:17Z</cp:lastPrinted>
  <dcterms:created xsi:type="dcterms:W3CDTF">1998-12-22T16:13:18Z</dcterms:created>
  <dcterms:modified xsi:type="dcterms:W3CDTF">2013-11-25T16:02:48Z</dcterms:modified>
  <cp:category/>
  <cp:version/>
  <cp:contentType/>
  <cp:contentStatus/>
</cp:coreProperties>
</file>