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1"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<sst xmlns="http://schemas.openxmlformats.org/spreadsheetml/2006/main" count="1689" uniqueCount="958">
  <si>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</si>
  <si>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</si>
  <si>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</si>
  <si>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</si>
  <si>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</si>
  <si>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</si>
  <si>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</si>
  <si>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</si>
  <si>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</si>
  <si>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</si>
  <si>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</si>
  <si>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</si>
  <si>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</si>
  <si>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</si>
  <si>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</si>
  <si>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</si>
  <si>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</si>
  <si>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</si>
  <si>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</si>
  <si>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</si>
  <si>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</si>
  <si>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</si>
  <si>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</si>
  <si>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</si>
  <si>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</si>
  <si>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</si>
  <si>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</si>
  <si>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</si>
  <si>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</si>
  <si>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</si>
  <si>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</si>
  <si>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</si>
  <si>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</si>
  <si>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</si>
  <si>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</si>
  <si>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</si>
  <si>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</si>
  <si>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</si>
  <si>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</si>
  <si>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</si>
  <si>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</si>
  <si>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</si>
  <si>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</si>
  <si>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</si>
  <si>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</si>
  <si>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</si>
  <si>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</si>
  <si>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</si>
  <si>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</si>
  <si>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</si>
  <si>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</si>
  <si>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</si>
  <si>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</si>
  <si>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</si>
  <si>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</si>
  <si>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</si>
  <si>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</si>
  <si>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</si>
  <si>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</si>
  <si>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</si>
  <si>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</si>
  <si>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</si>
  <si>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</si>
  <si>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</si>
  <si>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</si>
  <si>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</si>
  <si>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</si>
  <si>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</si>
  <si>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</si>
  <si>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</si>
  <si>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</si>
  <si>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</si>
  <si>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</si>
  <si>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</si>
  <si>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</si>
  <si>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</si>
  <si>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</si>
  <si>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</si>
  <si>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</si>
  <si>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</si>
  <si>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</si>
  <si>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</si>
  <si>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</si>
  <si>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</si>
  <si>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</si>
  <si>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</si>
  <si>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</si>
  <si>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</si>
  <si>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</si>
  <si>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</si>
  <si>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</si>
  <si>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</si>
  <si>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</si>
  <si>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</si>
  <si>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</si>
  <si>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</si>
  <si>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</si>
  <si>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</si>
  <si>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</si>
  <si>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</si>
  <si>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</si>
  <si>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</si>
  <si>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</si>
  <si>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</si>
  <si>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</si>
  <si>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</si>
  <si>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</si>
  <si>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</si>
  <si>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</si>
  <si>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</si>
  <si>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</si>
  <si>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</si>
  <si>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</si>
  <si>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</si>
  <si>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</si>
  <si>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</si>
  <si>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</si>
  <si>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</si>
  <si>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</si>
  <si>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</si>
  <si>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</si>
  <si>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</si>
  <si>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</si>
  <si>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</si>
  <si>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</si>
  <si>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</si>
  <si>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</si>
  <si>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</si>
  <si>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</si>
  <si>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</si>
  <si>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</si>
  <si>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</si>
  <si>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</si>
  <si>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</si>
  <si>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</si>
  <si>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</si>
  <si>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</si>
  <si>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</si>
  <si>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</si>
  <si>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</si>
  <si>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</si>
  <si>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</si>
  <si>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</si>
  <si>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</si>
  <si>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</si>
  <si>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</si>
  <si>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</si>
  <si>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</si>
  <si>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</si>
  <si>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</si>
  <si>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</si>
  <si>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</si>
  <si>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</si>
  <si>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</si>
  <si>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</si>
  <si>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</si>
  <si>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</si>
  <si>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</si>
  <si>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</si>
  <si>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</si>
  <si>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</si>
  <si>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</si>
  <si>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</si>
  <si>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</si>
  <si>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</si>
  <si>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</si>
  <si>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</si>
  <si>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</si>
  <si>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</si>
  <si>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</si>
  <si>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</si>
  <si>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</si>
  <si>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</si>
  <si>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</si>
  <si>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</si>
  <si>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</si>
  <si>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</si>
  <si>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</si>
  <si>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</si>
  <si>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</si>
  <si>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</si>
  <si>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</si>
  <si>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</si>
  <si>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</si>
  <si>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</si>
  <si>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</si>
  <si>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</si>
  <si>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</si>
  <si>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</si>
  <si>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</si>
  <si>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</si>
  <si>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</si>
  <si>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</si>
  <si>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</si>
  <si>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</si>
  <si>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</si>
  <si>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</si>
  <si>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</si>
  <si>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</si>
  <si>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</si>
  <si>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</si>
  <si>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</si>
  <si>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</si>
  <si>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</si>
  <si>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</si>
  <si>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</si>
  <si>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</si>
  <si>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</si>
  <si>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</si>
  <si>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</si>
  <si>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</si>
  <si>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</si>
  <si>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</si>
  <si>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</si>
  <si>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</si>
  <si>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</si>
  <si>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</si>
  <si>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</si>
  <si>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</si>
  <si>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</si>
  <si>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</si>
  <si>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</si>
  <si>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</si>
  <si>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</si>
  <si>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</si>
  <si>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</si>
  <si>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</si>
  <si>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</si>
  <si>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</si>
  <si>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</si>
  <si>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</si>
  <si>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</si>
  <si>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</si>
  <si>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</si>
  <si>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</si>
  <si>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</si>
  <si>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</si>
  <si>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</si>
  <si>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</si>
  <si>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</si>
  <si>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</si>
  <si>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</si>
  <si>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</si>
  <si>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</si>
  <si>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</si>
  <si>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</si>
  <si>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</si>
  <si>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</si>
  <si>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</si>
  <si>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</si>
  <si>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</si>
  <si>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</si>
  <si>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</si>
  <si>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</si>
  <si>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</si>
  <si>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</si>
  <si>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</si>
  <si>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</si>
  <si>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</si>
  <si>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</si>
  <si>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</si>
  <si>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</si>
  <si>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</si>
  <si>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</si>
  <si>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</si>
  <si>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</si>
  <si>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</si>
  <si>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</si>
  <si>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</si>
  <si>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</si>
  <si>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</si>
  <si>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</si>
  <si>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</si>
  <si>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</si>
  <si>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</si>
  <si>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</si>
  <si>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</si>
  <si>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</si>
  <si>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</si>
  <si>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</si>
  <si>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</si>
  <si>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</si>
  <si>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</si>
  <si>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</si>
  <si>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</si>
  <si>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</si>
  <si>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</si>
  <si>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</si>
  <si>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</si>
  <si>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</si>
  <si>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</si>
  <si>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</si>
  <si>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</si>
  <si>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</si>
  <si>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</si>
  <si>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</si>
  <si>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</si>
  <si>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</si>
  <si>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</si>
  <si>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</si>
  <si>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</si>
  <si>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</si>
  <si>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</si>
  <si>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</si>
  <si>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</si>
  <si>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</si>
  <si>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</si>
  <si>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</si>
  <si>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</si>
  <si>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</si>
  <si>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</si>
  <si>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</si>
  <si>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</si>
  <si>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</si>
  <si>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</si>
  <si>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</si>
  <si>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</si>
  <si>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</si>
  <si>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</si>
  <si>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</si>
  <si>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</si>
  <si>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</si>
  <si>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</si>
  <si>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</si>
  <si>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</si>
  <si>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</si>
  <si>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</si>
  <si>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</si>
  <si>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</si>
  <si>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</si>
  <si>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</si>
  <si>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</si>
  <si>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</si>
  <si>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</si>
  <si>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</si>
  <si>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</si>
  <si>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</si>
  <si>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</si>
  <si>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</si>
  <si>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</si>
  <si>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</si>
  <si>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</si>
  <si>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</si>
  <si>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</si>
  <si>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</si>
  <si>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</si>
  <si>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</si>
  <si>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</si>
  <si>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</si>
  <si>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</si>
  <si>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</si>
  <si>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</si>
  <si>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</si>
  <si>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</si>
  <si>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</si>
  <si>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</si>
  <si>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</si>
  <si>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</si>
  <si>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</si>
  <si>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</si>
  <si>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</si>
  <si>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</si>
  <si>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</si>
  <si>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</si>
  <si>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</si>
  <si>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</si>
  <si>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</si>
  <si>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</si>
  <si>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</si>
  <si>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</si>
  <si>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</si>
  <si>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</si>
  <si>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</si>
  <si>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</si>
  <si>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</si>
  <si>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</si>
  <si>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</si>
  <si>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</si>
  <si>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</si>
  <si>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</si>
  <si>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</si>
  <si>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</si>
  <si>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</si>
  <si>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</si>
  <si>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</si>
  <si>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</si>
  <si>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</si>
  <si>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</si>
  <si>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</si>
  <si>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</si>
  <si>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</si>
  <si>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</si>
  <si>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</si>
  <si>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</si>
  <si>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</si>
  <si>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</si>
  <si>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</si>
  <si>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</si>
  <si>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</si>
  <si>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</si>
  <si>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</si>
  <si>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</si>
  <si>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</si>
  <si>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</si>
  <si>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</si>
  <si>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</si>
  <si>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</si>
  <si>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</si>
  <si>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</si>
  <si>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</si>
  <si>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</si>
  <si>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</si>
  <si>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</si>
  <si>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</si>
  <si>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</si>
  <si>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</si>
  <si>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</si>
  <si>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</si>
  <si>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</si>
  <si>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</si>
  <si>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</si>
  <si>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</si>
  <si>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</si>
  <si>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</si>
  <si>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</si>
  <si>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</si>
  <si>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</si>
  <si>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</si>
  <si>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</si>
  <si>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</si>
  <si>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</si>
  <si>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</si>
  <si>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</si>
  <si>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</si>
  <si>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</si>
  <si>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</si>
  <si>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</si>
  <si>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</si>
  <si>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</si>
  <si>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</si>
  <si>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</si>
  <si>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</si>
  <si>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</si>
  <si>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</si>
  <si>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</si>
  <si>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</si>
  <si>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</si>
  <si>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</si>
  <si>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</si>
  <si>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</si>
  <si>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</si>
  <si>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</si>
  <si>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</si>
  <si>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</si>
  <si>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</si>
  <si>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</si>
  <si>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</si>
  <si>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</si>
  <si>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</si>
  <si>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</si>
  <si>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</si>
  <si>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</si>
  <si>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</si>
  <si>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</si>
  <si>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</si>
  <si>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</si>
  <si>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</si>
  <si>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</si>
  <si>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</si>
  <si>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</si>
  <si>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</si>
  <si>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</si>
  <si>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</si>
  <si>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</si>
  <si>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</si>
  <si>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</si>
  <si>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</si>
  <si>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</si>
  <si>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</si>
  <si>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</si>
  <si>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</si>
  <si>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</si>
  <si>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</si>
  <si>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</si>
  <si>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</si>
  <si>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</si>
  <si>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</si>
  <si>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</si>
  <si>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</si>
  <si>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</si>
  <si>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</si>
  <si>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</si>
  <si>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</si>
  <si>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</si>
  <si>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</si>
  <si>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</si>
  <si>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</si>
  <si>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</si>
  <si>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</si>
  <si>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</si>
  <si>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</si>
  <si>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</si>
  <si>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</si>
  <si>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</si>
  <si>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</si>
  <si>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</si>
  <si>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</si>
  <si>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</si>
  <si>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</si>
  <si>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</si>
  <si>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</si>
  <si>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</si>
  <si>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</si>
  <si>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</si>
  <si>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</si>
  <si>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</si>
  <si>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</si>
  <si>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</si>
  <si>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</si>
  <si>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</si>
  <si>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</si>
  <si>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</si>
  <si>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</si>
  <si>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</si>
  <si>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</si>
  <si>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</si>
  <si>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</si>
  <si>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</si>
  <si>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</si>
  <si>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</si>
  <si>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</si>
  <si>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</si>
  <si>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</si>
  <si>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</si>
  <si>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</si>
  <si>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</si>
  <si>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</si>
  <si>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</si>
  <si>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</si>
  <si>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</si>
  <si>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</si>
  <si>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</si>
  <si>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</si>
  <si>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</si>
  <si>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</si>
  <si>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</si>
  <si>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</si>
  <si>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</si>
  <si>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</si>
  <si>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</si>
  <si>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</si>
  <si>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</si>
  <si>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</si>
  <si>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</si>
  <si>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</si>
  <si>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</si>
  <si>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</si>
  <si>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</si>
  <si>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</si>
  <si>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</si>
  <si>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</si>
  <si>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</si>
  <si>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</si>
  <si>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</si>
  <si>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</si>
  <si>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</si>
  <si>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</si>
  <si>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</si>
  <si>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</si>
  <si>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</si>
  <si>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</si>
  <si>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</si>
  <si>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</si>
  <si>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</si>
  <si>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</si>
  <si>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</si>
  <si>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</si>
  <si>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</si>
  <si>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</si>
  <si>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</si>
  <si>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</si>
  <si>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</si>
  <si>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</si>
  <si>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</si>
  <si>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</si>
  <si>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</si>
  <si>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</si>
  <si>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</si>
  <si>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</si>
  <si>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</si>
  <si>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</si>
  <si>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</si>
  <si>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</si>
  <si>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</si>
  <si>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</si>
  <si>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</si>
  <si>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</si>
  <si>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</si>
  <si>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</si>
  <si>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</si>
  <si>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</si>
  <si>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</si>
  <si>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</si>
  <si>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</si>
  <si>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</si>
  <si>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</si>
  <si>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</si>
  <si>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</si>
  <si>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</si>
  <si>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</si>
  <si>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</si>
  <si>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</si>
  <si>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</si>
  <si>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</si>
  <si>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</si>
  <si>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</si>
  <si>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</si>
  <si>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</si>
  <si>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</si>
  <si>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</si>
  <si>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</si>
  <si>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</si>
  <si>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</si>
  <si>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</si>
  <si>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</si>
  <si>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</si>
  <si>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</si>
  <si>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</si>
  <si>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</si>
  <si>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</si>
  <si>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</si>
  <si>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</si>
  <si>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</si>
  <si>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</si>
  <si>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</si>
  <si>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</si>
  <si>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</si>
  <si>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</si>
  <si>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</si>
  <si>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</si>
  <si>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</si>
  <si>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</si>
  <si>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</si>
  <si>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</si>
  <si>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</si>
  <si>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</si>
  <si>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</si>
  <si>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</si>
  <si>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</si>
  <si>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</si>
  <si>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</si>
  <si>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</si>
  <si>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</si>
  <si>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</si>
  <si>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</si>
  <si>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</si>
  <si>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</si>
  <si>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</si>
  <si>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</si>
  <si>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</si>
  <si>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</si>
  <si>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</si>
  <si>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</si>
  <si>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</si>
  <si>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</si>
  <si>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</si>
  <si>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</si>
  <si>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</si>
  <si>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</si>
  <si>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</si>
  <si>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</si>
  <si>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</si>
  <si>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</si>
  <si>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</si>
  <si>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</si>
  <si>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</si>
  <si>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</si>
  <si>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</si>
  <si>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</si>
  <si>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</si>
  <si>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</si>
  <si>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</si>
  <si>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</si>
  <si>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</si>
  <si>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</si>
  <si>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</si>
  <si>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</si>
  <si>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</si>
  <si>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</si>
  <si>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</si>
  <si>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</si>
  <si>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</si>
  <si>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</si>
  <si>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</si>
  <si>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</si>
  <si>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</si>
  <si>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</si>
  <si>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</si>
  <si>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</si>
  <si>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</si>
  <si>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</si>
  <si>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</si>
  <si>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</si>
  <si>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</si>
  <si>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</si>
  <si>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</si>
  <si>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</si>
  <si>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</si>
  <si>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</si>
  <si>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</si>
  <si>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</si>
  <si>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</si>
  <si>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</si>
  <si>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</si>
  <si>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</si>
  <si>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</si>
  <si>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</si>
  <si>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</si>
  <si>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</si>
  <si>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</si>
  <si>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</si>
  <si>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</si>
  <si>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</si>
  <si>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</si>
  <si>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</si>
  <si>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</si>
  <si>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</si>
  <si>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</si>
  <si>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</si>
  <si>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</si>
  <si>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</si>
  <si>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</si>
  <si>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</si>
  <si>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</si>
  <si>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</si>
  <si>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</si>
  <si>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</si>
  <si>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</si>
  <si>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</si>
  <si>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</si>
  <si>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</si>
  <si>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</si>
  <si>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</si>
  <si>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</si>
  <si>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</si>
  <si>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</si>
  <si>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</si>
  <si>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</si>
  <si>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</si>
  <si>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</si>
  <si>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</si>
  <si>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</si>
  <si>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</si>
  <si>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</si>
  <si>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</si>
  <si>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</si>
  <si>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</si>
  <si>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</si>
  <si>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</si>
  <si>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</si>
  <si>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</si>
  <si>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</si>
  <si>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</si>
  <si>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</si>
  <si>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</si>
  <si>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</si>
  <si>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</si>
  <si>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</si>
  <si>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</si>
  <si>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</si>
  <si>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</si>
  <si>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</si>
  <si>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</si>
  <si>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</si>
  <si>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</si>
  <si>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</si>
  <si>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</si>
  <si>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</si>
  <si>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</si>
  <si>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</si>
  <si>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</si>
  <si>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</si>
  <si>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</si>
  <si>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</si>
  <si>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</si>
  <si>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</si>
  <si>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</si>
  <si>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</si>
  <si>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</si>
  <si>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</si>
  <si>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</si>
  <si>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</si>
  <si>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</si>
  <si>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</si>
  <si>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</si>
  <si>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</si>
  <si>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</si>
  <si>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</si>
  <si>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</si>
  <si>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</si>
  <si>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</si>
  <si>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</si>
  <si>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</si>
  <si>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</si>
  <si>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</si>
  <si>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</si>
  <si>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</si>
  <si>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</si>
  <si>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</si>
  <si>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</si>
  <si>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</si>
  <si>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</si>
  <si>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</si>
  <si>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</si>
  <si>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</si>
  <si>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</si>
  <si>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</si>
  <si>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</si>
  <si>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</si>
  <si>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</si>
  <si>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</si>
  <si>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</si>
  <si>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</si>
  <si>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</si>
  <si>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</si>
  <si>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</si>
  <si>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</si>
  <si>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</si>
  <si>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</si>
  <si>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</si>
  <si>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</si>
  <si>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</si>
  <si>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</si>
  <si>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</si>
  <si>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</si>
  <si>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</si>
  <si>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</si>
  <si>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</si>
  <si>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</si>
  <si>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</si>
  <si>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</si>
  <si>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</si>
  <si>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</si>
  <si>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</si>
  <si>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</si>
  <si>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</si>
  <si>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</si>
  <si>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</si>
  <si>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</si>
  <si>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</si>
  <si>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</si>
  <si>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</si>
  <si>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</si>
  <si>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</si>
  <si>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</si>
  <si>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</si>
  <si>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</si>
  <si>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</si>
  <si>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</si>
  <si>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</si>
  <si>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</si>
  <si>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</si>
  <si>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</si>
  <si>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</si>
  <si>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</si>
  <si>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</si>
  <si>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</si>
  <si>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</si>
  <si>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</si>
  <si>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</si>
  <si>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</si>
  <si>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</si>
  <si>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</si>
  <si>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</si>
  <si>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</si>
  <si>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</si>
  <si>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</si>
  <si>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</si>
  <si>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</si>
  <si>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</si>
  <si>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</si>
  <si>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</si>
  <si>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</si>
  <si>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</si>
  <si>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</si>
  <si>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</si>
  <si>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</si>
  <si>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</si>
  <si>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</si>
  <si>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</si>
  <si>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</si>
  <si>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</si>
  <si>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</si>
  <si>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</si>
  <si>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</si>
  <si>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</si>
  <si>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</si>
  <si>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</si>
  <si>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</si>
  <si>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</si>
  <si>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</si>
  <si>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</si>
  <si>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</si>
  <si>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</si>
  <si>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</si>
  <si>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</si>
  <si>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</si>
  <si>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</si>
  <si>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</si>
  <si>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</si>
  <si>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</si>
  <si>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</si>
  <si>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</si>
  <si>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</si>
  <si>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</si>
  <si>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</si>
  <si>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</si>
  <si>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</si>
  <si>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</si>
  <si>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</si>
  <si>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</si>
  <si>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</si>
  <si>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</si>
  <si>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</si>
  <si>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</si>
  <si>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</si>
  <si>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</si>
  <si>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</si>
  <si>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</si>
  <si>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</si>
  <si>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</si>
  <si>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</si>
  <si>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</si>
  <si>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</si>
  <si>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</si>
  <si>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</si>
  <si>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</si>
  <si>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</si>
  <si>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</si>
  <si>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</si>
  <si>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</si>
  <si>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</si>
  <si>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</si>
  <si>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</si>
  <si>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</si>
  <si>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</si>
  <si>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Rice</t>
  </si>
  <si>
    <t>Valley Township</t>
  </si>
  <si>
    <t>Alden</t>
  </si>
  <si>
    <t>Hall Rent</t>
  </si>
  <si>
    <t>Insurance Reimbursement</t>
  </si>
  <si>
    <t>Road Easements</t>
  </si>
  <si>
    <t>Contracts</t>
  </si>
  <si>
    <t>John Deere Grader</t>
  </si>
  <si>
    <t>August 3, 2012</t>
  </si>
  <si>
    <t>7:00 p.m.</t>
  </si>
  <si>
    <t>Township Hall</t>
  </si>
  <si>
    <t>the Rice County Clerk's Office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</si>
</sst>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4" fillId="0" borderId="15" xfId="90" applyFont="1"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 fillId="0" borderId="15" xfId="90"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874</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8" t="s">
        <v>875</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9" t="s">
        <v>876</v>
      </c>
    </row>
    <row r="52" ht="12" customHeight="1">
      <c r="A52" s="216"/>
    </row>
    <row r="53" ht="81" customHeight="1">
      <c r="A53" s="216" t="s">
        <v>401</v>
      </c>
    </row>
    <row r="54" ht="81" customHeight="1">
      <c r="A54" s="216" t="s">
        <v>620</v>
      </c>
    </row>
    <row r="55" ht="81" customHeight="1">
      <c r="A55" s="216" t="s">
        <v>877</v>
      </c>
    </row>
    <row r="56" ht="48" customHeight="1">
      <c r="A56" s="749" t="s">
        <v>878</v>
      </c>
    </row>
    <row r="57" ht="84.75" customHeight="1">
      <c r="A57" s="750" t="s">
        <v>879</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50" t="s">
        <v>880</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50" t="s">
        <v>881</v>
      </c>
    </row>
    <row r="76" ht="12" customHeight="1"/>
    <row r="77" ht="78.75" customHeight="1">
      <c r="A77" s="216" t="s">
        <v>883</v>
      </c>
    </row>
    <row r="78" ht="78.75" customHeight="1">
      <c r="A78" s="750" t="s">
        <v>882</v>
      </c>
    </row>
    <row r="79" ht="86.25" customHeight="1">
      <c r="A79" s="550" t="s">
        <v>884</v>
      </c>
    </row>
    <row r="80" ht="78.75" customHeight="1">
      <c r="A80" s="550" t="s">
        <v>885</v>
      </c>
    </row>
    <row r="81" ht="78.75" customHeight="1">
      <c r="A81" s="550" t="s">
        <v>886</v>
      </c>
    </row>
    <row r="82" ht="73.5" customHeight="1">
      <c r="A82" s="216" t="s">
        <v>887</v>
      </c>
    </row>
    <row r="83" ht="120.75" customHeight="1">
      <c r="A83" s="216" t="s">
        <v>888</v>
      </c>
    </row>
    <row r="84" ht="72.75" customHeight="1">
      <c r="A84" s="216" t="s">
        <v>889</v>
      </c>
    </row>
    <row r="85" ht="100.5" customHeight="1">
      <c r="A85" s="216" t="s">
        <v>890</v>
      </c>
    </row>
    <row r="86" ht="110.25" customHeight="1">
      <c r="A86" s="216" t="s">
        <v>891</v>
      </c>
    </row>
    <row r="87" ht="100.5" customHeight="1">
      <c r="A87" s="224" t="s">
        <v>892</v>
      </c>
    </row>
    <row r="88" ht="61.5" customHeight="1">
      <c r="A88" s="360" t="s">
        <v>893</v>
      </c>
    </row>
    <row r="89" ht="120.75" customHeight="1">
      <c r="A89" s="216" t="s">
        <v>945</v>
      </c>
    </row>
    <row r="90" ht="86.25" customHeight="1">
      <c r="A90" s="224" t="s">
        <v>894</v>
      </c>
    </row>
    <row r="91" ht="101.25" customHeight="1">
      <c r="A91" s="224" t="s">
        <v>944</v>
      </c>
    </row>
    <row r="92" ht="133.5" customHeight="1">
      <c r="A92" s="216" t="s">
        <v>895</v>
      </c>
    </row>
    <row r="93" ht="137.25" customHeight="1">
      <c r="A93" s="216" t="s">
        <v>896</v>
      </c>
    </row>
    <row r="94" ht="101.25" customHeight="1">
      <c r="A94" s="216" t="s">
        <v>897</v>
      </c>
    </row>
    <row r="95" ht="9.75" customHeight="1">
      <c r="A95" s="224"/>
    </row>
    <row r="96" ht="119.25" customHeight="1">
      <c r="A96" s="216" t="s">
        <v>898</v>
      </c>
    </row>
    <row r="97" ht="117" customHeight="1">
      <c r="A97" s="224" t="s">
        <v>899</v>
      </c>
    </row>
    <row r="98" ht="58.5" customHeight="1">
      <c r="A98" s="224" t="s">
        <v>900</v>
      </c>
    </row>
    <row r="99" ht="21" customHeight="1">
      <c r="A99" s="216" t="s">
        <v>901</v>
      </c>
    </row>
    <row r="100" ht="3.75" customHeight="1"/>
    <row r="101" ht="64.5" customHeight="1">
      <c r="A101" s="216" t="s">
        <v>902</v>
      </c>
    </row>
    <row r="102" ht="22.5" customHeight="1">
      <c r="A102" s="216" t="s">
        <v>903</v>
      </c>
    </row>
    <row r="103" ht="40.5" customHeight="1">
      <c r="A103" s="550" t="s">
        <v>904</v>
      </c>
    </row>
    <row r="104" ht="115.5" customHeight="1">
      <c r="A104" s="550" t="s">
        <v>905</v>
      </c>
    </row>
    <row r="105" ht="116.25" customHeight="1">
      <c r="A105" s="550" t="s">
        <v>906</v>
      </c>
    </row>
    <row r="106" ht="90" customHeight="1">
      <c r="A106" s="216" t="s">
        <v>907</v>
      </c>
    </row>
    <row r="107" ht="74.25" customHeight="1">
      <c r="A107" s="751" t="s">
        <v>908</v>
      </c>
    </row>
    <row r="108" ht="61.5" customHeight="1">
      <c r="A108" s="216" t="s">
        <v>909</v>
      </c>
    </row>
    <row r="109" ht="9" customHeight="1"/>
    <row r="110" ht="78.75" customHeight="1">
      <c r="A110" s="216" t="s">
        <v>910</v>
      </c>
    </row>
    <row r="112" ht="73.5" customHeight="1">
      <c r="A112" s="550" t="s">
        <v>911</v>
      </c>
    </row>
    <row r="113" ht="108" customHeight="1">
      <c r="A113" s="550" t="s">
        <v>912</v>
      </c>
    </row>
    <row r="114" ht="96" customHeight="1">
      <c r="A114" s="550" t="s">
        <v>913</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7">
      <selection activeCell="G25" sqref="G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Valley Township</v>
      </c>
      <c r="C1" s="276"/>
      <c r="D1" s="276"/>
      <c r="E1" s="276"/>
      <c r="F1" s="276"/>
      <c r="G1" s="276"/>
      <c r="H1" s="276"/>
      <c r="I1" s="276"/>
      <c r="J1" s="65"/>
      <c r="K1" s="65"/>
      <c r="L1" s="226">
        <f>inputPrYr!D9</f>
        <v>2013</v>
      </c>
    </row>
    <row r="2" spans="1:12" ht="15.75">
      <c r="A2" s="300"/>
      <c r="B2" s="275" t="str">
        <f>inputPrYr!$D$4</f>
        <v>Rice</v>
      </c>
      <c r="C2" s="276"/>
      <c r="D2" s="276"/>
      <c r="E2" s="276"/>
      <c r="F2" s="276"/>
      <c r="G2" s="276"/>
      <c r="H2" s="276"/>
      <c r="I2" s="276"/>
      <c r="J2" s="65"/>
      <c r="K2" s="65"/>
      <c r="L2" s="211"/>
    </row>
    <row r="3" spans="1:12" ht="15.75">
      <c r="A3" s="300"/>
      <c r="B3" s="810" t="s">
        <v>26</v>
      </c>
      <c r="C3" s="799"/>
      <c r="D3" s="799"/>
      <c r="E3" s="799"/>
      <c r="F3" s="799"/>
      <c r="G3" s="799"/>
      <c r="H3" s="799"/>
      <c r="I3" s="799"/>
      <c r="J3" s="799"/>
      <c r="K3" s="799"/>
      <c r="L3" s="799"/>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0" t="s">
        <v>25</v>
      </c>
      <c r="C18" s="799"/>
      <c r="D18" s="799"/>
      <c r="E18" s="799"/>
      <c r="F18" s="799"/>
      <c r="G18" s="799"/>
      <c r="H18" s="799"/>
      <c r="I18" s="799"/>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t="s">
        <v>953</v>
      </c>
      <c r="C24" s="288">
        <v>40330</v>
      </c>
      <c r="D24" s="307">
        <v>60</v>
      </c>
      <c r="E24" s="289">
        <v>4</v>
      </c>
      <c r="F24" s="171">
        <v>82150</v>
      </c>
      <c r="G24" s="171">
        <v>50000</v>
      </c>
      <c r="H24" s="171">
        <v>18500</v>
      </c>
      <c r="I24" s="171">
        <v>18500</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50000</v>
      </c>
      <c r="H36" s="298">
        <f>SUM(H24:H35)</f>
        <v>18500</v>
      </c>
      <c r="I36" s="298">
        <f>SUM(I24:I35)</f>
        <v>18500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6.5">
      <c r="B1" s="599"/>
      <c r="C1" s="599"/>
      <c r="D1" s="599"/>
      <c r="E1" s="599"/>
      <c r="F1" s="599"/>
      <c r="G1" s="599"/>
      <c r="H1" s="599"/>
      <c r="I1" s="599"/>
    </row>
    <row r="2" spans="2:9" ht="16.5">
      <c r="B2" s="811" t="s">
        <v>814</v>
      </c>
      <c r="C2" s="811"/>
      <c r="D2" s="811"/>
      <c r="E2" s="811"/>
      <c r="F2" s="811"/>
      <c r="G2" s="811"/>
      <c r="H2" s="811"/>
      <c r="I2" s="811"/>
    </row>
    <row r="3" spans="2:9" ht="16.5">
      <c r="B3" s="811" t="s">
        <v>815</v>
      </c>
      <c r="C3" s="811"/>
      <c r="D3" s="811"/>
      <c r="E3" s="811"/>
      <c r="F3" s="811"/>
      <c r="G3" s="811"/>
      <c r="H3" s="811"/>
      <c r="I3" s="811"/>
    </row>
    <row r="4" spans="2:9" ht="16.5">
      <c r="B4" s="601"/>
      <c r="C4" s="601"/>
      <c r="D4" s="601"/>
      <c r="E4" s="601"/>
      <c r="F4" s="601"/>
      <c r="G4" s="601"/>
      <c r="H4" s="601"/>
      <c r="I4" s="601"/>
    </row>
    <row r="5" spans="2:9" ht="16.5">
      <c r="B5" s="812" t="str">
        <f>CONCATENATE("Budgeted Year: ",inputPrYr!D9,"")</f>
        <v>Budgeted Year: 2013</v>
      </c>
      <c r="C5" s="812"/>
      <c r="D5" s="812"/>
      <c r="E5" s="812"/>
      <c r="F5" s="812"/>
      <c r="G5" s="812"/>
      <c r="H5" s="812"/>
      <c r="I5" s="812"/>
    </row>
    <row r="6" spans="2:9" ht="16.5">
      <c r="B6" s="602"/>
      <c r="C6" s="601"/>
      <c r="D6" s="601"/>
      <c r="E6" s="601"/>
      <c r="F6" s="601"/>
      <c r="G6" s="601"/>
      <c r="H6" s="601"/>
      <c r="I6" s="601"/>
    </row>
    <row r="7" spans="2:9" ht="16.5">
      <c r="B7" s="602" t="str">
        <f>CONCATENATE("Library found in: ",inputPrYr!D3,"")</f>
        <v>Library found in: Valley Township</v>
      </c>
      <c r="C7" s="601"/>
      <c r="D7" s="601"/>
      <c r="E7" s="601"/>
      <c r="F7" s="601"/>
      <c r="G7" s="601"/>
      <c r="H7" s="601"/>
      <c r="I7" s="601"/>
    </row>
    <row r="8" spans="2:9" ht="16.5">
      <c r="B8" s="602" t="str">
        <f>inputPrYr!D4</f>
        <v>Rice</v>
      </c>
      <c r="C8" s="601"/>
      <c r="D8" s="601"/>
      <c r="E8" s="601"/>
      <c r="F8" s="601"/>
      <c r="G8" s="601"/>
      <c r="H8" s="601"/>
      <c r="I8" s="601"/>
    </row>
    <row r="9" spans="2:9" ht="16.5">
      <c r="B9" s="601"/>
      <c r="C9" s="601"/>
      <c r="D9" s="601"/>
      <c r="E9" s="601"/>
      <c r="F9" s="601"/>
      <c r="G9" s="601"/>
      <c r="H9" s="601"/>
      <c r="I9" s="601"/>
    </row>
    <row r="10" spans="2:9" ht="39" customHeight="1">
      <c r="B10" s="813" t="s">
        <v>816</v>
      </c>
      <c r="C10" s="813"/>
      <c r="D10" s="813"/>
      <c r="E10" s="813"/>
      <c r="F10" s="813"/>
      <c r="G10" s="813"/>
      <c r="H10" s="813"/>
      <c r="I10" s="813"/>
    </row>
    <row r="11" spans="2:9" ht="16.5">
      <c r="B11" s="601"/>
      <c r="C11" s="601"/>
      <c r="D11" s="601"/>
      <c r="E11" s="601"/>
      <c r="F11" s="601"/>
      <c r="G11" s="601"/>
      <c r="H11" s="601"/>
      <c r="I11" s="601"/>
    </row>
    <row r="12" spans="2:9" ht="16.5">
      <c r="B12" s="603" t="s">
        <v>817</v>
      </c>
      <c r="C12" s="601"/>
      <c r="D12" s="601"/>
      <c r="E12" s="601"/>
      <c r="F12" s="601"/>
      <c r="G12" s="601"/>
      <c r="H12" s="601"/>
      <c r="I12" s="601"/>
    </row>
    <row r="13" spans="2:9" ht="16.5">
      <c r="B13" s="601"/>
      <c r="C13" s="601"/>
      <c r="D13" s="601"/>
      <c r="E13" s="604" t="s">
        <v>276</v>
      </c>
      <c r="F13" s="601"/>
      <c r="G13" s="604" t="s">
        <v>818</v>
      </c>
      <c r="H13" s="601"/>
      <c r="I13" s="601"/>
    </row>
    <row r="14" spans="2:9" ht="16.5">
      <c r="B14" s="601"/>
      <c r="C14" s="601"/>
      <c r="D14" s="601"/>
      <c r="E14" s="605">
        <f>inputPrYr!D9-1</f>
        <v>2012</v>
      </c>
      <c r="F14" s="601"/>
      <c r="G14" s="605">
        <f>inputPrYr!D9</f>
        <v>2013</v>
      </c>
      <c r="H14" s="601"/>
      <c r="I14" s="601"/>
    </row>
    <row r="15" spans="2:9" ht="16.5">
      <c r="B15" s="602" t="str">
        <f>'DebtSvs-Library'!B48</f>
        <v>Ad Valorem Tax</v>
      </c>
      <c r="C15" s="601"/>
      <c r="D15" s="601"/>
      <c r="E15" s="606">
        <f>'DebtSvs-Library'!D48</f>
        <v>0</v>
      </c>
      <c r="F15" s="601"/>
      <c r="G15" s="606">
        <f>'DebtSvs-Library'!E40</f>
        <v>0</v>
      </c>
      <c r="H15" s="601"/>
      <c r="I15" s="601"/>
    </row>
    <row r="16" spans="2:9" ht="16.5">
      <c r="B16" s="602" t="str">
        <f>'DebtSvs-Library'!B49</f>
        <v>Delinquent Tax</v>
      </c>
      <c r="C16" s="601"/>
      <c r="D16" s="601"/>
      <c r="E16" s="606">
        <f>'DebtSvs-Library'!D49</f>
        <v>0</v>
      </c>
      <c r="F16" s="601"/>
      <c r="G16" s="606">
        <f>'DebtSvs-Library'!E49</f>
        <v>0</v>
      </c>
      <c r="H16" s="601"/>
      <c r="I16" s="601"/>
    </row>
    <row r="17" spans="2:9" ht="16.5">
      <c r="B17" s="602" t="str">
        <f>'DebtSvs-Library'!B50</f>
        <v>Motor Vehicle Tax</v>
      </c>
      <c r="C17" s="601"/>
      <c r="D17" s="601"/>
      <c r="E17" s="606">
        <f>'DebtSvs-Library'!D50</f>
        <v>0</v>
      </c>
      <c r="F17" s="601"/>
      <c r="G17" s="606">
        <f>'DebtSvs-Library'!E50</f>
        <v>0</v>
      </c>
      <c r="H17" s="601"/>
      <c r="I17" s="601"/>
    </row>
    <row r="18" spans="2:9" ht="16.5">
      <c r="B18" s="602" t="str">
        <f>'DebtSvs-Library'!B51</f>
        <v>Recreational Vehicle Tax</v>
      </c>
      <c r="C18" s="601"/>
      <c r="D18" s="601"/>
      <c r="E18" s="606">
        <f>'DebtSvs-Library'!D51</f>
        <v>0</v>
      </c>
      <c r="F18" s="601"/>
      <c r="G18" s="606">
        <f>'DebtSvs-Library'!E51</f>
        <v>0</v>
      </c>
      <c r="H18" s="601"/>
      <c r="I18" s="601"/>
    </row>
    <row r="19" spans="2:9" ht="16.5">
      <c r="B19" s="602" t="str">
        <f>'DebtSvs-Library'!B52</f>
        <v>16/20M Vehicle Tax</v>
      </c>
      <c r="C19" s="601"/>
      <c r="D19" s="601"/>
      <c r="E19" s="606">
        <f>'DebtSvs-Library'!D52</f>
        <v>0</v>
      </c>
      <c r="F19" s="601"/>
      <c r="G19" s="606">
        <f>'DebtSvs-Library'!E52</f>
        <v>0</v>
      </c>
      <c r="H19" s="601"/>
      <c r="I19" s="601"/>
    </row>
    <row r="20" spans="2:9" ht="16.5">
      <c r="B20" s="601" t="s">
        <v>113</v>
      </c>
      <c r="C20" s="601"/>
      <c r="D20" s="601"/>
      <c r="E20" s="606">
        <v>0</v>
      </c>
      <c r="F20" s="601"/>
      <c r="G20" s="606">
        <v>0</v>
      </c>
      <c r="H20" s="601"/>
      <c r="I20" s="601"/>
    </row>
    <row r="21" spans="2:9" ht="16.5">
      <c r="B21" s="601"/>
      <c r="C21" s="601"/>
      <c r="D21" s="601"/>
      <c r="E21" s="606">
        <v>0</v>
      </c>
      <c r="F21" s="601"/>
      <c r="G21" s="606">
        <v>0</v>
      </c>
      <c r="H21" s="601"/>
      <c r="I21" s="601"/>
    </row>
    <row r="22" spans="2:9" ht="16.5">
      <c r="B22" s="601" t="s">
        <v>819</v>
      </c>
      <c r="C22" s="601"/>
      <c r="D22" s="601"/>
      <c r="E22" s="607">
        <f>SUM(E15:E21)</f>
        <v>0</v>
      </c>
      <c r="F22" s="601"/>
      <c r="G22" s="607">
        <f>SUM(G15:G21)</f>
        <v>0</v>
      </c>
      <c r="H22" s="601"/>
      <c r="I22" s="601"/>
    </row>
    <row r="23" spans="2:9" ht="16.5">
      <c r="B23" s="601" t="s">
        <v>820</v>
      </c>
      <c r="C23" s="601"/>
      <c r="D23" s="601"/>
      <c r="E23" s="608">
        <f>G22-E22</f>
        <v>0</v>
      </c>
      <c r="F23" s="601"/>
      <c r="G23" s="609"/>
      <c r="H23" s="601"/>
      <c r="I23" s="601"/>
    </row>
    <row r="24" spans="2:9" ht="16.5">
      <c r="B24" s="601" t="s">
        <v>821</v>
      </c>
      <c r="C24" s="601"/>
      <c r="D24" s="610" t="str">
        <f>IF((G22-E22)&gt;0,"Qualify","Not Qualify")</f>
        <v>Not Qualify</v>
      </c>
      <c r="E24" s="601"/>
      <c r="F24" s="601"/>
      <c r="G24" s="601"/>
      <c r="H24" s="601"/>
      <c r="I24" s="601"/>
    </row>
    <row r="25" spans="2:9" ht="16.5">
      <c r="B25" s="601"/>
      <c r="C25" s="601"/>
      <c r="D25" s="601"/>
      <c r="E25" s="601"/>
      <c r="F25" s="601"/>
      <c r="G25" s="601"/>
      <c r="H25" s="601"/>
      <c r="I25" s="601"/>
    </row>
    <row r="26" spans="2:9" ht="16.5">
      <c r="B26" s="603" t="s">
        <v>822</v>
      </c>
      <c r="C26" s="601"/>
      <c r="D26" s="601"/>
      <c r="E26" s="601"/>
      <c r="F26" s="601"/>
      <c r="G26" s="601"/>
      <c r="H26" s="601"/>
      <c r="I26" s="601"/>
    </row>
    <row r="27" spans="2:9" ht="16.5">
      <c r="B27" s="601" t="s">
        <v>823</v>
      </c>
      <c r="C27" s="601"/>
      <c r="D27" s="601"/>
      <c r="E27" s="606">
        <f>summ!D40</f>
        <v>6393722</v>
      </c>
      <c r="F27" s="601"/>
      <c r="G27" s="606">
        <f>summ!F40</f>
        <v>5249736</v>
      </c>
      <c r="H27" s="601"/>
      <c r="I27" s="601"/>
    </row>
    <row r="28" spans="2:9" ht="16.5">
      <c r="B28" s="601" t="s">
        <v>824</v>
      </c>
      <c r="C28" s="601"/>
      <c r="D28" s="601"/>
      <c r="E28" s="611" t="str">
        <f>IF(G27-E27&gt;0,"No","Yes")</f>
        <v>Yes</v>
      </c>
      <c r="F28" s="601"/>
      <c r="G28" s="601"/>
      <c r="H28" s="601"/>
      <c r="I28" s="601"/>
    </row>
    <row r="29" spans="2:9" ht="16.5">
      <c r="B29" s="601" t="s">
        <v>825</v>
      </c>
      <c r="C29" s="601"/>
      <c r="D29" s="601"/>
      <c r="E29" s="612">
        <f>summ!E36</f>
        <v>11.981</v>
      </c>
      <c r="F29" s="601"/>
      <c r="G29" s="612">
        <f>summ!H36</f>
        <v>11.098</v>
      </c>
      <c r="H29" s="601"/>
      <c r="I29" s="601"/>
    </row>
    <row r="30" spans="2:9" ht="16.5">
      <c r="B30" s="601" t="s">
        <v>826</v>
      </c>
      <c r="C30" s="601"/>
      <c r="D30" s="601"/>
      <c r="E30" s="613">
        <f>G29-E29</f>
        <v>-0.8829999999999991</v>
      </c>
      <c r="F30" s="601"/>
      <c r="G30" s="601"/>
      <c r="H30" s="601"/>
      <c r="I30" s="601"/>
    </row>
    <row r="31" spans="2:9" ht="16.5">
      <c r="B31" s="601" t="s">
        <v>821</v>
      </c>
      <c r="C31" s="601"/>
      <c r="D31" s="614" t="str">
        <f>IF(E30&gt;=0,"Qualify","Not Qualify")</f>
        <v>Not Qualify</v>
      </c>
      <c r="E31" s="601"/>
      <c r="F31" s="601"/>
      <c r="G31" s="601"/>
      <c r="H31" s="601"/>
      <c r="I31" s="601"/>
    </row>
    <row r="32" spans="2:9" ht="16.5">
      <c r="B32" s="601"/>
      <c r="C32" s="601"/>
      <c r="D32" s="601"/>
      <c r="E32" s="601"/>
      <c r="F32" s="601"/>
      <c r="G32" s="601"/>
      <c r="H32" s="601"/>
      <c r="I32" s="601"/>
    </row>
    <row r="33" spans="2:9" ht="16.5">
      <c r="B33" s="601" t="s">
        <v>827</v>
      </c>
      <c r="C33" s="601"/>
      <c r="D33" s="601"/>
      <c r="E33" s="601"/>
      <c r="F33" s="615" t="str">
        <f>IF(D24="Not Qualify",IF(D31="Not Qualify",IF(D31="Not Qualify","Not Qualify","Qualify"),"Qualify"),"Qualify")</f>
        <v>Not Qualify</v>
      </c>
      <c r="G33" s="601"/>
      <c r="H33" s="601"/>
      <c r="I33" s="601"/>
    </row>
    <row r="34" spans="2:9" ht="16.5">
      <c r="B34" s="601"/>
      <c r="C34" s="601"/>
      <c r="D34" s="601"/>
      <c r="E34" s="601"/>
      <c r="F34" s="601"/>
      <c r="G34" s="601"/>
      <c r="H34" s="601"/>
      <c r="I34" s="601"/>
    </row>
    <row r="35" spans="2:9" ht="16.5">
      <c r="B35" s="601"/>
      <c r="C35" s="601"/>
      <c r="D35" s="601"/>
      <c r="E35" s="601"/>
      <c r="F35" s="601"/>
      <c r="G35" s="601"/>
      <c r="H35" s="601"/>
      <c r="I35" s="601"/>
    </row>
    <row r="36" spans="2:9" ht="37.5" customHeight="1">
      <c r="B36" s="813" t="s">
        <v>828</v>
      </c>
      <c r="C36" s="813"/>
      <c r="D36" s="813"/>
      <c r="E36" s="813"/>
      <c r="F36" s="813"/>
      <c r="G36" s="813"/>
      <c r="H36" s="813"/>
      <c r="I36" s="813"/>
    </row>
    <row r="37" spans="2:9" ht="16.5">
      <c r="B37" s="601"/>
      <c r="C37" s="601"/>
      <c r="D37" s="601"/>
      <c r="E37" s="601"/>
      <c r="F37" s="601"/>
      <c r="G37" s="601"/>
      <c r="H37" s="601"/>
      <c r="I37" s="601"/>
    </row>
    <row r="38" spans="2:9" ht="16.5">
      <c r="B38" s="601"/>
      <c r="C38" s="601"/>
      <c r="D38" s="601"/>
      <c r="E38" s="601"/>
      <c r="F38" s="601"/>
      <c r="G38" s="601"/>
      <c r="H38" s="601"/>
      <c r="I38" s="601"/>
    </row>
    <row r="39" spans="2:9" ht="16.5">
      <c r="B39" s="601"/>
      <c r="C39" s="601"/>
      <c r="D39" s="601"/>
      <c r="E39" s="601"/>
      <c r="F39" s="601"/>
      <c r="G39" s="601"/>
      <c r="H39" s="601"/>
      <c r="I39" s="601"/>
    </row>
    <row r="40" spans="2:9" ht="16.5">
      <c r="B40" s="601"/>
      <c r="C40" s="601"/>
      <c r="D40" s="601"/>
      <c r="E40" s="616" t="s">
        <v>829</v>
      </c>
      <c r="F40" s="617">
        <v>6</v>
      </c>
      <c r="G40" s="601"/>
      <c r="H40" s="601"/>
      <c r="I40" s="601"/>
    </row>
    <row r="41" spans="2:9" ht="16.5">
      <c r="B41" s="601"/>
      <c r="C41" s="601"/>
      <c r="D41" s="601"/>
      <c r="E41" s="601"/>
      <c r="F41" s="601"/>
      <c r="G41" s="601"/>
      <c r="H41" s="601"/>
      <c r="I41" s="601"/>
    </row>
    <row r="42" spans="2:9" ht="16.5">
      <c r="B42" s="601"/>
      <c r="C42" s="601"/>
      <c r="D42" s="601"/>
      <c r="E42" s="601"/>
      <c r="F42" s="601"/>
      <c r="G42" s="601"/>
      <c r="H42" s="601"/>
      <c r="I42" s="601"/>
    </row>
    <row r="43" spans="2:9" ht="16.5">
      <c r="B43" s="814" t="s">
        <v>830</v>
      </c>
      <c r="C43" s="815"/>
      <c r="D43" s="815"/>
      <c r="E43" s="815"/>
      <c r="F43" s="815"/>
      <c r="G43" s="815"/>
      <c r="H43" s="815"/>
      <c r="I43" s="815"/>
    </row>
    <row r="44" spans="2:9" ht="16.5">
      <c r="B44" s="601"/>
      <c r="C44" s="601"/>
      <c r="D44" s="601"/>
      <c r="E44" s="601"/>
      <c r="F44" s="601"/>
      <c r="G44" s="601"/>
      <c r="H44" s="601"/>
      <c r="I44" s="601"/>
    </row>
    <row r="45" spans="2:9" ht="16.5">
      <c r="B45" s="618" t="s">
        <v>831</v>
      </c>
      <c r="C45" s="601"/>
      <c r="D45" s="601"/>
      <c r="E45" s="601"/>
      <c r="F45" s="601"/>
      <c r="G45" s="601"/>
      <c r="H45" s="601"/>
      <c r="I45" s="601"/>
    </row>
    <row r="46" spans="2:9" ht="16.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6.5">
      <c r="B47" s="618" t="str">
        <f>CONCATENATE("sources in ",E14,".")</f>
        <v>sources in 2012.</v>
      </c>
      <c r="C47" s="599"/>
      <c r="D47" s="599"/>
      <c r="E47" s="599"/>
      <c r="F47" s="599"/>
      <c r="G47" s="599"/>
      <c r="H47" s="599"/>
      <c r="I47" s="599"/>
    </row>
    <row r="48" spans="2:9" ht="16.5">
      <c r="B48" s="599"/>
      <c r="C48" s="599"/>
      <c r="D48" s="599"/>
      <c r="E48" s="599"/>
      <c r="F48" s="599"/>
      <c r="G48" s="599"/>
      <c r="H48" s="599"/>
      <c r="I48" s="599"/>
    </row>
    <row r="49" spans="2:9" ht="16.5">
      <c r="B49" s="618" t="s">
        <v>832</v>
      </c>
      <c r="C49" s="618"/>
      <c r="D49" s="619"/>
      <c r="E49" s="619"/>
      <c r="F49" s="619"/>
      <c r="G49" s="619"/>
      <c r="H49" s="619"/>
      <c r="I49" s="619"/>
    </row>
    <row r="50" spans="2:9" ht="16.5">
      <c r="B50" s="618" t="s">
        <v>833</v>
      </c>
      <c r="C50" s="618"/>
      <c r="D50" s="619"/>
      <c r="E50" s="619"/>
      <c r="F50" s="619"/>
      <c r="G50" s="619"/>
      <c r="H50" s="619"/>
      <c r="I50" s="619"/>
    </row>
    <row r="51" spans="2:9" ht="16.5">
      <c r="B51" s="618" t="s">
        <v>834</v>
      </c>
      <c r="C51" s="618"/>
      <c r="D51" s="619"/>
      <c r="E51" s="619"/>
      <c r="F51" s="619"/>
      <c r="G51" s="619"/>
      <c r="H51" s="619"/>
      <c r="I51" s="619"/>
    </row>
    <row r="52" spans="2:9" ht="16.5">
      <c r="B52" s="619"/>
      <c r="C52" s="619"/>
      <c r="D52" s="619"/>
      <c r="E52" s="619"/>
      <c r="F52" s="619"/>
      <c r="G52" s="619"/>
      <c r="H52" s="619"/>
      <c r="I52" s="619"/>
    </row>
    <row r="53" spans="2:9" ht="16.5">
      <c r="B53" s="620" t="s">
        <v>835</v>
      </c>
      <c r="C53" s="619"/>
      <c r="D53" s="619"/>
      <c r="E53" s="619"/>
      <c r="F53" s="619"/>
      <c r="G53" s="619"/>
      <c r="H53" s="619"/>
      <c r="I53" s="619"/>
    </row>
    <row r="54" spans="2:9" ht="16.5">
      <c r="B54" s="619"/>
      <c r="C54" s="619"/>
      <c r="D54" s="619"/>
      <c r="E54" s="619"/>
      <c r="F54" s="619"/>
      <c r="G54" s="619"/>
      <c r="H54" s="619"/>
      <c r="I54" s="619"/>
    </row>
    <row r="55" spans="2:9" ht="16.5">
      <c r="B55" s="618" t="s">
        <v>836</v>
      </c>
      <c r="C55" s="619"/>
      <c r="D55" s="619"/>
      <c r="E55" s="619"/>
      <c r="F55" s="619"/>
      <c r="G55" s="619"/>
      <c r="H55" s="619"/>
      <c r="I55" s="619"/>
    </row>
    <row r="56" spans="2:9" ht="16.5">
      <c r="B56" s="618" t="s">
        <v>837</v>
      </c>
      <c r="C56" s="619"/>
      <c r="D56" s="619"/>
      <c r="E56" s="619"/>
      <c r="F56" s="619"/>
      <c r="G56" s="619"/>
      <c r="H56" s="619"/>
      <c r="I56" s="619"/>
    </row>
    <row r="57" spans="2:9" ht="16.5">
      <c r="B57" s="619"/>
      <c r="C57" s="619"/>
      <c r="D57" s="619"/>
      <c r="E57" s="619"/>
      <c r="F57" s="619"/>
      <c r="G57" s="619"/>
      <c r="H57" s="619"/>
      <c r="I57" s="619"/>
    </row>
    <row r="58" spans="2:9" ht="16.5">
      <c r="B58" s="620" t="s">
        <v>838</v>
      </c>
      <c r="C58" s="618"/>
      <c r="D58" s="618"/>
      <c r="E58" s="618"/>
      <c r="F58" s="618"/>
      <c r="G58" s="619"/>
      <c r="H58" s="619"/>
      <c r="I58" s="619"/>
    </row>
    <row r="59" spans="2:9" ht="16.5">
      <c r="B59" s="618"/>
      <c r="C59" s="618"/>
      <c r="D59" s="618"/>
      <c r="E59" s="618"/>
      <c r="F59" s="618"/>
      <c r="G59" s="619"/>
      <c r="H59" s="619"/>
      <c r="I59" s="619"/>
    </row>
    <row r="60" spans="2:9" ht="16.5">
      <c r="B60" s="618" t="s">
        <v>839</v>
      </c>
      <c r="C60" s="618"/>
      <c r="D60" s="618"/>
      <c r="E60" s="618"/>
      <c r="F60" s="618"/>
      <c r="G60" s="619"/>
      <c r="H60" s="619"/>
      <c r="I60" s="619"/>
    </row>
    <row r="61" spans="2:9" ht="16.5">
      <c r="B61" s="618" t="s">
        <v>840</v>
      </c>
      <c r="C61" s="618"/>
      <c r="D61" s="618"/>
      <c r="E61" s="618"/>
      <c r="F61" s="618"/>
      <c r="G61" s="619"/>
      <c r="H61" s="619"/>
      <c r="I61" s="619"/>
    </row>
    <row r="62" spans="2:9" ht="16.5">
      <c r="B62" s="618" t="s">
        <v>841</v>
      </c>
      <c r="C62" s="618"/>
      <c r="D62" s="618"/>
      <c r="E62" s="618"/>
      <c r="F62" s="618"/>
      <c r="G62" s="619"/>
      <c r="H62" s="619"/>
      <c r="I62" s="619"/>
    </row>
    <row r="63" spans="2:9" ht="16.5">
      <c r="B63" s="618" t="s">
        <v>842</v>
      </c>
      <c r="C63" s="618"/>
      <c r="D63" s="618"/>
      <c r="E63" s="618"/>
      <c r="F63" s="618"/>
      <c r="G63" s="619"/>
      <c r="H63" s="619"/>
      <c r="I63" s="619"/>
    </row>
    <row r="64" spans="2:9" ht="16.5">
      <c r="B64" s="621"/>
      <c r="C64" s="621"/>
      <c r="D64" s="621"/>
      <c r="E64" s="621"/>
      <c r="F64" s="621"/>
      <c r="G64" s="619"/>
      <c r="H64" s="619"/>
      <c r="I64" s="619"/>
    </row>
    <row r="65" spans="2:9" ht="16.5">
      <c r="B65" s="618" t="s">
        <v>843</v>
      </c>
      <c r="C65" s="621"/>
      <c r="D65" s="621"/>
      <c r="E65" s="621"/>
      <c r="F65" s="621"/>
      <c r="G65" s="619"/>
      <c r="H65" s="619"/>
      <c r="I65" s="619"/>
    </row>
    <row r="66" spans="2:9" ht="16.5">
      <c r="B66" s="618" t="s">
        <v>844</v>
      </c>
      <c r="C66" s="621"/>
      <c r="D66" s="621"/>
      <c r="E66" s="621"/>
      <c r="F66" s="621"/>
      <c r="G66" s="619"/>
      <c r="H66" s="619"/>
      <c r="I66" s="619"/>
    </row>
    <row r="67" spans="2:9" ht="16.5">
      <c r="B67" s="621"/>
      <c r="C67" s="621"/>
      <c r="D67" s="621"/>
      <c r="E67" s="621"/>
      <c r="F67" s="621"/>
      <c r="G67" s="619"/>
      <c r="H67" s="619"/>
      <c r="I67" s="619"/>
    </row>
    <row r="68" spans="2:9" ht="16.5">
      <c r="B68" s="618" t="s">
        <v>845</v>
      </c>
      <c r="C68" s="621"/>
      <c r="D68" s="621"/>
      <c r="E68" s="621"/>
      <c r="F68" s="621"/>
      <c r="G68" s="619"/>
      <c r="H68" s="619"/>
      <c r="I68" s="619"/>
    </row>
    <row r="69" spans="2:9" ht="16.5">
      <c r="B69" s="618" t="s">
        <v>846</v>
      </c>
      <c r="C69" s="621"/>
      <c r="D69" s="621"/>
      <c r="E69" s="621"/>
      <c r="F69" s="621"/>
      <c r="G69" s="619"/>
      <c r="H69" s="619"/>
      <c r="I69" s="619"/>
    </row>
    <row r="70" spans="2:9" ht="16.5">
      <c r="B70" s="621"/>
      <c r="C70" s="621"/>
      <c r="D70" s="621"/>
      <c r="E70" s="621"/>
      <c r="F70" s="621"/>
      <c r="G70" s="619"/>
      <c r="H70" s="619"/>
      <c r="I70" s="619"/>
    </row>
    <row r="71" spans="2:9" ht="16.5">
      <c r="B71" s="620" t="s">
        <v>847</v>
      </c>
      <c r="C71" s="621"/>
      <c r="D71" s="621"/>
      <c r="E71" s="621"/>
      <c r="F71" s="621"/>
      <c r="G71" s="619"/>
      <c r="H71" s="619"/>
      <c r="I71" s="619"/>
    </row>
    <row r="72" spans="2:9" ht="16.5">
      <c r="B72" s="621"/>
      <c r="C72" s="621"/>
      <c r="D72" s="621"/>
      <c r="E72" s="621"/>
      <c r="F72" s="621"/>
      <c r="G72" s="619"/>
      <c r="H72" s="619"/>
      <c r="I72" s="619"/>
    </row>
    <row r="73" spans="2:9" ht="16.5">
      <c r="B73" s="618" t="s">
        <v>848</v>
      </c>
      <c r="C73" s="621"/>
      <c r="D73" s="621"/>
      <c r="E73" s="621"/>
      <c r="F73" s="621"/>
      <c r="G73" s="619"/>
      <c r="H73" s="619"/>
      <c r="I73" s="619"/>
    </row>
    <row r="74" spans="2:9" ht="16.5">
      <c r="B74" s="618" t="s">
        <v>849</v>
      </c>
      <c r="C74" s="621"/>
      <c r="D74" s="621"/>
      <c r="E74" s="621"/>
      <c r="F74" s="621"/>
      <c r="G74" s="619"/>
      <c r="H74" s="619"/>
      <c r="I74" s="619"/>
    </row>
    <row r="75" spans="2:9" ht="16.5">
      <c r="B75" s="621"/>
      <c r="C75" s="621"/>
      <c r="D75" s="621"/>
      <c r="E75" s="621"/>
      <c r="F75" s="621"/>
      <c r="G75" s="619"/>
      <c r="H75" s="619"/>
      <c r="I75" s="619"/>
    </row>
    <row r="76" spans="2:9" ht="16.5">
      <c r="B76" s="620" t="s">
        <v>850</v>
      </c>
      <c r="C76" s="621"/>
      <c r="D76" s="621"/>
      <c r="E76" s="621"/>
      <c r="F76" s="621"/>
      <c r="G76" s="619"/>
      <c r="H76" s="619"/>
      <c r="I76" s="619"/>
    </row>
    <row r="77" spans="2:9" ht="16.5">
      <c r="B77" s="621"/>
      <c r="C77" s="621"/>
      <c r="D77" s="621"/>
      <c r="E77" s="621"/>
      <c r="F77" s="621"/>
      <c r="G77" s="619"/>
      <c r="H77" s="619"/>
      <c r="I77" s="619"/>
    </row>
    <row r="78" spans="2:9" ht="16.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6.5">
      <c r="B79" s="618" t="s">
        <v>851</v>
      </c>
      <c r="C79" s="621"/>
      <c r="D79" s="621"/>
      <c r="E79" s="621"/>
      <c r="F79" s="621"/>
      <c r="G79" s="619"/>
      <c r="H79" s="619"/>
      <c r="I79" s="619"/>
    </row>
    <row r="80" spans="2:9" ht="16.5">
      <c r="B80" s="621"/>
      <c r="C80" s="621"/>
      <c r="D80" s="621"/>
      <c r="E80" s="621"/>
      <c r="F80" s="621"/>
      <c r="G80" s="619"/>
      <c r="H80" s="619"/>
      <c r="I80" s="619"/>
    </row>
    <row r="81" spans="2:9" ht="16.5">
      <c r="B81" s="620" t="s">
        <v>423</v>
      </c>
      <c r="C81" s="621"/>
      <c r="D81" s="621"/>
      <c r="E81" s="621"/>
      <c r="F81" s="621"/>
      <c r="G81" s="619"/>
      <c r="H81" s="619"/>
      <c r="I81" s="619"/>
    </row>
    <row r="82" spans="2:9" ht="16.5">
      <c r="B82" s="621"/>
      <c r="C82" s="621"/>
      <c r="D82" s="621"/>
      <c r="E82" s="621"/>
      <c r="F82" s="621"/>
      <c r="G82" s="619"/>
      <c r="H82" s="619"/>
      <c r="I82" s="619"/>
    </row>
    <row r="83" spans="2:9" ht="16.5">
      <c r="B83" s="618" t="s">
        <v>852</v>
      </c>
      <c r="C83" s="621"/>
      <c r="D83" s="621"/>
      <c r="E83" s="621"/>
      <c r="F83" s="621"/>
      <c r="G83" s="619"/>
      <c r="H83" s="619"/>
      <c r="I83" s="619"/>
    </row>
    <row r="84" spans="2:9" ht="16.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6.5">
      <c r="B85" s="621"/>
      <c r="C85" s="621"/>
      <c r="D85" s="621"/>
      <c r="E85" s="621"/>
      <c r="F85" s="621"/>
      <c r="G85" s="619"/>
      <c r="H85" s="619"/>
      <c r="I85" s="619"/>
    </row>
    <row r="86" spans="2:9" ht="16.5">
      <c r="B86" s="618" t="s">
        <v>853</v>
      </c>
      <c r="C86" s="621"/>
      <c r="D86" s="621"/>
      <c r="E86" s="621"/>
      <c r="F86" s="621"/>
      <c r="G86" s="619"/>
      <c r="H86" s="619"/>
      <c r="I86" s="619"/>
    </row>
    <row r="87" spans="2:9" ht="16.5">
      <c r="B87" s="618" t="s">
        <v>854</v>
      </c>
      <c r="C87" s="621"/>
      <c r="D87" s="621"/>
      <c r="E87" s="621"/>
      <c r="F87" s="621"/>
      <c r="G87" s="619"/>
      <c r="H87" s="619"/>
      <c r="I87" s="619"/>
    </row>
    <row r="88" spans="2:9" ht="16.5">
      <c r="B88" s="618" t="s">
        <v>855</v>
      </c>
      <c r="C88" s="621"/>
      <c r="D88" s="621"/>
      <c r="E88" s="621"/>
      <c r="F88" s="621"/>
      <c r="G88" s="619"/>
      <c r="H88" s="619"/>
      <c r="I88" s="619"/>
    </row>
    <row r="89" spans="2:9" ht="16.5">
      <c r="B89" s="618" t="str">
        <f>CONCATENATE("purpose for the previous (",E14,") year.")</f>
        <v>purpose for the previous (2012) year.</v>
      </c>
      <c r="C89" s="621"/>
      <c r="D89" s="621"/>
      <c r="E89" s="621"/>
      <c r="F89" s="621"/>
      <c r="G89" s="619"/>
      <c r="H89" s="619"/>
      <c r="I89" s="619"/>
    </row>
    <row r="90" spans="2:9" ht="16.5">
      <c r="B90" s="621"/>
      <c r="C90" s="621"/>
      <c r="D90" s="621"/>
      <c r="E90" s="621"/>
      <c r="F90" s="621"/>
      <c r="G90" s="619"/>
      <c r="H90" s="619"/>
      <c r="I90" s="619"/>
    </row>
    <row r="91" spans="2:9" ht="16.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6.5">
      <c r="B92" s="618" t="s">
        <v>856</v>
      </c>
      <c r="C92" s="621"/>
      <c r="D92" s="621"/>
      <c r="E92" s="621"/>
      <c r="F92" s="621"/>
      <c r="G92" s="619"/>
      <c r="H92" s="619"/>
      <c r="I92" s="619"/>
    </row>
    <row r="93" spans="2:9" ht="16.5">
      <c r="B93" s="618" t="s">
        <v>857</v>
      </c>
      <c r="C93" s="621"/>
      <c r="D93" s="621"/>
      <c r="E93" s="621"/>
      <c r="F93" s="621"/>
      <c r="G93" s="619"/>
      <c r="H93" s="619"/>
      <c r="I93" s="619"/>
    </row>
    <row r="94" spans="2:9" ht="16.5">
      <c r="B94" s="618" t="s">
        <v>858</v>
      </c>
      <c r="C94" s="621"/>
      <c r="D94" s="621"/>
      <c r="E94" s="621"/>
      <c r="F94" s="621"/>
      <c r="G94" s="619"/>
      <c r="H94" s="619"/>
      <c r="I94" s="619"/>
    </row>
    <row r="95" spans="2:9" ht="16.5">
      <c r="B95" s="621"/>
      <c r="C95" s="621"/>
      <c r="D95" s="621"/>
      <c r="E95" s="621"/>
      <c r="F95" s="621"/>
      <c r="G95" s="619"/>
      <c r="H95" s="619"/>
      <c r="I95" s="619"/>
    </row>
    <row r="96" spans="2:9" ht="16.5">
      <c r="B96" s="620" t="s">
        <v>859</v>
      </c>
      <c r="C96" s="621"/>
      <c r="D96" s="621"/>
      <c r="E96" s="621"/>
      <c r="F96" s="621"/>
      <c r="G96" s="619"/>
      <c r="H96" s="619"/>
      <c r="I96" s="619"/>
    </row>
    <row r="97" spans="2:9" ht="16.5">
      <c r="B97" s="621"/>
      <c r="C97" s="621"/>
      <c r="D97" s="621"/>
      <c r="E97" s="621"/>
      <c r="F97" s="621"/>
      <c r="G97" s="619"/>
      <c r="H97" s="619"/>
      <c r="I97" s="619"/>
    </row>
    <row r="98" spans="2:9" ht="16.5">
      <c r="B98" s="618" t="s">
        <v>860</v>
      </c>
      <c r="C98" s="621"/>
      <c r="D98" s="621"/>
      <c r="E98" s="621"/>
      <c r="F98" s="621"/>
      <c r="G98" s="619"/>
      <c r="H98" s="619"/>
      <c r="I98" s="619"/>
    </row>
    <row r="99" spans="2:9" ht="16.5">
      <c r="B99" s="618" t="s">
        <v>861</v>
      </c>
      <c r="C99" s="621"/>
      <c r="D99" s="621"/>
      <c r="E99" s="621"/>
      <c r="F99" s="621"/>
      <c r="G99" s="619"/>
      <c r="H99" s="619"/>
      <c r="I99" s="619"/>
    </row>
    <row r="100" spans="2:9" ht="16.5">
      <c r="B100" s="621"/>
      <c r="C100" s="621"/>
      <c r="D100" s="621"/>
      <c r="E100" s="621"/>
      <c r="F100" s="621"/>
      <c r="G100" s="619"/>
      <c r="H100" s="619"/>
      <c r="I100" s="619"/>
    </row>
    <row r="101" spans="2:9" ht="16.5">
      <c r="B101" s="618" t="s">
        <v>862</v>
      </c>
      <c r="C101" s="621"/>
      <c r="D101" s="621"/>
      <c r="E101" s="621"/>
      <c r="F101" s="621"/>
      <c r="G101" s="619"/>
      <c r="H101" s="619"/>
      <c r="I101" s="619"/>
    </row>
    <row r="102" spans="2:9" ht="16.5">
      <c r="B102" s="618" t="s">
        <v>863</v>
      </c>
      <c r="C102" s="621"/>
      <c r="D102" s="621"/>
      <c r="E102" s="621"/>
      <c r="F102" s="621"/>
      <c r="G102" s="619"/>
      <c r="H102" s="619"/>
      <c r="I102" s="619"/>
    </row>
    <row r="103" spans="2:9" ht="16.5">
      <c r="B103" s="618" t="s">
        <v>864</v>
      </c>
      <c r="C103" s="621"/>
      <c r="D103" s="621"/>
      <c r="E103" s="621"/>
      <c r="F103" s="621"/>
      <c r="G103" s="619"/>
      <c r="H103" s="619"/>
      <c r="I103" s="619"/>
    </row>
    <row r="104" spans="2:9" ht="16.5">
      <c r="B104" s="618" t="s">
        <v>865</v>
      </c>
      <c r="C104" s="621"/>
      <c r="D104" s="621"/>
      <c r="E104" s="621"/>
      <c r="F104" s="621"/>
      <c r="G104" s="619"/>
      <c r="H104" s="619"/>
      <c r="I104" s="619"/>
    </row>
    <row r="105" spans="2:9" ht="16.5">
      <c r="B105" s="622" t="s">
        <v>866</v>
      </c>
      <c r="C105" s="621"/>
      <c r="D105" s="621"/>
      <c r="E105" s="621"/>
      <c r="F105" s="621"/>
      <c r="G105" s="619"/>
      <c r="H105" s="619"/>
      <c r="I105" s="619"/>
    </row>
    <row r="108" ht="16.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39" sqref="E39"/>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Valley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5900</v>
      </c>
      <c r="D6" s="395">
        <f>C51</f>
        <v>9639</v>
      </c>
      <c r="E6" s="262">
        <f>D51</f>
        <v>6053</v>
      </c>
    </row>
    <row r="7" spans="2:5" ht="15.75">
      <c r="B7" s="80" t="s">
        <v>72</v>
      </c>
      <c r="C7" s="395"/>
      <c r="D7" s="395"/>
      <c r="E7" s="316"/>
    </row>
    <row r="8" spans="2:5" ht="15.75">
      <c r="B8" s="80" t="s">
        <v>280</v>
      </c>
      <c r="C8" s="314">
        <v>9510</v>
      </c>
      <c r="D8" s="395">
        <f>IF(inputPrYr!H19&gt;0,inputPrYr!G20,inputPrYr!E20)</f>
        <v>11075</v>
      </c>
      <c r="E8" s="316" t="s">
        <v>259</v>
      </c>
    </row>
    <row r="9" spans="2:5" ht="15.75">
      <c r="B9" s="80" t="s">
        <v>281</v>
      </c>
      <c r="C9" s="314">
        <v>71</v>
      </c>
      <c r="D9" s="314"/>
      <c r="E9" s="171"/>
    </row>
    <row r="10" spans="2:5" ht="15.75">
      <c r="B10" s="80" t="s">
        <v>282</v>
      </c>
      <c r="C10" s="314">
        <v>139</v>
      </c>
      <c r="D10" s="314">
        <v>340</v>
      </c>
      <c r="E10" s="262">
        <f>mvalloc!G11</f>
        <v>316</v>
      </c>
    </row>
    <row r="11" spans="2:5" ht="15.75">
      <c r="B11" s="80" t="s">
        <v>283</v>
      </c>
      <c r="C11" s="314">
        <v>5</v>
      </c>
      <c r="D11" s="314">
        <v>8</v>
      </c>
      <c r="E11" s="262">
        <f>mvalloc!I11</f>
        <v>5</v>
      </c>
    </row>
    <row r="12" spans="2:5" ht="15.75">
      <c r="B12" s="317" t="s">
        <v>21</v>
      </c>
      <c r="C12" s="314">
        <v>16</v>
      </c>
      <c r="D12" s="314">
        <v>2</v>
      </c>
      <c r="E12" s="262">
        <f>mvalloc!J11</f>
        <v>44</v>
      </c>
    </row>
    <row r="13" spans="2:5" ht="15.75">
      <c r="B13" s="317" t="s">
        <v>113</v>
      </c>
      <c r="C13" s="314"/>
      <c r="D13" s="314"/>
      <c r="E13" s="262">
        <f>inputOth!E71</f>
        <v>0</v>
      </c>
    </row>
    <row r="14" spans="2:5" ht="15.75">
      <c r="B14" s="80" t="s">
        <v>284</v>
      </c>
      <c r="C14" s="314">
        <v>141</v>
      </c>
      <c r="D14" s="314">
        <v>139</v>
      </c>
      <c r="E14" s="262">
        <f>inputOth!E32</f>
        <v>108</v>
      </c>
    </row>
    <row r="15" spans="2:5" ht="15.75">
      <c r="B15" s="319" t="s">
        <v>949</v>
      </c>
      <c r="C15" s="314">
        <v>309</v>
      </c>
      <c r="D15" s="314"/>
      <c r="E15" s="171"/>
    </row>
    <row r="16" spans="2:5" ht="15.75">
      <c r="B16" s="318" t="s">
        <v>950</v>
      </c>
      <c r="C16" s="314">
        <v>1544</v>
      </c>
      <c r="D16" s="314"/>
      <c r="E16" s="171"/>
    </row>
    <row r="17" spans="2:5" ht="15.75">
      <c r="B17" s="318" t="s">
        <v>951</v>
      </c>
      <c r="C17" s="314">
        <v>550</v>
      </c>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v>176</v>
      </c>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12461</v>
      </c>
      <c r="D26" s="398">
        <f>SUM(D8:D24)</f>
        <v>11564</v>
      </c>
      <c r="E26" s="323">
        <f>SUM(E8:E24)</f>
        <v>473</v>
      </c>
    </row>
    <row r="27" spans="2:5" ht="15.75">
      <c r="B27" s="98" t="s">
        <v>288</v>
      </c>
      <c r="C27" s="398">
        <f>C26+C6</f>
        <v>18361</v>
      </c>
      <c r="D27" s="398">
        <f>D26+D6</f>
        <v>21203</v>
      </c>
      <c r="E27" s="323">
        <f>E26+E6</f>
        <v>6526</v>
      </c>
    </row>
    <row r="28" spans="2:5" ht="15.75">
      <c r="B28" s="80" t="s">
        <v>289</v>
      </c>
      <c r="C28" s="395"/>
      <c r="D28" s="395"/>
      <c r="E28" s="262"/>
    </row>
    <row r="29" spans="2:5" ht="15.75">
      <c r="B29" s="318"/>
      <c r="C29" s="314"/>
      <c r="D29" s="314"/>
      <c r="E29" s="171"/>
    </row>
    <row r="30" spans="2:5" ht="15.75">
      <c r="B30" s="319" t="s">
        <v>53</v>
      </c>
      <c r="C30" s="314">
        <v>618</v>
      </c>
      <c r="D30" s="314">
        <v>900</v>
      </c>
      <c r="E30" s="171">
        <v>900</v>
      </c>
    </row>
    <row r="31" spans="2:5" ht="15.75">
      <c r="B31" s="319" t="s">
        <v>77</v>
      </c>
      <c r="C31" s="314">
        <v>0</v>
      </c>
      <c r="D31" s="314">
        <v>0</v>
      </c>
      <c r="E31" s="171">
        <v>0</v>
      </c>
    </row>
    <row r="32" spans="2:5" ht="15.75">
      <c r="B32" s="319" t="s">
        <v>54</v>
      </c>
      <c r="C32" s="314">
        <v>1164</v>
      </c>
      <c r="D32" s="314">
        <v>0</v>
      </c>
      <c r="E32" s="171">
        <v>0</v>
      </c>
    </row>
    <row r="33" spans="2:5" ht="15.75">
      <c r="B33" s="319" t="s">
        <v>300</v>
      </c>
      <c r="C33" s="314">
        <v>157</v>
      </c>
      <c r="D33" s="314">
        <v>500</v>
      </c>
      <c r="E33" s="171">
        <v>250</v>
      </c>
    </row>
    <row r="34" spans="2:5" ht="15.75">
      <c r="B34" s="318" t="s">
        <v>55</v>
      </c>
      <c r="C34" s="314">
        <v>0</v>
      </c>
      <c r="D34" s="314">
        <v>3000</v>
      </c>
      <c r="E34" s="171">
        <v>1500</v>
      </c>
    </row>
    <row r="35" spans="2:5" ht="15.75">
      <c r="B35" s="318" t="s">
        <v>78</v>
      </c>
      <c r="C35" s="314">
        <v>2018</v>
      </c>
      <c r="D35" s="314">
        <v>3000</v>
      </c>
      <c r="E35" s="171">
        <v>2500</v>
      </c>
    </row>
    <row r="36" spans="2:5" ht="15.75">
      <c r="B36" s="319" t="s">
        <v>80</v>
      </c>
      <c r="C36" s="314">
        <v>4091</v>
      </c>
      <c r="D36" s="314">
        <v>6000</v>
      </c>
      <c r="E36" s="171">
        <v>4500</v>
      </c>
    </row>
    <row r="37" spans="2:5" ht="15.75">
      <c r="B37" s="319" t="s">
        <v>952</v>
      </c>
      <c r="C37" s="314">
        <v>674</v>
      </c>
      <c r="D37" s="314">
        <v>1750</v>
      </c>
      <c r="E37" s="171">
        <v>1750</v>
      </c>
    </row>
    <row r="38" spans="2:5" ht="15.75">
      <c r="B38" s="319"/>
      <c r="C38" s="314"/>
      <c r="D38" s="314"/>
      <c r="E38" s="171">
        <v>3750</v>
      </c>
    </row>
    <row r="39" spans="2:5" ht="15.75">
      <c r="B39" s="319"/>
      <c r="C39" s="314"/>
      <c r="D39" s="314"/>
      <c r="E39" s="171"/>
    </row>
    <row r="40" spans="2:5" ht="15.75">
      <c r="B40" s="319"/>
      <c r="C40" s="314"/>
      <c r="D40" s="314"/>
      <c r="E40" s="171"/>
    </row>
    <row r="41" spans="2:10" ht="15.75">
      <c r="B41" s="318"/>
      <c r="C41" s="314"/>
      <c r="D41" s="314"/>
      <c r="E41" s="171"/>
      <c r="G41" s="822" t="str">
        <f>CONCATENATE("Desired Carryover Into ",E1+1,"")</f>
        <v>Desired Carryover Into 2014</v>
      </c>
      <c r="H41" s="823"/>
      <c r="I41" s="823"/>
      <c r="J41" s="824"/>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1">
        <f>IF(J43=0,"",ROUND((J43+E57-G56)/inputOth!E11*1000,3)-G61)</f>
      </c>
    </row>
    <row r="45" spans="2:10" ht="15.75">
      <c r="B45" s="80" t="s">
        <v>194</v>
      </c>
      <c r="C45" s="314"/>
      <c r="D45" s="314"/>
      <c r="E45" s="171"/>
      <c r="G45" s="732" t="str">
        <f>CONCATENATE("",E1," Tot Exp/Non-Appr Must Be:")</f>
        <v>2013 Tot Exp/Non-Appr Must Be:</v>
      </c>
      <c r="H45" s="549"/>
      <c r="I45" s="728"/>
      <c r="J45" s="733">
        <f>IF(J43&gt;0,IF(E54&lt;E23,IF(J43=G56,E54,((J43-G56)*(1-D56))+E23),E54+(J43-G56)),0)</f>
        <v>0</v>
      </c>
    </row>
    <row r="46" spans="2:10" ht="15.75">
      <c r="B46" s="80" t="s">
        <v>780</v>
      </c>
      <c r="C46" s="397">
        <f>IF(C27*0.25&lt;C45,"Exceeds 25%","")</f>
      </c>
      <c r="D46" s="397">
        <f>IF(D27*0.25&lt;D45,"Exceeds 25%","")</f>
      </c>
      <c r="E46" s="324">
        <f>IF(E27*0.25+E57&lt;E45,"Exceeds 25%","")</f>
      </c>
      <c r="G46" s="734" t="s">
        <v>871</v>
      </c>
      <c r="H46" s="735"/>
      <c r="I46" s="735"/>
      <c r="J46" s="736">
        <f>IF(J43&gt;0,J45-E54,0)</f>
        <v>0</v>
      </c>
    </row>
    <row r="47" spans="2:5" ht="15.75">
      <c r="B47" s="317" t="s">
        <v>234</v>
      </c>
      <c r="C47" s="314"/>
      <c r="D47" s="314"/>
      <c r="E47" s="182">
        <f>nhood!E6</f>
      </c>
    </row>
    <row r="48" spans="2:10" ht="15.75">
      <c r="B48" s="317" t="s">
        <v>232</v>
      </c>
      <c r="C48" s="314"/>
      <c r="D48" s="314"/>
      <c r="E48" s="171"/>
      <c r="G48" s="822" t="str">
        <f>CONCATENATE("Projected Carryover Into ",E1+1,"")</f>
        <v>Projected Carryover Into 2014</v>
      </c>
      <c r="H48" s="823"/>
      <c r="I48" s="823"/>
      <c r="J48" s="824"/>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8722</v>
      </c>
      <c r="D50" s="398">
        <f>SUM(D29:D43,D45,D47:D48)</f>
        <v>15150</v>
      </c>
      <c r="E50" s="323">
        <f>SUM(E29:E43,E47:E48,E45)</f>
        <v>15150</v>
      </c>
      <c r="G50" s="556">
        <f>D51</f>
        <v>6053</v>
      </c>
      <c r="H50" s="557" t="str">
        <f>CONCATENATE("",E1-1," Ending Cash Balance (est.)")</f>
        <v>2012 Ending Cash Balance (est.)</v>
      </c>
      <c r="I50" s="558"/>
      <c r="J50" s="555"/>
    </row>
    <row r="51" spans="2:10" ht="15.75">
      <c r="B51" s="80" t="s">
        <v>71</v>
      </c>
      <c r="C51" s="399">
        <f>C27-C50</f>
        <v>9639</v>
      </c>
      <c r="D51" s="399">
        <f>D27-D50</f>
        <v>6053</v>
      </c>
      <c r="E51" s="316" t="s">
        <v>259</v>
      </c>
      <c r="G51" s="556">
        <f>E26</f>
        <v>473</v>
      </c>
      <c r="H51" s="559" t="str">
        <f>CONCATENATE("",E1," Non-AV Receipts (est.)")</f>
        <v>2013 Non-AV Receipts (est.)</v>
      </c>
      <c r="I51" s="558"/>
      <c r="J51" s="555"/>
    </row>
    <row r="52" spans="2:11" ht="15.75">
      <c r="B52" s="117" t="str">
        <f>CONCATENATE("",E1-2,"/",E1-1," Budget Authority Amount:")</f>
        <v>2011/2012 Budget Authority Amount:</v>
      </c>
      <c r="C52" s="339">
        <f>inputOth!B83</f>
        <v>12150</v>
      </c>
      <c r="D52" s="68">
        <f>inputPrYr!D20</f>
        <v>15150</v>
      </c>
      <c r="E52" s="316" t="s">
        <v>259</v>
      </c>
      <c r="F52" s="325"/>
      <c r="G52" s="560">
        <f>IF(D56&gt;0,E55,E57)</f>
        <v>8624</v>
      </c>
      <c r="H52" s="559" t="str">
        <f>CONCATENATE("",E1," Ad Valorem Tax (est.)")</f>
        <v>2013 Ad Valorem Tax (est.)</v>
      </c>
      <c r="I52" s="558"/>
      <c r="J52" s="555"/>
      <c r="K52" s="737">
        <f>IF(G52=E57,"","Note: Does not include Delinquent Taxes")</f>
      </c>
    </row>
    <row r="53" spans="2:10" ht="16.5">
      <c r="B53" s="117"/>
      <c r="C53" s="816" t="s">
        <v>731</v>
      </c>
      <c r="D53" s="817"/>
      <c r="E53" s="171"/>
      <c r="F53" s="325">
        <f>IF(E50/0.95-E50&lt;E53,"Exceeds 5%","")</f>
      </c>
      <c r="G53" s="556">
        <f>SUM(G50:G52)</f>
        <v>15150</v>
      </c>
      <c r="H53" s="559" t="str">
        <f>CONCATENATE("Total ",E1," Resources Available")</f>
        <v>Total 2013 Resources Available</v>
      </c>
      <c r="I53" s="558"/>
      <c r="J53" s="555"/>
    </row>
    <row r="54" spans="2:10" ht="15.75">
      <c r="B54" s="504" t="str">
        <f>CONCATENATE(C74,"      ",D74)</f>
        <v>      </v>
      </c>
      <c r="C54" s="818" t="s">
        <v>732</v>
      </c>
      <c r="D54" s="819"/>
      <c r="E54" s="262">
        <f>E50+E53</f>
        <v>15150</v>
      </c>
      <c r="G54" s="561"/>
      <c r="H54" s="559"/>
      <c r="I54" s="559"/>
      <c r="J54" s="555"/>
    </row>
    <row r="55" spans="2:10" ht="15.75">
      <c r="B55" s="504" t="str">
        <f>CONCATENATE(C75,"       ",D75)</f>
        <v>       </v>
      </c>
      <c r="C55" s="507"/>
      <c r="D55" s="506" t="s">
        <v>292</v>
      </c>
      <c r="E55" s="182">
        <f>IF(E54-E27&gt;0,E54-E27,0)</f>
        <v>8624</v>
      </c>
      <c r="G55" s="560">
        <f>ROUND(C50*0.05+C50,0)</f>
        <v>9158</v>
      </c>
      <c r="H55" s="559" t="str">
        <f>CONCATENATE("Less ",E1-2," Expenditures + 5%")</f>
        <v>Less 2011 Expenditures + 5%</v>
      </c>
      <c r="I55" s="558"/>
      <c r="J55" s="555"/>
    </row>
    <row r="56" spans="2:10" ht="15.75">
      <c r="B56" s="211"/>
      <c r="C56" s="505" t="s">
        <v>733</v>
      </c>
      <c r="D56" s="730">
        <f>inputOth!$E$77</f>
        <v>0</v>
      </c>
      <c r="E56" s="262">
        <f>ROUND(IF(D56&gt;0,(E55*D56),0),0)</f>
        <v>0</v>
      </c>
      <c r="G56" s="562">
        <f>G53-G55</f>
        <v>5992</v>
      </c>
      <c r="H56" s="563" t="str">
        <f>CONCATENATE("Projected ",E1+1," Carryover (est.)")</f>
        <v>Projected 2014 Carryover (est.)</v>
      </c>
      <c r="I56" s="564"/>
      <c r="J56" s="565"/>
    </row>
    <row r="57" spans="2:5" ht="15.75">
      <c r="B57" s="65"/>
      <c r="C57" s="820" t="str">
        <f>CONCATENATE("Amount of  ",$E$1-1," Ad Valorem Tax")</f>
        <v>Amount of  2012 Ad Valorem Tax</v>
      </c>
      <c r="D57" s="821"/>
      <c r="E57" s="182">
        <f>E55+E56</f>
        <v>8624</v>
      </c>
    </row>
    <row r="58" spans="2:10" ht="16.5">
      <c r="B58" s="65"/>
      <c r="C58" s="65"/>
      <c r="D58" s="65"/>
      <c r="E58" s="65"/>
      <c r="G58" s="825" t="s">
        <v>872</v>
      </c>
      <c r="H58" s="826"/>
      <c r="I58" s="826"/>
      <c r="J58" s="827"/>
    </row>
    <row r="59" spans="2:11" s="327" customFormat="1" ht="15.75">
      <c r="B59" s="71"/>
      <c r="C59" s="71"/>
      <c r="D59" s="269"/>
      <c r="E59" s="71"/>
      <c r="G59" s="738"/>
      <c r="H59" s="557"/>
      <c r="I59" s="729"/>
      <c r="J59" s="739"/>
      <c r="K59" s="156"/>
    </row>
    <row r="60" spans="2:11" s="328" customFormat="1" ht="15.75">
      <c r="B60" s="65"/>
      <c r="C60" s="65"/>
      <c r="D60" s="190"/>
      <c r="E60" s="65"/>
      <c r="G60" s="740">
        <f>summ!H18</f>
        <v>1.643</v>
      </c>
      <c r="H60" s="557" t="str">
        <f>CONCATENATE("",E1," Fund Mill Rate")</f>
        <v>2013 Fund Mill Rate</v>
      </c>
      <c r="I60" s="729"/>
      <c r="J60" s="739"/>
      <c r="K60" s="156"/>
    </row>
    <row r="61" spans="2:10" ht="15.75">
      <c r="B61" s="211" t="s">
        <v>273</v>
      </c>
      <c r="C61" s="376"/>
      <c r="D61" s="65"/>
      <c r="E61" s="65"/>
      <c r="G61" s="741">
        <f>summ!E18</f>
        <v>1.733</v>
      </c>
      <c r="H61" s="557" t="str">
        <f>CONCATENATE("",E1-1," Fund Mill Rate")</f>
        <v>2012 Fund Mill Rate</v>
      </c>
      <c r="I61" s="729"/>
      <c r="J61" s="739"/>
    </row>
    <row r="62" spans="7:10" ht="15.75">
      <c r="G62" s="742">
        <f>summ!H36</f>
        <v>11.098</v>
      </c>
      <c r="H62" s="557" t="str">
        <f>CONCATENATE("Total ",E1," Mill Rate")</f>
        <v>Total 2013 Mill Rate</v>
      </c>
      <c r="I62" s="729"/>
      <c r="J62" s="739"/>
    </row>
    <row r="63" spans="2:10" ht="15.75">
      <c r="B63" s="109"/>
      <c r="G63" s="741">
        <f>summ!E36</f>
        <v>11.981</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Valley Township</v>
      </c>
      <c r="C1" s="624"/>
      <c r="D1" s="625"/>
      <c r="E1" s="626">
        <f>inputPrYr!D9</f>
        <v>2013</v>
      </c>
    </row>
    <row r="2" spans="2:5" ht="15.75">
      <c r="B2" s="625"/>
      <c r="C2" s="625"/>
      <c r="D2" s="625"/>
      <c r="E2" s="628"/>
    </row>
    <row r="3" spans="2:5" ht="15.75">
      <c r="B3" s="629" t="s">
        <v>774</v>
      </c>
      <c r="C3" s="629"/>
      <c r="D3" s="630"/>
      <c r="E3" s="631"/>
    </row>
    <row r="4" spans="2:5" ht="15.75">
      <c r="B4" s="632" t="s">
        <v>274</v>
      </c>
      <c r="C4" s="633" t="s">
        <v>867</v>
      </c>
      <c r="D4" s="634" t="s">
        <v>868</v>
      </c>
      <c r="E4" s="635" t="s">
        <v>869</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96</v>
      </c>
      <c r="C6" s="641"/>
      <c r="D6" s="642">
        <f>C34</f>
        <v>0</v>
      </c>
      <c r="E6" s="643">
        <f>D34</f>
        <v>0</v>
      </c>
    </row>
    <row r="7" spans="2:5" ht="15.75">
      <c r="B7" s="640" t="s">
        <v>72</v>
      </c>
      <c r="C7" s="644"/>
      <c r="D7" s="642"/>
      <c r="E7" s="643"/>
    </row>
    <row r="8" spans="2:5" ht="15.75">
      <c r="B8" s="640" t="s">
        <v>280</v>
      </c>
      <c r="C8" s="645"/>
      <c r="D8" s="642">
        <f>IF(inputPrYr!H19&gt;0,inputPrYr!G21,inputPrYr!E21)</f>
        <v>0</v>
      </c>
      <c r="E8" s="646" t="s">
        <v>259</v>
      </c>
    </row>
    <row r="9" spans="2:5" ht="15.75">
      <c r="B9" s="640" t="s">
        <v>281</v>
      </c>
      <c r="C9" s="645"/>
      <c r="D9" s="647"/>
      <c r="E9" s="648"/>
    </row>
    <row r="10" spans="2:5" ht="15.75">
      <c r="B10" s="640" t="s">
        <v>282</v>
      </c>
      <c r="C10" s="645"/>
      <c r="D10" s="647"/>
      <c r="E10" s="643">
        <f>mvalloc!G12</f>
        <v>0</v>
      </c>
    </row>
    <row r="11" spans="2:5" ht="15.75">
      <c r="B11" s="640" t="s">
        <v>283</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286</v>
      </c>
      <c r="C17" s="645"/>
      <c r="D17" s="647"/>
      <c r="E17" s="648"/>
    </row>
    <row r="18" spans="2:5" ht="15.75">
      <c r="B18" s="640" t="s">
        <v>232</v>
      </c>
      <c r="C18" s="653"/>
      <c r="D18" s="647"/>
      <c r="E18" s="648"/>
    </row>
    <row r="19" spans="2:5" ht="15.75">
      <c r="B19" s="640" t="s">
        <v>870</v>
      </c>
      <c r="C19" s="654">
        <f>IF(C20*0.1&lt;C18,"Exceed 10% Rule","")</f>
      </c>
      <c r="D19" s="654">
        <f>IF(D20*0.1&lt;D18,"Exceeds 10% Rule","")</f>
      </c>
      <c r="E19" s="655">
        <f>IF(E20*0.1&lt;E18,"Exceed 10% Rule","")</f>
      </c>
    </row>
    <row r="20" spans="2:5" ht="15.75">
      <c r="B20" s="656" t="s">
        <v>287</v>
      </c>
      <c r="C20" s="657">
        <f>SUM(C8:C18)</f>
        <v>0</v>
      </c>
      <c r="D20" s="657">
        <f>SUM(D8:D18)</f>
        <v>0</v>
      </c>
      <c r="E20" s="658">
        <f>SUM(E9:E18)</f>
        <v>0</v>
      </c>
    </row>
    <row r="21" spans="2:5" ht="15.75">
      <c r="B21" s="656" t="s">
        <v>288</v>
      </c>
      <c r="C21" s="657">
        <f>C6+C20</f>
        <v>0</v>
      </c>
      <c r="D21" s="657">
        <f>D6+D20</f>
        <v>0</v>
      </c>
      <c r="E21" s="658">
        <f>E6+E20</f>
        <v>0</v>
      </c>
    </row>
    <row r="22" spans="2:5" ht="15.75">
      <c r="B22" s="640" t="s">
        <v>289</v>
      </c>
      <c r="C22" s="640"/>
      <c r="D22" s="642"/>
      <c r="E22" s="643"/>
    </row>
    <row r="23" spans="2:5" ht="15.75">
      <c r="B23" s="650"/>
      <c r="C23" s="645"/>
      <c r="D23" s="647"/>
      <c r="E23" s="648"/>
    </row>
    <row r="24" spans="2:10" ht="16.5">
      <c r="B24" s="650"/>
      <c r="C24" s="645"/>
      <c r="D24" s="647"/>
      <c r="E24" s="648"/>
      <c r="G24" s="828" t="str">
        <f>CONCATENATE("Desired Carryover Into ",E1+1,"")</f>
        <v>Desired Carryover Into 2014</v>
      </c>
      <c r="H24" s="829"/>
      <c r="I24" s="829"/>
      <c r="J24" s="830"/>
    </row>
    <row r="25" spans="2:10" ht="15.75">
      <c r="B25" s="650"/>
      <c r="C25" s="647"/>
      <c r="D25" s="647"/>
      <c r="E25" s="648"/>
      <c r="G25" s="659"/>
      <c r="H25" s="660"/>
      <c r="I25" s="661"/>
      <c r="J25" s="662"/>
    </row>
    <row r="26" spans="2:10" ht="15.75">
      <c r="B26" s="650"/>
      <c r="C26" s="645"/>
      <c r="D26" s="647"/>
      <c r="E26" s="648"/>
      <c r="G26" s="663" t="s">
        <v>737</v>
      </c>
      <c r="H26" s="661"/>
      <c r="I26" s="661"/>
      <c r="J26" s="664">
        <v>0</v>
      </c>
    </row>
    <row r="27" spans="2:10" ht="15.75">
      <c r="B27" s="650"/>
      <c r="C27" s="645"/>
      <c r="D27" s="647"/>
      <c r="E27" s="648"/>
      <c r="G27" s="659" t="s">
        <v>738</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871</v>
      </c>
      <c r="H29" s="671"/>
      <c r="I29" s="671"/>
      <c r="J29" s="672">
        <f>IF(J26&gt;0,J28-E37,0)</f>
        <v>0</v>
      </c>
    </row>
    <row r="30" spans="2:5" ht="15.75">
      <c r="B30" s="673" t="s">
        <v>234</v>
      </c>
      <c r="C30" s="645"/>
      <c r="D30" s="647"/>
      <c r="E30" s="643">
        <f>nhood!E7</f>
      </c>
    </row>
    <row r="31" spans="2:10" ht="16.5">
      <c r="B31" s="673" t="s">
        <v>232</v>
      </c>
      <c r="C31" s="653"/>
      <c r="D31" s="647"/>
      <c r="E31" s="648"/>
      <c r="G31" s="828" t="str">
        <f>CONCATENATE("Projected Carryover Into ",E1+1,"")</f>
        <v>Projected Carryover Into 2014</v>
      </c>
      <c r="H31" s="838"/>
      <c r="I31" s="838"/>
      <c r="J31" s="832"/>
    </row>
    <row r="32" spans="2:10" ht="15.75">
      <c r="B32" s="673" t="s">
        <v>734</v>
      </c>
      <c r="C32" s="654">
        <f>IF(C33*0.1&lt;C31,"Exceed 10% Rule","")</f>
      </c>
      <c r="D32" s="654">
        <f>IF(D33*0.1&lt;D31,"Exceed 10% Rule","")</f>
      </c>
      <c r="E32" s="655">
        <f>IF(E33*0.1&lt;E31,"Exceed 10% Rule","")</f>
      </c>
      <c r="G32" s="659"/>
      <c r="H32" s="661"/>
      <c r="I32" s="661"/>
      <c r="J32" s="674"/>
    </row>
    <row r="33" spans="2:10" ht="15.75">
      <c r="B33" s="656" t="s">
        <v>290</v>
      </c>
      <c r="C33" s="675">
        <f>SUM(C23:C31)</f>
        <v>0</v>
      </c>
      <c r="D33" s="675">
        <f>SUM(D23:D31)</f>
        <v>0</v>
      </c>
      <c r="E33" s="676">
        <f>SUM(E23:E31)</f>
        <v>0</v>
      </c>
      <c r="G33" s="677">
        <f>D34</f>
        <v>0</v>
      </c>
      <c r="H33" s="678" t="str">
        <f>CONCATENATE("",E1-1," Ending Cash Balance (est.)")</f>
        <v>2012 Ending Cash Balance (est.)</v>
      </c>
      <c r="I33" s="679"/>
      <c r="J33" s="674"/>
    </row>
    <row r="34" spans="2:10" ht="16.5">
      <c r="B34" s="640" t="s">
        <v>71</v>
      </c>
      <c r="C34" s="680">
        <f>C21-C33</f>
        <v>0</v>
      </c>
      <c r="D34" s="680">
        <f>D21-D33</f>
        <v>0</v>
      </c>
      <c r="E34" s="646" t="s">
        <v>259</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259</v>
      </c>
      <c r="F35" s="685"/>
      <c r="G35" s="686">
        <f>IF(E39&gt;0,E38,E40)</f>
        <v>0</v>
      </c>
      <c r="H35" s="661" t="str">
        <f>CONCATENATE("",E1," Ad Valorem Tax (est.)")</f>
        <v>2013 Ad Valorem Tax (est.)</v>
      </c>
      <c r="I35" s="679"/>
      <c r="J35" s="674"/>
      <c r="K35" s="687">
        <f>IF(G35=E40,"","Note: Does not include Delinquent Taxes")</f>
      </c>
    </row>
    <row r="36" spans="2:10" ht="16.5">
      <c r="B36" s="682"/>
      <c r="C36" s="816" t="s">
        <v>731</v>
      </c>
      <c r="D36" s="817"/>
      <c r="E36" s="648"/>
      <c r="F36" s="688">
        <f>IF(E33/0.95-E33&lt;E36,"Exceeds 5%","")</f>
      </c>
      <c r="G36" s="677">
        <f>SUM(G33:G35)</f>
        <v>0</v>
      </c>
      <c r="H36" s="661" t="str">
        <f>CONCATENATE("Total ",E1," Resources Available")</f>
        <v>Total 2013 Resources Available</v>
      </c>
      <c r="I36" s="679"/>
      <c r="J36" s="674"/>
    </row>
    <row r="37" spans="2:10" ht="16.5">
      <c r="B37" s="689" t="str">
        <f>CONCATENATE(C93,"     ",D93)</f>
        <v>     </v>
      </c>
      <c r="C37" s="818" t="s">
        <v>732</v>
      </c>
      <c r="D37" s="819"/>
      <c r="E37" s="643">
        <f>E33+E36</f>
        <v>0</v>
      </c>
      <c r="F37" s="681"/>
      <c r="G37" s="690"/>
      <c r="H37" s="661"/>
      <c r="I37" s="661"/>
      <c r="J37" s="674"/>
    </row>
    <row r="38" spans="2:10" ht="16.5">
      <c r="B38" s="689" t="str">
        <f>CONCATENATE(C94,"     ",D94)</f>
        <v>     </v>
      </c>
      <c r="C38" s="691"/>
      <c r="D38" s="628" t="s">
        <v>292</v>
      </c>
      <c r="E38" s="692">
        <f>IF(E37-E21&gt;0,E37-E21,0)</f>
        <v>0</v>
      </c>
      <c r="F38" s="681"/>
      <c r="G38" s="686">
        <f>C33</f>
        <v>0</v>
      </c>
      <c r="H38" s="661" t="str">
        <f>CONCATENATE("Less ",E1-2," Expenditures")</f>
        <v>Less 2011 Expenditures</v>
      </c>
      <c r="I38" s="661"/>
      <c r="J38" s="674"/>
    </row>
    <row r="39" spans="2:10" ht="16.5">
      <c r="B39" s="628"/>
      <c r="C39" s="505" t="s">
        <v>733</v>
      </c>
      <c r="D39" s="693">
        <f>inputOth!E77</f>
        <v>0</v>
      </c>
      <c r="E39" s="643">
        <f>ROUND(IF(D39&gt;0,(E38*D39),0),0)</f>
        <v>0</v>
      </c>
      <c r="F39" s="681"/>
      <c r="G39" s="694">
        <f>G36-G38</f>
        <v>0</v>
      </c>
      <c r="H39" s="695" t="str">
        <f>CONCATENATE("Projected ",E1+1," carryover (est.)")</f>
        <v>Projected 2014 carryover (est.)</v>
      </c>
      <c r="I39" s="696"/>
      <c r="J39" s="697"/>
    </row>
    <row r="40" spans="2:6" ht="17.25" thickBot="1">
      <c r="B40" s="625"/>
      <c r="C40" s="833" t="str">
        <f>CONCATENATE("Amount of  ",E1-1," Ad Valorem Tax")</f>
        <v>Amount of  2012 Ad Valorem Tax</v>
      </c>
      <c r="D40" s="834"/>
      <c r="E40" s="699">
        <f>SUM(E38:E39)</f>
        <v>0</v>
      </c>
      <c r="F40" s="681"/>
    </row>
    <row r="41" spans="2:10" ht="17.25" thickTop="1">
      <c r="B41" s="625"/>
      <c r="C41" s="833"/>
      <c r="D41" s="834"/>
      <c r="E41" s="700"/>
      <c r="F41" s="681"/>
      <c r="G41" s="835" t="s">
        <v>872</v>
      </c>
      <c r="H41" s="836"/>
      <c r="I41" s="836"/>
      <c r="J41" s="837"/>
    </row>
    <row r="42" spans="2:10" ht="16.5">
      <c r="B42" s="625"/>
      <c r="C42" s="698"/>
      <c r="D42" s="625"/>
      <c r="E42" s="625"/>
      <c r="F42" s="681"/>
      <c r="G42" s="701"/>
      <c r="H42" s="678"/>
      <c r="I42" s="702"/>
      <c r="J42" s="703"/>
    </row>
    <row r="43" spans="2:10" ht="16.5">
      <c r="B43" s="632"/>
      <c r="C43" s="632"/>
      <c r="D43" s="630"/>
      <c r="E43" s="630"/>
      <c r="F43" s="681"/>
      <c r="G43" s="704" t="str">
        <f>summ!H19</f>
        <v> </v>
      </c>
      <c r="H43" s="678" t="str">
        <f>CONCATENATE("",E1," Fund Mill Rate")</f>
        <v>2013 Fund Mill Rate</v>
      </c>
      <c r="I43" s="702"/>
      <c r="J43" s="703"/>
    </row>
    <row r="44" spans="2:10" ht="16.5">
      <c r="B44" s="632" t="s">
        <v>274</v>
      </c>
      <c r="C44" s="633" t="s">
        <v>867</v>
      </c>
      <c r="D44" s="634" t="s">
        <v>868</v>
      </c>
      <c r="E44" s="635" t="s">
        <v>869</v>
      </c>
      <c r="F44" s="681"/>
      <c r="G44" s="705" t="str">
        <f>summ!E19</f>
        <v>  </v>
      </c>
      <c r="H44" s="678" t="str">
        <f>CONCATENATE("",E1-1," Fund Mill Rate")</f>
        <v>2012 Fund Mill Rate</v>
      </c>
      <c r="I44" s="702"/>
      <c r="J44" s="703"/>
    </row>
    <row r="45" spans="2:10" ht="16.5">
      <c r="B45" s="706" t="str">
        <f>inputPrYr!B22</f>
        <v>Library</v>
      </c>
      <c r="C45" s="637" t="str">
        <f>CONCATENATE("Actual for ",$E$1-2,"")</f>
        <v>Actual for 2011</v>
      </c>
      <c r="D45" s="638" t="str">
        <f>CONCATENATE("Estimate for ",$E$1-1,"")</f>
        <v>Estimate for 2012</v>
      </c>
      <c r="E45" s="639" t="str">
        <f>CONCATENATE("Year for ",$E$1,"")</f>
        <v>Year for 2013</v>
      </c>
      <c r="F45" s="681"/>
      <c r="G45" s="707">
        <f>summ!H36</f>
        <v>11.098</v>
      </c>
      <c r="H45" s="678" t="str">
        <f>CONCATENATE("Total ",E1," Mill Rate")</f>
        <v>Total 2013 Mill Rate</v>
      </c>
      <c r="I45" s="702"/>
      <c r="J45" s="703"/>
    </row>
    <row r="46" spans="2:10" ht="16.5">
      <c r="B46" s="640" t="s">
        <v>96</v>
      </c>
      <c r="C46" s="645">
        <v>0</v>
      </c>
      <c r="D46" s="642">
        <f>C74</f>
        <v>0</v>
      </c>
      <c r="E46" s="643">
        <f>D74</f>
        <v>0</v>
      </c>
      <c r="F46" s="681"/>
      <c r="G46" s="705">
        <f>summ!E36</f>
        <v>11.981</v>
      </c>
      <c r="H46" s="708" t="str">
        <f>CONCATENATE("Total ",E1-1," Mill Rate")</f>
        <v>Total 2012 Mill Rate</v>
      </c>
      <c r="I46" s="709"/>
      <c r="J46" s="710"/>
    </row>
    <row r="47" spans="2:6" ht="16.5">
      <c r="B47" s="711" t="s">
        <v>72</v>
      </c>
      <c r="C47" s="640"/>
      <c r="D47" s="642"/>
      <c r="E47" s="643"/>
      <c r="F47" s="681"/>
    </row>
    <row r="48" spans="2:6" ht="16.5">
      <c r="B48" s="640" t="s">
        <v>280</v>
      </c>
      <c r="C48" s="653"/>
      <c r="D48" s="642">
        <f>IF(inputPrYr!H19&gt;0,inputPrYr!G22,inputPrYr!E22)</f>
        <v>0</v>
      </c>
      <c r="E48" s="646" t="s">
        <v>259</v>
      </c>
      <c r="F48" s="681"/>
    </row>
    <row r="49" spans="2:6" ht="16.5">
      <c r="B49" s="640" t="s">
        <v>281</v>
      </c>
      <c r="C49" s="653"/>
      <c r="D49" s="647"/>
      <c r="E49" s="648"/>
      <c r="F49" s="681"/>
    </row>
    <row r="50" spans="2:6" ht="16.5">
      <c r="B50" s="640" t="s">
        <v>282</v>
      </c>
      <c r="C50" s="653"/>
      <c r="D50" s="647"/>
      <c r="E50" s="643">
        <f>mvalloc!G13</f>
        <v>0</v>
      </c>
      <c r="F50" s="681"/>
    </row>
    <row r="51" spans="2:6" ht="16.5">
      <c r="B51" s="640" t="s">
        <v>283</v>
      </c>
      <c r="C51" s="653"/>
      <c r="D51" s="647"/>
      <c r="E51" s="643">
        <f>mvalloc!I13</f>
        <v>0</v>
      </c>
      <c r="F51" s="681"/>
    </row>
    <row r="52" spans="2:5" ht="15.75">
      <c r="B52" s="649" t="s">
        <v>51</v>
      </c>
      <c r="C52" s="653"/>
      <c r="D52" s="647"/>
      <c r="E52" s="643">
        <f>mvalloc!J13</f>
        <v>0</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286</v>
      </c>
      <c r="C57" s="653"/>
      <c r="D57" s="647"/>
      <c r="E57" s="648"/>
    </row>
    <row r="58" spans="2:5" ht="15.75">
      <c r="B58" s="640" t="s">
        <v>232</v>
      </c>
      <c r="C58" s="653"/>
      <c r="D58" s="653"/>
      <c r="E58" s="712"/>
    </row>
    <row r="59" spans="2:5" ht="15.75">
      <c r="B59" s="640" t="s">
        <v>870</v>
      </c>
      <c r="C59" s="654">
        <f>IF(C60*0.1&lt;C58,"Exceed 10% Rule","")</f>
      </c>
      <c r="D59" s="654">
        <f>IF(D60*0.1&lt;D58,"Exceeds 10% Rule","")</f>
      </c>
      <c r="E59" s="655">
        <f>IF(E60*0.1&lt;E58,"Exceed 10% Rule","")</f>
      </c>
    </row>
    <row r="60" spans="2:5" ht="15.75">
      <c r="B60" s="656" t="s">
        <v>287</v>
      </c>
      <c r="C60" s="675">
        <f>SUM(C48:C58)</f>
        <v>0</v>
      </c>
      <c r="D60" s="675">
        <f>SUM(D48:D58)</f>
        <v>0</v>
      </c>
      <c r="E60" s="676">
        <f>SUM(E49:E58)</f>
        <v>0</v>
      </c>
    </row>
    <row r="61" spans="2:5" ht="15.75">
      <c r="B61" s="656" t="s">
        <v>288</v>
      </c>
      <c r="C61" s="675">
        <f>C46+C60</f>
        <v>0</v>
      </c>
      <c r="D61" s="675">
        <f>D46+D60</f>
        <v>0</v>
      </c>
      <c r="E61" s="676">
        <f>E46+E60</f>
        <v>0</v>
      </c>
    </row>
    <row r="62" spans="2:5" ht="15.75">
      <c r="B62" s="640" t="s">
        <v>289</v>
      </c>
      <c r="C62" s="640"/>
      <c r="D62" s="642"/>
      <c r="E62" s="643"/>
    </row>
    <row r="63" spans="2:5" ht="15.75">
      <c r="B63" s="650"/>
      <c r="C63" s="645"/>
      <c r="D63" s="647"/>
      <c r="E63" s="648"/>
    </row>
    <row r="64" spans="2:10" ht="16.5">
      <c r="B64" s="650"/>
      <c r="C64" s="645"/>
      <c r="D64" s="647"/>
      <c r="E64" s="648"/>
      <c r="G64" s="828" t="str">
        <f>CONCATENATE("Desired Carryover Into ",E1+1,"")</f>
        <v>Desired Carryover Into 2014</v>
      </c>
      <c r="H64" s="829"/>
      <c r="I64" s="829"/>
      <c r="J64" s="830"/>
    </row>
    <row r="65" spans="2:10" ht="15.75">
      <c r="B65" s="650"/>
      <c r="C65" s="645"/>
      <c r="D65" s="647"/>
      <c r="E65" s="648"/>
      <c r="G65" s="659"/>
      <c r="H65" s="660"/>
      <c r="I65" s="661"/>
      <c r="J65" s="662"/>
    </row>
    <row r="66" spans="2:10" ht="15.75">
      <c r="B66" s="650"/>
      <c r="C66" s="645"/>
      <c r="D66" s="647"/>
      <c r="E66" s="648"/>
      <c r="G66" s="663" t="s">
        <v>737</v>
      </c>
      <c r="H66" s="661"/>
      <c r="I66" s="661"/>
      <c r="J66" s="664">
        <v>0</v>
      </c>
    </row>
    <row r="67" spans="2:10" ht="15.75">
      <c r="B67" s="650"/>
      <c r="C67" s="645"/>
      <c r="D67" s="647"/>
      <c r="E67" s="648"/>
      <c r="G67" s="659" t="s">
        <v>738</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871</v>
      </c>
      <c r="H69" s="671"/>
      <c r="I69" s="671"/>
      <c r="J69" s="672">
        <f>IF(J66&gt;0,J68-E77,0)</f>
        <v>0</v>
      </c>
    </row>
    <row r="70" spans="2:6" ht="16.5">
      <c r="B70" s="649" t="s">
        <v>234</v>
      </c>
      <c r="C70" s="645"/>
      <c r="D70" s="647"/>
      <c r="E70" s="643">
        <f>nhood!E8</f>
      </c>
      <c r="F70" s="681"/>
    </row>
    <row r="71" spans="2:10" ht="16.5">
      <c r="B71" s="649" t="s">
        <v>232</v>
      </c>
      <c r="C71" s="653"/>
      <c r="D71" s="647"/>
      <c r="E71" s="648"/>
      <c r="F71" s="681"/>
      <c r="G71" s="828" t="str">
        <f>CONCATENATE("Projected Carryover Into ",E1+1,"")</f>
        <v>Projected Carryover Into 2014</v>
      </c>
      <c r="H71" s="831"/>
      <c r="I71" s="831"/>
      <c r="J71" s="832"/>
    </row>
    <row r="72" spans="2:10" ht="16.5">
      <c r="B72" s="649" t="s">
        <v>734</v>
      </c>
      <c r="C72" s="654">
        <f>IF(C73*0.1&lt;C71,"Exceed 10% Rule","")</f>
      </c>
      <c r="D72" s="654">
        <f>IF(D73*0.1&lt;D71,"Exceed 10% Rule","")</f>
      </c>
      <c r="E72" s="655">
        <f>IF(E73*0.1&lt;E71,"Exceed 10% Rule","")</f>
      </c>
      <c r="F72" s="681"/>
      <c r="G72" s="713"/>
      <c r="H72" s="660"/>
      <c r="I72" s="660"/>
      <c r="J72" s="714"/>
    </row>
    <row r="73" spans="2:10" ht="16.5">
      <c r="B73" s="656" t="s">
        <v>290</v>
      </c>
      <c r="C73" s="675">
        <f>SUM(C63:C71)</f>
        <v>0</v>
      </c>
      <c r="D73" s="675">
        <f>SUM(D63:D71)</f>
        <v>0</v>
      </c>
      <c r="E73" s="676">
        <f>SUM(E63:E71)</f>
        <v>0</v>
      </c>
      <c r="F73" s="681"/>
      <c r="G73" s="677">
        <f>D74</f>
        <v>0</v>
      </c>
      <c r="H73" s="678" t="str">
        <f>CONCATENATE("",E1-1," Ending Cash Balance (est.)")</f>
        <v>2012 Ending Cash Balance (est.)</v>
      </c>
      <c r="I73" s="679"/>
      <c r="J73" s="714"/>
    </row>
    <row r="74" spans="2:10" ht="16.5">
      <c r="B74" s="640" t="s">
        <v>71</v>
      </c>
      <c r="C74" s="680">
        <f>C61-C73</f>
        <v>0</v>
      </c>
      <c r="D74" s="680">
        <f>D61-D73</f>
        <v>0</v>
      </c>
      <c r="E74" s="646" t="s">
        <v>259</v>
      </c>
      <c r="F74" s="681"/>
      <c r="G74" s="677">
        <f>E60</f>
        <v>0</v>
      </c>
      <c r="H74" s="661" t="str">
        <f>CONCATENATE("",E1," Non-AV Receipts (est.)")</f>
        <v>2013 Non-AV Receipts (est.)</v>
      </c>
      <c r="I74" s="679"/>
      <c r="J74" s="714"/>
    </row>
    <row r="75" spans="2:11" ht="15.75">
      <c r="B75" s="682" t="str">
        <f>CONCATENATE("",E1-2,"/",E1-1," Budget Authority Amount:")</f>
        <v>2011/2012 Budget Authority Amount:</v>
      </c>
      <c r="C75" s="683">
        <f>inputOth!B85</f>
        <v>0</v>
      </c>
      <c r="D75" s="683">
        <f>inputPrYr!D22</f>
        <v>0</v>
      </c>
      <c r="E75" s="646" t="s">
        <v>259</v>
      </c>
      <c r="F75" s="685"/>
      <c r="G75" s="686">
        <f>IF(E79&gt;0,E78,E80)</f>
        <v>0</v>
      </c>
      <c r="H75" s="661" t="str">
        <f>CONCATENATE("",E1," Ad Valorem Tax (est.)")</f>
        <v>2013 Ad Valorem Tax (est.)</v>
      </c>
      <c r="I75" s="679"/>
      <c r="J75" s="714"/>
      <c r="K75" s="687">
        <f>IF(G75=E80,"","Note: Does not include Delinquent Taxes")</f>
      </c>
    </row>
    <row r="76" spans="2:10" ht="16.5">
      <c r="B76" s="682"/>
      <c r="C76" s="816" t="s">
        <v>731</v>
      </c>
      <c r="D76" s="817"/>
      <c r="E76" s="648"/>
      <c r="F76" s="715">
        <f>IF(E73/0.95-E73&lt;E76,"Exceeds 5%","")</f>
      </c>
      <c r="G76" s="716">
        <f>SUM(G73:G75)</f>
        <v>0</v>
      </c>
      <c r="H76" s="661" t="str">
        <f>CONCATENATE("Total ",E1," Resources Available")</f>
        <v>Total 2013 Resources Available</v>
      </c>
      <c r="I76" s="717"/>
      <c r="J76" s="714"/>
    </row>
    <row r="77" spans="2:10" ht="16.5">
      <c r="B77" s="689" t="str">
        <f>CONCATENATE(C95,"     ",D95)</f>
        <v>     </v>
      </c>
      <c r="C77" s="818" t="s">
        <v>732</v>
      </c>
      <c r="D77" s="819"/>
      <c r="E77" s="643">
        <f>E73+E76</f>
        <v>0</v>
      </c>
      <c r="F77" s="681"/>
      <c r="G77" s="718"/>
      <c r="H77" s="719"/>
      <c r="I77" s="660"/>
      <c r="J77" s="714"/>
    </row>
    <row r="78" spans="2:10" ht="16.5">
      <c r="B78" s="689" t="str">
        <f>CONCATENATE(C96,"     ",D96)</f>
        <v>     </v>
      </c>
      <c r="C78" s="691"/>
      <c r="D78" s="628" t="s">
        <v>292</v>
      </c>
      <c r="E78" s="692">
        <f>IF(E77-E61&gt;0,E77-E61,0)</f>
        <v>0</v>
      </c>
      <c r="F78" s="681"/>
      <c r="G78" s="686">
        <f>ROUND(C73*0.05+C73,0)</f>
        <v>0</v>
      </c>
      <c r="H78" s="661" t="str">
        <f>CONCATENATE("Less ",E1-2," Expenditures + 5%")</f>
        <v>Less 2011 Expenditures + 5%</v>
      </c>
      <c r="I78" s="717"/>
      <c r="J78" s="714"/>
    </row>
    <row r="79" spans="2:10" ht="16.5">
      <c r="B79" s="628"/>
      <c r="C79" s="505" t="s">
        <v>733</v>
      </c>
      <c r="D79" s="693">
        <f>inputOth!E77</f>
        <v>0</v>
      </c>
      <c r="E79" s="643">
        <f>ROUND(IF(E78&gt;0,(E78*D79),0),0)</f>
        <v>0</v>
      </c>
      <c r="F79" s="681"/>
      <c r="G79" s="694">
        <f>G76-G78</f>
        <v>0</v>
      </c>
      <c r="H79" s="695" t="str">
        <f>CONCATENATE("Projected ",E1+1," carryover (est.)")</f>
        <v>Projected 2014 carryover (est.)</v>
      </c>
      <c r="I79" s="720"/>
      <c r="J79" s="721"/>
    </row>
    <row r="80" spans="2:6" ht="16.5" thickBot="1">
      <c r="B80" s="625"/>
      <c r="C80" s="833" t="str">
        <f>CONCATENATE("Amount of  ",E1-1," Ad Valorem Tax")</f>
        <v>Amount of  2012 Ad Valorem Tax</v>
      </c>
      <c r="D80" s="834"/>
      <c r="E80" s="699">
        <f>E78+E79</f>
        <v>0</v>
      </c>
      <c r="F80" s="722" t="str">
        <f>IF('[1]Library Grant'!F33="","",IF('[1]Library Grant'!F33="Qualify","Qualifies for State Library Grant","See 'Library Grant' tab"))</f>
        <v>Qualifies for State Library Grant</v>
      </c>
    </row>
    <row r="81" spans="2:10" ht="17.25" thickTop="1">
      <c r="B81" s="628"/>
      <c r="C81" s="833"/>
      <c r="D81" s="834"/>
      <c r="E81" s="700"/>
      <c r="F81" s="681"/>
      <c r="G81" s="835" t="s">
        <v>872</v>
      </c>
      <c r="H81" s="836"/>
      <c r="I81" s="836"/>
      <c r="J81" s="837"/>
    </row>
    <row r="82" spans="2:10" ht="16.5">
      <c r="B82" s="628"/>
      <c r="C82" s="628"/>
      <c r="D82" s="628"/>
      <c r="E82" s="628"/>
      <c r="G82" s="701"/>
      <c r="H82" s="678"/>
      <c r="I82" s="702"/>
      <c r="J82" s="703"/>
    </row>
    <row r="83" spans="2:10" ht="16.5">
      <c r="B83" s="628" t="s">
        <v>273</v>
      </c>
      <c r="C83" s="723"/>
      <c r="D83" s="628"/>
      <c r="E83" s="628"/>
      <c r="F83" s="681"/>
      <c r="G83" s="704" t="str">
        <f>summ!H20</f>
        <v> </v>
      </c>
      <c r="H83" s="678" t="str">
        <f>CONCATENATE("",E1," Fund Mill Rate")</f>
        <v>2013 Fund Mill Rate</v>
      </c>
      <c r="I83" s="702"/>
      <c r="J83" s="703"/>
    </row>
    <row r="84" spans="7:10" ht="16.5">
      <c r="G84" s="705" t="str">
        <f>summ!E20</f>
        <v>  </v>
      </c>
      <c r="H84" s="678" t="str">
        <f>CONCATENATE("",E1-1," Fund Mill Rate")</f>
        <v>2012 Fund Mill Rate</v>
      </c>
      <c r="I84" s="702"/>
      <c r="J84" s="703"/>
    </row>
    <row r="85" spans="7:10" ht="16.5">
      <c r="G85" s="707">
        <f>summ!H36</f>
        <v>11.098</v>
      </c>
      <c r="H85" s="678" t="str">
        <f>CONCATENATE("Total ",E1," Mill Rate")</f>
        <v>Total 2013 Mill Rate</v>
      </c>
      <c r="I85" s="702"/>
      <c r="J85" s="703"/>
    </row>
    <row r="86" spans="7:10" ht="16.5">
      <c r="G86" s="705">
        <f>summ!E36</f>
        <v>11.981</v>
      </c>
      <c r="H86" s="708" t="str">
        <f>CONCATENATE("Total ",E1-1," Mill Rate")</f>
        <v>Total 2012 Mill Rate</v>
      </c>
      <c r="I86" s="709"/>
      <c r="J86" s="710"/>
    </row>
    <row r="87" spans="7:10" ht="15.75">
      <c r="G87" s="724"/>
      <c r="H87" s="724"/>
      <c r="I87" s="724"/>
      <c r="J87" s="724"/>
    </row>
    <row r="88" spans="3:4" ht="15.75">
      <c r="C88" s="725" t="s">
        <v>873</v>
      </c>
      <c r="D88" s="725" t="s">
        <v>873</v>
      </c>
    </row>
    <row r="89" spans="3:4" ht="15.75">
      <c r="C89" s="725" t="s">
        <v>873</v>
      </c>
      <c r="D89" s="725" t="s">
        <v>873</v>
      </c>
    </row>
    <row r="91" spans="3:4" ht="15.75">
      <c r="C91" s="725" t="s">
        <v>873</v>
      </c>
      <c r="D91" s="725" t="s">
        <v>873</v>
      </c>
    </row>
    <row r="92" spans="3:4" ht="15.75">
      <c r="C92" s="725" t="s">
        <v>873</v>
      </c>
      <c r="D92" s="725" t="s">
        <v>873</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Valley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v>38610</v>
      </c>
      <c r="D6" s="395">
        <f>C44</f>
        <v>39873</v>
      </c>
      <c r="E6" s="262">
        <f>D44</f>
        <v>38009</v>
      </c>
    </row>
    <row r="7" spans="2:5" ht="15.75">
      <c r="B7" s="80" t="s">
        <v>72</v>
      </c>
      <c r="C7" s="395"/>
      <c r="D7" s="395"/>
      <c r="E7" s="316"/>
    </row>
    <row r="8" spans="2:5" ht="15.75">
      <c r="B8" s="80" t="s">
        <v>280</v>
      </c>
      <c r="C8" s="314">
        <v>53370</v>
      </c>
      <c r="D8" s="395">
        <f>IF(inputPrYr!H19&gt;0,inputPrYr!G23,inputPrYr!E23)</f>
        <v>58943</v>
      </c>
      <c r="E8" s="316" t="s">
        <v>259</v>
      </c>
    </row>
    <row r="9" spans="2:5" ht="15.75">
      <c r="B9" s="80" t="s">
        <v>281</v>
      </c>
      <c r="C9" s="314">
        <v>384</v>
      </c>
      <c r="D9" s="314"/>
      <c r="E9" s="171"/>
    </row>
    <row r="10" spans="2:5" ht="15.75">
      <c r="B10" s="80" t="s">
        <v>282</v>
      </c>
      <c r="C10" s="314">
        <v>1484</v>
      </c>
      <c r="D10" s="314">
        <v>1900</v>
      </c>
      <c r="E10" s="262">
        <f>mvalloc!G14</f>
        <v>1681</v>
      </c>
    </row>
    <row r="11" spans="2:5" ht="15.75">
      <c r="B11" s="80" t="s">
        <v>283</v>
      </c>
      <c r="C11" s="314">
        <v>14</v>
      </c>
      <c r="D11" s="314">
        <v>45</v>
      </c>
      <c r="E11" s="262">
        <f>mvalloc!I14</f>
        <v>28</v>
      </c>
    </row>
    <row r="12" spans="2:5" ht="15.75">
      <c r="B12" s="80" t="s">
        <v>51</v>
      </c>
      <c r="C12" s="314">
        <v>266</v>
      </c>
      <c r="D12" s="314">
        <v>17</v>
      </c>
      <c r="E12" s="262">
        <f>mvalloc!J14</f>
        <v>237</v>
      </c>
    </row>
    <row r="13" spans="2:5" ht="15.75">
      <c r="B13" s="80" t="s">
        <v>52</v>
      </c>
      <c r="C13" s="314">
        <v>2422</v>
      </c>
      <c r="D13" s="314">
        <v>2471</v>
      </c>
      <c r="E13" s="262">
        <f>inputOth!E72</f>
        <v>2395</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57940</v>
      </c>
      <c r="D23" s="398">
        <f>SUM(D8:D21)</f>
        <v>63376</v>
      </c>
      <c r="E23" s="323">
        <f>SUM(E8:E21)</f>
        <v>4341</v>
      </c>
    </row>
    <row r="24" spans="2:5" ht="15.75">
      <c r="B24" s="98" t="s">
        <v>288</v>
      </c>
      <c r="C24" s="398">
        <f>C23+C6</f>
        <v>96550</v>
      </c>
      <c r="D24" s="398">
        <f>D23+D6</f>
        <v>103249</v>
      </c>
      <c r="E24" s="323">
        <f>E23+E6</f>
        <v>42350</v>
      </c>
    </row>
    <row r="25" spans="2:5" ht="15.75">
      <c r="B25" s="80" t="s">
        <v>289</v>
      </c>
      <c r="C25" s="395"/>
      <c r="D25" s="395"/>
      <c r="E25" s="262"/>
    </row>
    <row r="26" spans="2:5" ht="15.75">
      <c r="B26" s="319"/>
      <c r="C26" s="314"/>
      <c r="D26" s="314"/>
      <c r="E26" s="171"/>
    </row>
    <row r="27" spans="2:5" ht="15.75">
      <c r="B27" s="319" t="s">
        <v>53</v>
      </c>
      <c r="C27" s="314">
        <v>1868</v>
      </c>
      <c r="D27" s="314">
        <v>1740</v>
      </c>
      <c r="E27" s="171">
        <v>1740</v>
      </c>
    </row>
    <row r="28" spans="2:5" ht="15.75">
      <c r="B28" s="319" t="s">
        <v>77</v>
      </c>
      <c r="C28" s="314">
        <v>0</v>
      </c>
      <c r="D28" s="314">
        <v>13000</v>
      </c>
      <c r="E28" s="171">
        <v>13000</v>
      </c>
    </row>
    <row r="29" spans="2:5" ht="15.75">
      <c r="B29" s="318" t="s">
        <v>54</v>
      </c>
      <c r="C29" s="314">
        <v>3316</v>
      </c>
      <c r="D29" s="314">
        <v>2000</v>
      </c>
      <c r="E29" s="171">
        <v>2000</v>
      </c>
    </row>
    <row r="30" spans="2:5" ht="15.75">
      <c r="B30" s="319" t="s">
        <v>79</v>
      </c>
      <c r="C30" s="314">
        <v>5269</v>
      </c>
      <c r="D30" s="314">
        <v>5000</v>
      </c>
      <c r="E30" s="171">
        <v>5000</v>
      </c>
    </row>
    <row r="31" spans="2:5" ht="15.75">
      <c r="B31" s="319" t="s">
        <v>57</v>
      </c>
      <c r="C31" s="314">
        <v>7294</v>
      </c>
      <c r="D31" s="314">
        <v>25000</v>
      </c>
      <c r="E31" s="171">
        <v>15000</v>
      </c>
    </row>
    <row r="32" spans="2:5" ht="15.75">
      <c r="B32" s="319" t="s">
        <v>55</v>
      </c>
      <c r="C32" s="314">
        <v>18465</v>
      </c>
      <c r="D32" s="314">
        <v>6000</v>
      </c>
      <c r="E32" s="171">
        <v>6000</v>
      </c>
    </row>
    <row r="33" spans="2:5" ht="15.75">
      <c r="B33" s="319" t="s">
        <v>952</v>
      </c>
      <c r="C33" s="314">
        <v>1780</v>
      </c>
      <c r="D33" s="314">
        <v>11500</v>
      </c>
      <c r="E33" s="171">
        <v>5000</v>
      </c>
    </row>
    <row r="34" spans="2:10" ht="15.75">
      <c r="B34" s="319" t="s">
        <v>300</v>
      </c>
      <c r="C34" s="314"/>
      <c r="D34" s="314">
        <v>0</v>
      </c>
      <c r="E34" s="171">
        <v>5000</v>
      </c>
      <c r="G34" s="822" t="str">
        <f>CONCATENATE("Desired Carryover Into ",E1+1,"")</f>
        <v>Desired Carryover Into 2014</v>
      </c>
      <c r="H34" s="823"/>
      <c r="I34" s="823"/>
      <c r="J34" s="824"/>
    </row>
    <row r="35" spans="2:10" ht="15.75">
      <c r="B35" s="319" t="s">
        <v>80</v>
      </c>
      <c r="C35" s="314"/>
      <c r="D35" s="314">
        <v>1000</v>
      </c>
      <c r="E35" s="171">
        <v>1000</v>
      </c>
      <c r="G35" s="512"/>
      <c r="H35" s="554"/>
      <c r="I35" s="559"/>
      <c r="J35" s="513"/>
    </row>
    <row r="36" spans="2:10" ht="15.75">
      <c r="B36" s="318"/>
      <c r="C36" s="314"/>
      <c r="D36" s="314"/>
      <c r="E36" s="171">
        <v>32000</v>
      </c>
      <c r="G36" s="514" t="s">
        <v>737</v>
      </c>
      <c r="H36" s="559"/>
      <c r="I36" s="559"/>
      <c r="J36" s="515">
        <v>0</v>
      </c>
    </row>
    <row r="37" spans="2:10" ht="15.75">
      <c r="B37" s="318"/>
      <c r="C37" s="314"/>
      <c r="D37" s="314"/>
      <c r="E37" s="171"/>
      <c r="G37" s="512" t="s">
        <v>738</v>
      </c>
      <c r="H37" s="554"/>
      <c r="I37" s="554"/>
      <c r="J37" s="731">
        <f>IF(J36=0,"",ROUND((J36+E50-G49)/inputOth!E11*1000,3)-G54)</f>
      </c>
    </row>
    <row r="38" spans="2:10" ht="15.75">
      <c r="B38" s="80" t="s">
        <v>56</v>
      </c>
      <c r="C38" s="314">
        <v>18685</v>
      </c>
      <c r="D38" s="314"/>
      <c r="E38" s="171"/>
      <c r="G38" s="732" t="str">
        <f>CONCATENATE("",E1," Tot Exp/Non-Appr Must Be:")</f>
        <v>2013 Tot Exp/Non-Appr Must Be:</v>
      </c>
      <c r="H38" s="549"/>
      <c r="I38" s="728"/>
      <c r="J38" s="733">
        <f>IF(J36&gt;0,IF(E47&lt;E24,IF(J36=G49,E47,((J36-G49)*(1-D49))+E24),E47+(J36-G49)),0)</f>
        <v>0</v>
      </c>
    </row>
    <row r="39" spans="2:10" ht="15.75">
      <c r="B39" s="80" t="s">
        <v>739</v>
      </c>
      <c r="C39" s="397">
        <f>IF(C24*0.25&lt;C38,"Exceeds 25%","")</f>
      </c>
      <c r="D39" s="397">
        <f>IF(D24*0.25&lt;D38,"Exceeds 25%","")</f>
      </c>
      <c r="E39" s="324">
        <f>IF(E24*0.25+E50&lt;E38,"Exceeds 25%","")</f>
      </c>
      <c r="G39" s="734" t="s">
        <v>871</v>
      </c>
      <c r="H39" s="735"/>
      <c r="I39" s="735"/>
      <c r="J39" s="736">
        <f>IF(J36&gt;0,J38-E47,0)</f>
        <v>0</v>
      </c>
    </row>
    <row r="40" spans="2:5" ht="15.75">
      <c r="B40" s="317" t="s">
        <v>234</v>
      </c>
      <c r="C40" s="314"/>
      <c r="D40" s="314"/>
      <c r="E40" s="182">
        <f>nhood!E9</f>
      </c>
    </row>
    <row r="41" spans="2:10" ht="15.75">
      <c r="B41" s="317" t="s">
        <v>232</v>
      </c>
      <c r="C41" s="314"/>
      <c r="D41" s="314"/>
      <c r="E41" s="171"/>
      <c r="G41" s="822" t="str">
        <f>CONCATENATE("Projected Carryover Into ",E1+1,"")</f>
        <v>Projected Carryover Into 2014</v>
      </c>
      <c r="H41" s="823"/>
      <c r="I41" s="823"/>
      <c r="J41" s="824"/>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56677</v>
      </c>
      <c r="D43" s="398">
        <f>SUM(D26:D41)</f>
        <v>65240</v>
      </c>
      <c r="E43" s="323">
        <f>SUM(E26:E38,E41)</f>
        <v>85740</v>
      </c>
      <c r="G43" s="556">
        <f>D44</f>
        <v>38009</v>
      </c>
      <c r="H43" s="557" t="str">
        <f>CONCATENATE("",E1-1," Ending Cash Balance (est.)")</f>
        <v>2012 Ending Cash Balance (est.)</v>
      </c>
      <c r="I43" s="558"/>
      <c r="J43" s="555"/>
    </row>
    <row r="44" spans="2:10" ht="15.75">
      <c r="B44" s="80" t="s">
        <v>71</v>
      </c>
      <c r="C44" s="399">
        <f>C24-C43</f>
        <v>39873</v>
      </c>
      <c r="D44" s="399">
        <f>D24-D43</f>
        <v>38009</v>
      </c>
      <c r="E44" s="316" t="s">
        <v>259</v>
      </c>
      <c r="G44" s="556">
        <f>E23</f>
        <v>4341</v>
      </c>
      <c r="H44" s="559" t="str">
        <f>CONCATENATE("",E1," Non-AV Receipts (est.)")</f>
        <v>2013 Non-AV Receipts (est.)</v>
      </c>
      <c r="I44" s="558"/>
      <c r="J44" s="555"/>
    </row>
    <row r="45" spans="2:11" ht="15.75">
      <c r="B45" s="117" t="str">
        <f>CONCATENATE("",$E$1-2,"/",$E$1-1," Budget Authority Amount:")</f>
        <v>2011/2012 Budget Authority Amount:</v>
      </c>
      <c r="C45" s="339">
        <f>inputOth!B86</f>
        <v>74740</v>
      </c>
      <c r="D45" s="83">
        <f>inputPrYr!D23</f>
        <v>85240</v>
      </c>
      <c r="E45" s="316" t="s">
        <v>259</v>
      </c>
      <c r="F45" s="325"/>
      <c r="G45" s="560">
        <f>IF(D49&gt;0,E48,E50)</f>
        <v>43390</v>
      </c>
      <c r="H45" s="559" t="str">
        <f>CONCATENATE("",E1," Ad Valorem Tax (est.)")</f>
        <v>2013 Ad Valorem Tax (est.)</v>
      </c>
      <c r="I45" s="558"/>
      <c r="J45" s="555"/>
      <c r="K45" s="737">
        <f>IF(G45=E50,"","Note: Does not include Delinquent Taxes")</f>
      </c>
    </row>
    <row r="46" spans="2:10" ht="16.5">
      <c r="B46" s="117"/>
      <c r="C46" s="816" t="s">
        <v>731</v>
      </c>
      <c r="D46" s="817"/>
      <c r="E46" s="171"/>
      <c r="F46" s="746">
        <f>IF(E43/0.95-E43&lt;E46,"Exceeds 5%","")</f>
      </c>
      <c r="G46" s="556">
        <f>SUM(G43:G45)</f>
        <v>85740</v>
      </c>
      <c r="H46" s="559" t="str">
        <f>CONCATENATE("Total ",E1," Resources Available")</f>
        <v>Total 2013 Resources Available</v>
      </c>
      <c r="I46" s="558"/>
      <c r="J46" s="555"/>
    </row>
    <row r="47" spans="2:10" ht="15.75">
      <c r="B47" s="504" t="str">
        <f>CONCATENATE(C72,"     ",D72)</f>
        <v>     </v>
      </c>
      <c r="C47" s="818" t="s">
        <v>732</v>
      </c>
      <c r="D47" s="819"/>
      <c r="E47" s="262">
        <f>E43+E46</f>
        <v>85740</v>
      </c>
      <c r="G47" s="561"/>
      <c r="H47" s="559"/>
      <c r="I47" s="559"/>
      <c r="J47" s="555"/>
    </row>
    <row r="48" spans="2:10" ht="15.75">
      <c r="B48" s="504" t="str">
        <f>CONCATENATE(C73,"     ",D73)</f>
        <v>     </v>
      </c>
      <c r="C48" s="507"/>
      <c r="D48" s="506" t="s">
        <v>292</v>
      </c>
      <c r="E48" s="182">
        <f>IF(E47-E24&gt;0,E47-E24,0)</f>
        <v>43390</v>
      </c>
      <c r="G48" s="560">
        <f>ROUND(C43*0.05+C43,0)</f>
        <v>59511</v>
      </c>
      <c r="H48" s="559" t="str">
        <f>CONCATENATE("Less ",E1-2," Expenditures + 5%")</f>
        <v>Less 2011 Expenditures + 5%</v>
      </c>
      <c r="I48" s="558"/>
      <c r="J48" s="555"/>
    </row>
    <row r="49" spans="2:10" ht="15.75">
      <c r="B49" s="211"/>
      <c r="C49" s="505" t="s">
        <v>733</v>
      </c>
      <c r="D49" s="730">
        <f>inputOth!$E$77</f>
        <v>0</v>
      </c>
      <c r="E49" s="262">
        <f>ROUND(IF(D49&gt;0,(E48*D49),0),0)</f>
        <v>0</v>
      </c>
      <c r="G49" s="562">
        <f>G46-G48</f>
        <v>26229</v>
      </c>
      <c r="H49" s="563" t="str">
        <f>CONCATENATE("Projected ",E1+1," Carryover (est.)")</f>
        <v>Projected 2014 Carryover (est.)</v>
      </c>
      <c r="I49" s="564"/>
      <c r="J49" s="565"/>
    </row>
    <row r="50" spans="2:5" ht="15.75">
      <c r="B50" s="65"/>
      <c r="C50" s="820" t="str">
        <f>CONCATENATE("Amount of  ",$E$1-1," Ad Valorem Tax")</f>
        <v>Amount of  2012 Ad Valorem Tax</v>
      </c>
      <c r="D50" s="821"/>
      <c r="E50" s="182">
        <f>E48+E49</f>
        <v>43390</v>
      </c>
    </row>
    <row r="51" spans="2:10" ht="16.5">
      <c r="B51" s="65"/>
      <c r="C51" s="65"/>
      <c r="D51" s="65"/>
      <c r="E51" s="65"/>
      <c r="G51" s="825" t="s">
        <v>872</v>
      </c>
      <c r="H51" s="826"/>
      <c r="I51" s="826"/>
      <c r="J51" s="827"/>
    </row>
    <row r="52" spans="2:10" ht="15.75">
      <c r="B52" s="65"/>
      <c r="C52" s="65"/>
      <c r="D52" s="65"/>
      <c r="E52" s="65"/>
      <c r="G52" s="738"/>
      <c r="H52" s="557"/>
      <c r="I52" s="729"/>
      <c r="J52" s="739"/>
    </row>
    <row r="53" spans="2:10" ht="15.75">
      <c r="B53" s="157" t="s">
        <v>294</v>
      </c>
      <c r="C53" s="205">
        <f>E1-2</f>
        <v>2011</v>
      </c>
      <c r="D53" s="65"/>
      <c r="E53" s="65"/>
      <c r="G53" s="740">
        <f>summ!H21</f>
        <v>9.455</v>
      </c>
      <c r="H53" s="557" t="str">
        <f>CONCATENATE("",E1," Fund Mill Rate")</f>
        <v>2013 Fund Mill Rate</v>
      </c>
      <c r="I53" s="729"/>
      <c r="J53" s="739"/>
    </row>
    <row r="54" spans="2:10" ht="15.75">
      <c r="B54" s="77" t="s">
        <v>295</v>
      </c>
      <c r="C54" s="79" t="s">
        <v>296</v>
      </c>
      <c r="D54" s="65"/>
      <c r="E54" s="65"/>
      <c r="G54" s="741">
        <f>summ!E21</f>
        <v>10.248</v>
      </c>
      <c r="H54" s="557" t="str">
        <f>CONCATENATE("",E1-1," Fund Mill Rate")</f>
        <v>2012 Fund Mill Rate</v>
      </c>
      <c r="I54" s="729"/>
      <c r="J54" s="739"/>
    </row>
    <row r="55" spans="2:10" ht="15.75">
      <c r="B55" s="105" t="s">
        <v>278</v>
      </c>
      <c r="C55" s="503">
        <v>40998</v>
      </c>
      <c r="D55" s="65"/>
      <c r="E55" s="65"/>
      <c r="G55" s="742">
        <f>summ!H36</f>
        <v>11.098</v>
      </c>
      <c r="H55" s="557" t="str">
        <f>CONCATENATE("Total ",E1," Mill Rate")</f>
        <v>Total 2013 Mill Rate</v>
      </c>
      <c r="I55" s="729"/>
      <c r="J55" s="739"/>
    </row>
    <row r="56" spans="2:10" ht="15.75">
      <c r="B56" s="105" t="s">
        <v>297</v>
      </c>
      <c r="C56" s="339"/>
      <c r="D56" s="65"/>
      <c r="E56" s="65"/>
      <c r="G56" s="741">
        <f>summ!E36</f>
        <v>11.981</v>
      </c>
      <c r="H56" s="743" t="str">
        <f>CONCATENATE("Total ",E1-1," Mill Rate")</f>
        <v>Total 2012 Mill Rate</v>
      </c>
      <c r="I56" s="744"/>
      <c r="J56" s="745"/>
    </row>
    <row r="57" spans="2:5" ht="15.75">
      <c r="B57" s="105" t="s">
        <v>298</v>
      </c>
      <c r="C57" s="498">
        <f>IF(C38&gt;0,C38,0)</f>
        <v>18685</v>
      </c>
      <c r="D57" s="330">
        <f>IF(C38&gt;(C24*0.25),"Exceeds 25% of Resources Available","")</f>
      </c>
      <c r="E57" s="65"/>
    </row>
    <row r="58" spans="2:5" ht="15.75">
      <c r="B58" s="105" t="s">
        <v>196</v>
      </c>
      <c r="C58" s="497">
        <f>IF(gen!C43&gt;0,gen!C43,0)</f>
        <v>0</v>
      </c>
      <c r="D58" s="839">
        <f>IF(AND(gen!C43&gt;0,gen!C45&gt;0),"Not Auth. Two General Transfers - Only One","")</f>
      </c>
      <c r="E58" s="65"/>
    </row>
    <row r="59" spans="2:5" ht="15.75">
      <c r="B59" s="105" t="s">
        <v>197</v>
      </c>
      <c r="C59" s="498">
        <f>IF(gen!C45&gt;0,gen!C45,0)</f>
        <v>0</v>
      </c>
      <c r="D59" s="840"/>
      <c r="E59" s="65"/>
    </row>
    <row r="60" spans="2:5" ht="15.75">
      <c r="B60" s="173"/>
      <c r="C60" s="503"/>
      <c r="D60" s="65"/>
      <c r="E60" s="65"/>
    </row>
    <row r="61" spans="2:5" ht="15.75">
      <c r="B61" s="173" t="s">
        <v>286</v>
      </c>
      <c r="C61" s="503">
        <v>656</v>
      </c>
      <c r="D61" s="65"/>
      <c r="E61" s="65"/>
    </row>
    <row r="62" spans="2:5" ht="15.75">
      <c r="B62" s="173" t="s">
        <v>285</v>
      </c>
      <c r="C62" s="503"/>
      <c r="D62" s="65"/>
      <c r="E62" s="65"/>
    </row>
    <row r="63" spans="2:5" ht="15.75">
      <c r="B63" s="331" t="s">
        <v>288</v>
      </c>
      <c r="C63" s="496">
        <f>SUM(C55,C57:C62)</f>
        <v>60339</v>
      </c>
      <c r="D63" s="65"/>
      <c r="E63" s="65"/>
    </row>
    <row r="64" spans="2:5" ht="15.75">
      <c r="B64" s="331" t="s">
        <v>290</v>
      </c>
      <c r="C64" s="503">
        <v>0</v>
      </c>
      <c r="D64" s="65"/>
      <c r="E64" s="65"/>
    </row>
    <row r="65" spans="2:5" ht="15.75">
      <c r="B65" s="331" t="s">
        <v>291</v>
      </c>
      <c r="C65" s="496">
        <f>C63-C64</f>
        <v>60339</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Valley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9"/>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871</v>
      </c>
      <c r="H29" s="671"/>
      <c r="I29" s="671"/>
      <c r="J29" s="672">
        <f>IF(J26&gt;0,J28-E37,0)</f>
        <v>0</v>
      </c>
      <c r="K29" s="627"/>
    </row>
    <row r="30" spans="2:11" ht="15.75">
      <c r="B30" s="317" t="s">
        <v>234</v>
      </c>
      <c r="C30" s="314"/>
      <c r="D30" s="314"/>
      <c r="E30" s="182">
        <f>nhood!E10</f>
      </c>
      <c r="G30" s="627"/>
      <c r="H30" s="627"/>
      <c r="I30" s="627"/>
      <c r="J30" s="627"/>
      <c r="K30" s="627"/>
    </row>
    <row r="31" spans="2:11" ht="16.5">
      <c r="B31" s="317" t="s">
        <v>232</v>
      </c>
      <c r="C31" s="314"/>
      <c r="D31" s="314"/>
      <c r="E31" s="171"/>
      <c r="G31" s="828" t="str">
        <f>CONCATENATE("Projected Carryover Into ",E1+1,"")</f>
        <v>Projected Carryover Into 2014</v>
      </c>
      <c r="H31" s="838"/>
      <c r="I31" s="838"/>
      <c r="J31" s="832"/>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0</v>
      </c>
      <c r="D35" s="83">
        <f>inputPrYr!$D24</f>
        <v>0</v>
      </c>
      <c r="E35" s="316" t="s">
        <v>259</v>
      </c>
      <c r="F35" s="325"/>
      <c r="G35" s="686">
        <f>IF(E39&gt;0,E38,E40)</f>
        <v>0</v>
      </c>
      <c r="H35" s="661" t="str">
        <f>CONCATENATE("",E1," Ad Valorem Tax (est.)")</f>
        <v>2013 Ad Valorem Tax (est.)</v>
      </c>
      <c r="I35" s="679"/>
      <c r="J35" s="674"/>
      <c r="K35" s="687">
        <f>IF(G35=E40,"","Note: Does not include Delinquent Taxes")</f>
      </c>
    </row>
    <row r="36" spans="2:11" ht="16.5">
      <c r="B36" s="117"/>
      <c r="C36" s="816" t="s">
        <v>731</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732</v>
      </c>
      <c r="D37" s="819"/>
      <c r="E37" s="262">
        <f>E33+E36</f>
        <v>0</v>
      </c>
      <c r="G37" s="690"/>
      <c r="H37" s="661"/>
      <c r="I37" s="661"/>
      <c r="J37" s="674"/>
      <c r="K37" s="627"/>
    </row>
    <row r="38" spans="2:11" ht="15.75">
      <c r="B38" s="504" t="str">
        <f>CONCATENATE(C86,"     ",D86)</f>
        <v>     </v>
      </c>
      <c r="C38" s="507"/>
      <c r="D38" s="506" t="s">
        <v>292</v>
      </c>
      <c r="E38" s="182">
        <f>IF(E37-E21&gt;0,E37-E21,0)</f>
        <v>0</v>
      </c>
      <c r="G38" s="686">
        <f>C33*0.05+C33</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872</v>
      </c>
      <c r="H41" s="836"/>
      <c r="I41" s="836"/>
      <c r="J41" s="837"/>
      <c r="K41" s="627"/>
    </row>
    <row r="42" spans="2:11" ht="16.5">
      <c r="B42" s="65"/>
      <c r="C42" s="571"/>
      <c r="D42" s="65"/>
      <c r="E42" s="65"/>
      <c r="G42" s="701"/>
      <c r="H42" s="678"/>
      <c r="I42" s="702"/>
      <c r="J42" s="703"/>
      <c r="K42" s="627"/>
    </row>
    <row r="43" spans="2:11" ht="16.5">
      <c r="B43" s="72" t="s">
        <v>274</v>
      </c>
      <c r="C43" s="70"/>
      <c r="D43" s="70"/>
      <c r="E43" s="70"/>
      <c r="G43" s="704" t="str">
        <f>summ!H22</f>
        <v> </v>
      </c>
      <c r="H43" s="678" t="str">
        <f>CONCATENATE("",E1," Fund Mill Rate")</f>
        <v>2013 Fund Mill Rate</v>
      </c>
      <c r="I43" s="702"/>
      <c r="J43" s="703"/>
      <c r="K43" s="627"/>
    </row>
    <row r="44" spans="2:11" ht="16.5">
      <c r="B44" s="65"/>
      <c r="C44" s="393" t="s">
        <v>275</v>
      </c>
      <c r="D44" s="396" t="s">
        <v>276</v>
      </c>
      <c r="E44" s="74" t="s">
        <v>277</v>
      </c>
      <c r="G44" s="705" t="str">
        <f>summ!E22</f>
        <v>  </v>
      </c>
      <c r="H44" s="678" t="str">
        <f>CONCATENATE("",E1-1," Fund Mill Rate")</f>
        <v>2012 Fund Mill Rate</v>
      </c>
      <c r="I44" s="702"/>
      <c r="J44" s="703"/>
      <c r="K44" s="627"/>
    </row>
    <row r="45" spans="2:11" ht="16.5">
      <c r="B45" s="490" t="str">
        <f>inputPrYr!B25</f>
        <v>Noxious Weed</v>
      </c>
      <c r="C45" s="394" t="str">
        <f>C5</f>
        <v>Actual for 2011</v>
      </c>
      <c r="D45" s="394" t="str">
        <f>D5</f>
        <v>Estimate for 2012</v>
      </c>
      <c r="E45" s="79" t="str">
        <f>E5</f>
        <v>Year for 2013</v>
      </c>
      <c r="G45" s="707">
        <f>summ!H36</f>
        <v>11.098</v>
      </c>
      <c r="H45" s="678" t="str">
        <f>CONCATENATE("Total ",E1," Mill Rate")</f>
        <v>Total 2013 Mill Rate</v>
      </c>
      <c r="I45" s="702"/>
      <c r="J45" s="703"/>
      <c r="K45" s="627"/>
    </row>
    <row r="46" spans="2:11" ht="16.5">
      <c r="B46" s="80" t="s">
        <v>70</v>
      </c>
      <c r="C46" s="314"/>
      <c r="D46" s="395">
        <f>C74</f>
        <v>0</v>
      </c>
      <c r="E46" s="262">
        <f>D74</f>
        <v>0</v>
      </c>
      <c r="G46" s="705">
        <f>summ!E36</f>
        <v>11.981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IF(inputPrYr!H19&gt;0,inputPrYr!G25,inputPrYr!E25)</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mvalloc!G16</f>
        <v>0</v>
      </c>
      <c r="G50" s="627"/>
      <c r="H50" s="627"/>
      <c r="I50" s="627"/>
      <c r="J50" s="627"/>
      <c r="K50" s="627"/>
    </row>
    <row r="51" spans="2:11" ht="15.75">
      <c r="B51" s="80" t="s">
        <v>283</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871</v>
      </c>
      <c r="H69" s="671"/>
      <c r="I69" s="671"/>
      <c r="J69" s="672">
        <f>IF(J66&gt;0,J68-E77,0)</f>
        <v>0</v>
      </c>
      <c r="K69" s="627"/>
    </row>
    <row r="70" spans="2:11" ht="15.75">
      <c r="B70" s="317" t="s">
        <v>234</v>
      </c>
      <c r="C70" s="314"/>
      <c r="D70" s="314"/>
      <c r="E70" s="182">
        <f>nhood!E11</f>
      </c>
      <c r="G70" s="627"/>
      <c r="H70" s="627"/>
      <c r="I70" s="627"/>
      <c r="J70" s="627"/>
      <c r="K70" s="627"/>
    </row>
    <row r="71" spans="2:11" ht="16.5">
      <c r="B71" s="317" t="s">
        <v>232</v>
      </c>
      <c r="C71" s="314"/>
      <c r="D71" s="314"/>
      <c r="E71" s="171"/>
      <c r="G71" s="828" t="str">
        <f>CONCATENATE("Projected Carryover Into ",E1+1,"")</f>
        <v>Projected Carryover Into 2014</v>
      </c>
      <c r="H71" s="831"/>
      <c r="I71" s="831"/>
      <c r="J71" s="832"/>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259</v>
      </c>
      <c r="F75" s="325"/>
      <c r="G75" s="686">
        <f>IF(E79&gt;0,E78,E80)</f>
        <v>0</v>
      </c>
      <c r="H75" s="661" t="str">
        <f>CONCATENATE("",E1," Ad Valorem Tax (est.)")</f>
        <v>2013 Ad Valorem Tax (est.)</v>
      </c>
      <c r="I75" s="679"/>
      <c r="J75" s="714"/>
      <c r="K75" s="687">
        <f>IF(G75=E80,"","Note: Does not include Delinquent Taxes")</f>
      </c>
    </row>
    <row r="76" spans="2:11" ht="16.5">
      <c r="B76" s="117"/>
      <c r="C76" s="816" t="s">
        <v>731</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732</v>
      </c>
      <c r="D77" s="819"/>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273</v>
      </c>
      <c r="C81" s="329"/>
      <c r="D81" s="65"/>
      <c r="E81" s="65"/>
      <c r="G81" s="835" t="s">
        <v>872</v>
      </c>
      <c r="H81" s="836"/>
      <c r="I81" s="836"/>
      <c r="J81" s="837"/>
      <c r="K81" s="627"/>
    </row>
    <row r="82" spans="2:11" ht="16.5">
      <c r="B82" s="113"/>
      <c r="G82" s="701"/>
      <c r="H82" s="678"/>
      <c r="I82" s="702"/>
      <c r="J82" s="703"/>
      <c r="K82" s="627"/>
    </row>
    <row r="83" spans="7:11" ht="16.5">
      <c r="G83" s="704" t="str">
        <f>summ!H23</f>
        <v> </v>
      </c>
      <c r="H83" s="678" t="str">
        <f>CONCATENATE("",E1," Fund Mill Rate")</f>
        <v>2013 Fund Mill Rate</v>
      </c>
      <c r="I83" s="702"/>
      <c r="J83" s="703"/>
      <c r="K83" s="627"/>
    </row>
    <row r="84" spans="7:11" ht="16.5">
      <c r="G84" s="705" t="str">
        <f>summ!E23</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11.098</v>
      </c>
      <c r="H89" s="678" t="str">
        <f>CONCATENATE("Total ",E1," Mill Rate")</f>
        <v>Total 2013 Mill Rate</v>
      </c>
      <c r="I89" s="702"/>
      <c r="J89" s="703"/>
    </row>
    <row r="90" spans="7:10" ht="16.5">
      <c r="G90" s="705">
        <f>summ!E36</f>
        <v>11.981</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Valley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9"/>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871</v>
      </c>
      <c r="H29" s="671"/>
      <c r="I29" s="671"/>
      <c r="J29" s="672">
        <f>IF(J26&gt;0,J28-E37,0)</f>
        <v>0</v>
      </c>
      <c r="K29" s="627"/>
    </row>
    <row r="30" spans="2:11" ht="15.75">
      <c r="B30" s="317" t="s">
        <v>234</v>
      </c>
      <c r="C30" s="314"/>
      <c r="D30" s="314"/>
      <c r="E30" s="182">
        <f>nhood!E12</f>
      </c>
      <c r="G30" s="627"/>
      <c r="H30" s="627"/>
      <c r="I30" s="627"/>
      <c r="J30" s="627"/>
      <c r="K30" s="627"/>
    </row>
    <row r="31" spans="2:11" ht="16.5">
      <c r="B31" s="317" t="s">
        <v>232</v>
      </c>
      <c r="C31" s="314"/>
      <c r="D31" s="314"/>
      <c r="E31" s="171"/>
      <c r="G31" s="828" t="str">
        <f>CONCATENATE("Projected Carryover Into ",E1+1,"")</f>
        <v>Projected Carryover Into 2014</v>
      </c>
      <c r="H31" s="838"/>
      <c r="I31" s="838"/>
      <c r="J31" s="832"/>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259</v>
      </c>
      <c r="F35" s="325"/>
      <c r="G35" s="686">
        <f>IF(E39&gt;0,E38,E40)</f>
        <v>0</v>
      </c>
      <c r="H35" s="661" t="str">
        <f>CONCATENATE("",E1," Ad Valorem Tax (est.)")</f>
        <v>2013 Ad Valorem Tax (est.)</v>
      </c>
      <c r="I35" s="679"/>
      <c r="J35" s="674"/>
      <c r="K35" s="687">
        <f>IF(G35=E40,"","Note: Does not include Delinquent Taxes")</f>
      </c>
    </row>
    <row r="36" spans="2:11" ht="16.5">
      <c r="B36" s="117"/>
      <c r="C36" s="816" t="s">
        <v>731</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732</v>
      </c>
      <c r="D37" s="819"/>
      <c r="E37" s="262">
        <f>E33+E36</f>
        <v>0</v>
      </c>
      <c r="G37" s="690"/>
      <c r="H37" s="661"/>
      <c r="I37" s="661"/>
      <c r="J37" s="674"/>
      <c r="K37" s="627"/>
    </row>
    <row r="38" spans="2:11" ht="15.75">
      <c r="B38" s="504" t="str">
        <f>CONCATENATE(C86,"     ",D86)</f>
        <v>     </v>
      </c>
      <c r="C38" s="507"/>
      <c r="D38" s="506" t="s">
        <v>292</v>
      </c>
      <c r="E38" s="182">
        <f>IF(E37-E21&gt;0,E37-E21,0)</f>
        <v>0</v>
      </c>
      <c r="G38" s="686">
        <f>C33*0.05+C33</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872</v>
      </c>
      <c r="H41" s="836"/>
      <c r="I41" s="836"/>
      <c r="J41" s="837"/>
      <c r="K41" s="627"/>
    </row>
    <row r="42" spans="2:11" ht="16.5">
      <c r="B42" s="65"/>
      <c r="C42" s="571"/>
      <c r="D42" s="65"/>
      <c r="E42" s="65"/>
      <c r="G42" s="701"/>
      <c r="H42" s="678"/>
      <c r="I42" s="702"/>
      <c r="J42" s="703"/>
      <c r="K42" s="627"/>
    </row>
    <row r="43" spans="2:11" ht="16.5">
      <c r="B43" s="72" t="s">
        <v>274</v>
      </c>
      <c r="C43" s="70"/>
      <c r="D43" s="70"/>
      <c r="E43" s="70"/>
      <c r="G43" s="704" t="str">
        <f>summ!H24</f>
        <v> </v>
      </c>
      <c r="H43" s="678" t="str">
        <f>CONCATENATE("",E1," Fund Mill Rate")</f>
        <v>2013 Fund Mill Rate</v>
      </c>
      <c r="I43" s="702"/>
      <c r="J43" s="703"/>
      <c r="K43" s="627"/>
    </row>
    <row r="44" spans="2:11" ht="16.5">
      <c r="B44" s="65"/>
      <c r="C44" s="393" t="s">
        <v>275</v>
      </c>
      <c r="D44" s="396" t="s">
        <v>276</v>
      </c>
      <c r="E44" s="74" t="s">
        <v>277</v>
      </c>
      <c r="G44" s="705" t="str">
        <f>summ!E24</f>
        <v>  </v>
      </c>
      <c r="H44" s="678" t="str">
        <f>CONCATENATE("",E1-1," Fund Mill Rate")</f>
        <v>2012 Fund Mill Rate</v>
      </c>
      <c r="I44" s="702"/>
      <c r="J44" s="703"/>
      <c r="K44" s="627"/>
    </row>
    <row r="45" spans="2:11" ht="16.5">
      <c r="B45" s="490">
        <f>inputPrYr!B27</f>
        <v>0</v>
      </c>
      <c r="C45" s="394" t="str">
        <f>C5</f>
        <v>Actual for 2011</v>
      </c>
      <c r="D45" s="394" t="str">
        <f>D5</f>
        <v>Estimate for 2012</v>
      </c>
      <c r="E45" s="79" t="str">
        <f>E5</f>
        <v>Year for 2013</v>
      </c>
      <c r="G45" s="707">
        <f>summ!H36</f>
        <v>11.098</v>
      </c>
      <c r="H45" s="678" t="str">
        <f>CONCATENATE("Total ",E1," Mill Rate")</f>
        <v>Total 2013 Mill Rate</v>
      </c>
      <c r="I45" s="702"/>
      <c r="J45" s="703"/>
      <c r="K45" s="627"/>
    </row>
    <row r="46" spans="2:11" ht="16.5">
      <c r="B46" s="80" t="s">
        <v>70</v>
      </c>
      <c r="C46" s="314"/>
      <c r="D46" s="395">
        <f>C74</f>
        <v>0</v>
      </c>
      <c r="E46" s="262">
        <f>D74</f>
        <v>0</v>
      </c>
      <c r="G46" s="705">
        <f>summ!E36</f>
        <v>11.981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IF(inputPrYr!H19&gt;0,inputPrYr!G27,inputPrYr!E27)</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mvalloc!G18</f>
        <v>0</v>
      </c>
      <c r="G50" s="627"/>
      <c r="H50" s="627"/>
      <c r="I50" s="627"/>
      <c r="J50" s="627"/>
      <c r="K50" s="627"/>
    </row>
    <row r="51" spans="2:11" ht="15.75">
      <c r="B51" s="80" t="s">
        <v>283</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871</v>
      </c>
      <c r="H69" s="671"/>
      <c r="I69" s="671"/>
      <c r="J69" s="672">
        <f>IF(J66&gt;0,J68-E77,0)</f>
        <v>0</v>
      </c>
      <c r="K69" s="627"/>
    </row>
    <row r="70" spans="2:11" ht="15.75">
      <c r="B70" s="317" t="s">
        <v>234</v>
      </c>
      <c r="C70" s="314"/>
      <c r="D70" s="314"/>
      <c r="E70" s="182">
        <f>nhood!E13</f>
      </c>
      <c r="G70" s="627"/>
      <c r="H70" s="627"/>
      <c r="I70" s="627"/>
      <c r="J70" s="627"/>
      <c r="K70" s="627"/>
    </row>
    <row r="71" spans="2:11" ht="16.5">
      <c r="B71" s="317" t="s">
        <v>232</v>
      </c>
      <c r="C71" s="314"/>
      <c r="D71" s="314"/>
      <c r="E71" s="171"/>
      <c r="G71" s="828" t="str">
        <f>CONCATENATE("Projected Carryover Into ",E1+1,"")</f>
        <v>Projected Carryover Into 2014</v>
      </c>
      <c r="H71" s="831"/>
      <c r="I71" s="831"/>
      <c r="J71" s="832"/>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259</v>
      </c>
      <c r="F75" s="325"/>
      <c r="G75" s="686">
        <f>IF(E79&gt;0,E78,E80)</f>
        <v>0</v>
      </c>
      <c r="H75" s="661" t="str">
        <f>CONCATENATE("",E1," Ad Valorem Tax (est.)")</f>
        <v>2013 Ad Valorem Tax (est.)</v>
      </c>
      <c r="I75" s="679"/>
      <c r="J75" s="714"/>
      <c r="K75" s="687">
        <f>IF(G75=E80,"","Note: Does not include Delinquent Taxes")</f>
      </c>
    </row>
    <row r="76" spans="2:11" ht="16.5">
      <c r="B76" s="117"/>
      <c r="C76" s="816" t="s">
        <v>731</v>
      </c>
      <c r="D76" s="817"/>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18" t="s">
        <v>732</v>
      </c>
      <c r="D77" s="819"/>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273</v>
      </c>
      <c r="C81" s="329"/>
      <c r="D81" s="65"/>
      <c r="E81" s="65"/>
      <c r="G81" s="835" t="s">
        <v>872</v>
      </c>
      <c r="H81" s="836"/>
      <c r="I81" s="836"/>
      <c r="J81" s="837"/>
      <c r="K81" s="627"/>
    </row>
    <row r="82" spans="2:11" ht="16.5">
      <c r="B82" s="113"/>
      <c r="G82" s="701"/>
      <c r="H82" s="678"/>
      <c r="I82" s="702"/>
      <c r="J82" s="703"/>
      <c r="K82" s="627"/>
    </row>
    <row r="83" spans="7:11" ht="16.5">
      <c r="G83" s="704" t="str">
        <f>summ!H25</f>
        <v> </v>
      </c>
      <c r="H83" s="678" t="str">
        <f>CONCATENATE("",E1," Fund Mill Rate")</f>
        <v>2013 Fund Mill Rate</v>
      </c>
      <c r="I83" s="702"/>
      <c r="J83" s="703"/>
      <c r="K83" s="627"/>
    </row>
    <row r="84" spans="7:11" ht="16.5">
      <c r="G84" s="705" t="str">
        <f>summ!E25</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11.098</v>
      </c>
      <c r="H89" s="678" t="str">
        <f>CONCATENATE("Total ",E1," Mill Rate")</f>
        <v>Total 2013 Mill Rate</v>
      </c>
      <c r="I89" s="702"/>
      <c r="J89" s="703"/>
    </row>
    <row r="90" spans="7:10" ht="16.5">
      <c r="G90" s="705">
        <f>summ!E36</f>
        <v>11.981</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Valley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4"/>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871</v>
      </c>
      <c r="H29" s="671"/>
      <c r="I29" s="671"/>
      <c r="J29" s="672">
        <f>IF(J26&gt;0,J28-E37,0)</f>
        <v>0</v>
      </c>
      <c r="K29" s="627"/>
    </row>
    <row r="30" spans="2:11" ht="15.75">
      <c r="B30" s="317" t="s">
        <v>234</v>
      </c>
      <c r="C30" s="314"/>
      <c r="D30" s="314"/>
      <c r="E30" s="182">
        <f>nhood!E14</f>
      </c>
      <c r="G30" s="627"/>
      <c r="H30" s="627"/>
      <c r="I30" s="627"/>
      <c r="J30" s="627"/>
      <c r="K30" s="627"/>
    </row>
    <row r="31" spans="2:11" ht="16.5">
      <c r="B31" s="317" t="s">
        <v>232</v>
      </c>
      <c r="C31" s="314"/>
      <c r="D31" s="314"/>
      <c r="E31" s="171"/>
      <c r="G31" s="828" t="str">
        <f>CONCATENATE("Projected Carryover Into ",E1+1,"")</f>
        <v>Projected Carryover Into 2014</v>
      </c>
      <c r="H31" s="838"/>
      <c r="I31" s="838"/>
      <c r="J31" s="832"/>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259</v>
      </c>
      <c r="F35" s="325"/>
      <c r="G35" s="686">
        <f>IF(E39&gt;0,E38,E40)</f>
        <v>0</v>
      </c>
      <c r="H35" s="661" t="str">
        <f>CONCATENATE("",E1," Ad Valorem Tax (est.)")</f>
        <v>2013 Ad Valorem Tax (est.)</v>
      </c>
      <c r="I35" s="679"/>
      <c r="J35" s="674"/>
      <c r="K35" s="687">
        <f>IF(G35=E40,"","Note: Does not include Delinquent Taxes")</f>
      </c>
    </row>
    <row r="36" spans="2:11" ht="16.5">
      <c r="B36" s="117"/>
      <c r="C36" s="816" t="s">
        <v>731</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732</v>
      </c>
      <c r="D37" s="819"/>
      <c r="E37" s="262">
        <f>E33+E36</f>
        <v>0</v>
      </c>
      <c r="G37" s="690"/>
      <c r="H37" s="661"/>
      <c r="I37" s="661"/>
      <c r="J37" s="674"/>
      <c r="K37" s="627"/>
    </row>
    <row r="38" spans="2:11" ht="15.75">
      <c r="B38" s="504" t="str">
        <f>CONCATENATE(C86,"     ",D86)</f>
        <v>     </v>
      </c>
      <c r="C38" s="507"/>
      <c r="D38" s="506" t="s">
        <v>292</v>
      </c>
      <c r="E38" s="182">
        <f>IF(E37-E21&gt;0,E37-E21,0)</f>
        <v>0</v>
      </c>
      <c r="G38" s="686">
        <f>C33*0.05+C33</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872</v>
      </c>
      <c r="H41" s="836"/>
      <c r="I41" s="836"/>
      <c r="J41" s="837"/>
      <c r="K41" s="627"/>
    </row>
    <row r="42" spans="2:11" ht="16.5">
      <c r="B42" s="65"/>
      <c r="C42" s="571"/>
      <c r="D42" s="65"/>
      <c r="E42" s="65"/>
      <c r="G42" s="701"/>
      <c r="H42" s="678"/>
      <c r="I42" s="702"/>
      <c r="J42" s="703"/>
      <c r="K42" s="627"/>
    </row>
    <row r="43" spans="2:11" ht="16.5">
      <c r="B43" s="72" t="s">
        <v>274</v>
      </c>
      <c r="C43" s="70"/>
      <c r="D43" s="70"/>
      <c r="E43" s="70"/>
      <c r="G43" s="704" t="str">
        <f>summ!H26</f>
        <v> </v>
      </c>
      <c r="H43" s="678" t="str">
        <f>CONCATENATE("",E1," Fund Mill Rate")</f>
        <v>2013 Fund Mill Rate</v>
      </c>
      <c r="I43" s="702"/>
      <c r="J43" s="703"/>
      <c r="K43" s="627"/>
    </row>
    <row r="44" spans="2:11" ht="16.5">
      <c r="B44" s="65"/>
      <c r="C44" s="393" t="s">
        <v>275</v>
      </c>
      <c r="D44" s="396" t="s">
        <v>276</v>
      </c>
      <c r="E44" s="74" t="s">
        <v>277</v>
      </c>
      <c r="G44" s="705" t="str">
        <f>summ!E26</f>
        <v>  </v>
      </c>
      <c r="H44" s="678" t="str">
        <f>CONCATENATE("",E1-1," Fund Mill Rate")</f>
        <v>2012 Fund Mill Rate</v>
      </c>
      <c r="I44" s="702"/>
      <c r="J44" s="703"/>
      <c r="K44" s="627"/>
    </row>
    <row r="45" spans="2:11" ht="16.5">
      <c r="B45" s="490">
        <f>inputPrYr!B29</f>
        <v>0</v>
      </c>
      <c r="C45" s="394" t="str">
        <f>C5</f>
        <v>Actual for 2011</v>
      </c>
      <c r="D45" s="394" t="str">
        <f>D5</f>
        <v>Estimate for 2012</v>
      </c>
      <c r="E45" s="79" t="str">
        <f>E5</f>
        <v>Year for 2013</v>
      </c>
      <c r="G45" s="707">
        <f>summ!H36</f>
        <v>11.098</v>
      </c>
      <c r="H45" s="678" t="str">
        <f>CONCATENATE("Total ",E1," Mill Rate")</f>
        <v>Total 2013 Mill Rate</v>
      </c>
      <c r="I45" s="702"/>
      <c r="J45" s="703"/>
      <c r="K45" s="627"/>
    </row>
    <row r="46" spans="2:11" ht="16.5">
      <c r="B46" s="80" t="s">
        <v>70</v>
      </c>
      <c r="C46" s="314"/>
      <c r="D46" s="395">
        <f>C74</f>
        <v>0</v>
      </c>
      <c r="E46" s="262">
        <f>D74</f>
        <v>0</v>
      </c>
      <c r="G46" s="705">
        <f>summ!E36</f>
        <v>11.981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IF(inputPrYr!H19&gt;0,inputPrYr!G29,inputPrYr!E29)</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mvalloc!G20</f>
        <v>0</v>
      </c>
      <c r="G50" s="627"/>
      <c r="H50" s="627"/>
      <c r="I50" s="627"/>
      <c r="J50" s="627"/>
      <c r="K50" s="627"/>
    </row>
    <row r="51" spans="2:11" ht="15.75">
      <c r="B51" s="80" t="s">
        <v>283</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871</v>
      </c>
      <c r="H69" s="671"/>
      <c r="I69" s="671"/>
      <c r="J69" s="672">
        <f>IF(J66&gt;0,J68-E77,0)</f>
        <v>0</v>
      </c>
      <c r="K69" s="627"/>
    </row>
    <row r="70" spans="2:11" ht="15.75">
      <c r="B70" s="317" t="s">
        <v>234</v>
      </c>
      <c r="C70" s="314"/>
      <c r="D70" s="314"/>
      <c r="E70" s="182">
        <f>nhood!E15</f>
      </c>
      <c r="G70" s="627"/>
      <c r="H70" s="627"/>
      <c r="I70" s="627"/>
      <c r="J70" s="627"/>
      <c r="K70" s="627"/>
    </row>
    <row r="71" spans="2:11" ht="16.5">
      <c r="B71" s="317" t="s">
        <v>232</v>
      </c>
      <c r="C71" s="314"/>
      <c r="D71" s="314"/>
      <c r="E71" s="171"/>
      <c r="G71" s="828" t="str">
        <f>CONCATENATE("Projected Carryover Into ",E1+1,"")</f>
        <v>Projected Carryover Into 2014</v>
      </c>
      <c r="H71" s="831"/>
      <c r="I71" s="831"/>
      <c r="J71" s="832"/>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259</v>
      </c>
      <c r="F75" s="325"/>
      <c r="G75" s="686">
        <f>IF(E79&gt;0,E78,E80)</f>
        <v>0</v>
      </c>
      <c r="H75" s="661" t="str">
        <f>CONCATENATE("",E1," Ad Valorem Tax (est.)")</f>
        <v>2013 Ad Valorem Tax (est.)</v>
      </c>
      <c r="I75" s="679"/>
      <c r="J75" s="714"/>
      <c r="K75" s="687">
        <f>IF(G75=E80,"","Note: Does not include Delinquent Taxes")</f>
      </c>
    </row>
    <row r="76" spans="2:11" ht="16.5">
      <c r="B76" s="117"/>
      <c r="C76" s="816" t="s">
        <v>731</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732</v>
      </c>
      <c r="D77" s="819"/>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273</v>
      </c>
      <c r="C81" s="212"/>
      <c r="D81" s="65"/>
      <c r="E81" s="65"/>
      <c r="G81" s="835" t="s">
        <v>872</v>
      </c>
      <c r="H81" s="836"/>
      <c r="I81" s="836"/>
      <c r="J81" s="837"/>
      <c r="K81" s="627"/>
    </row>
    <row r="82" spans="2:11" ht="16.5">
      <c r="B82" s="113"/>
      <c r="G82" s="701"/>
      <c r="H82" s="678"/>
      <c r="I82" s="702"/>
      <c r="J82" s="703"/>
      <c r="K82" s="627"/>
    </row>
    <row r="83" spans="7:11" ht="16.5">
      <c r="G83" s="704" t="str">
        <f>summ!H27</f>
        <v> </v>
      </c>
      <c r="H83" s="678" t="str">
        <f>CONCATENATE("",E1," Fund Mill Rate")</f>
        <v>2013 Fund Mill Rate</v>
      </c>
      <c r="I83" s="702"/>
      <c r="J83" s="703"/>
      <c r="K83" s="627"/>
    </row>
    <row r="84" spans="7:11" ht="16.5">
      <c r="G84" s="705" t="str">
        <f>summ!E27</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11.098</v>
      </c>
      <c r="H89" s="678" t="str">
        <f>CONCATENATE("Total ",E1," Mill Rate")</f>
        <v>Total 2013 Mill Rate</v>
      </c>
      <c r="I89" s="702"/>
      <c r="J89" s="703"/>
    </row>
    <row r="90" spans="7:10" ht="16.5">
      <c r="G90" s="705">
        <f>summ!E36</f>
        <v>11.981</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Valley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737</v>
      </c>
      <c r="H26" s="661"/>
      <c r="I26" s="661"/>
      <c r="J26" s="664">
        <v>0</v>
      </c>
      <c r="K26" s="627"/>
    </row>
    <row r="27" spans="2:11" ht="15.75">
      <c r="B27" s="314"/>
      <c r="C27" s="314"/>
      <c r="D27" s="314"/>
      <c r="E27" s="171"/>
      <c r="G27" s="659" t="s">
        <v>738</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871</v>
      </c>
      <c r="H29" s="671"/>
      <c r="I29" s="671"/>
      <c r="J29" s="672">
        <f>IF(J26&gt;0,J28-E37,0)</f>
        <v>0</v>
      </c>
      <c r="K29" s="627"/>
    </row>
    <row r="30" spans="2:11" ht="15.75">
      <c r="B30" s="317" t="s">
        <v>234</v>
      </c>
      <c r="C30" s="314"/>
      <c r="D30" s="314"/>
      <c r="E30" s="182">
        <f>nhood!E16</f>
      </c>
      <c r="G30" s="627"/>
      <c r="H30" s="627"/>
      <c r="I30" s="627"/>
      <c r="J30" s="627"/>
      <c r="K30" s="627"/>
    </row>
    <row r="31" spans="2:11" ht="16.5">
      <c r="B31" s="317" t="s">
        <v>232</v>
      </c>
      <c r="C31" s="314"/>
      <c r="D31" s="314"/>
      <c r="E31" s="171"/>
      <c r="G31" s="828" t="str">
        <f>CONCATENATE("Projected Carryover Into ",E1+1,"")</f>
        <v>Projected Carryover Into 2014</v>
      </c>
      <c r="H31" s="838"/>
      <c r="I31" s="838"/>
      <c r="J31" s="832"/>
      <c r="K31" s="627"/>
    </row>
    <row r="32" spans="2:11" ht="15.75">
      <c r="B32" s="317" t="s">
        <v>734</v>
      </c>
      <c r="C32" s="397">
        <f>IF(C33*0.1&lt;C31,"Exceed 10% Rule","")</f>
      </c>
      <c r="D32" s="397">
        <f>IF(D33*0.1&lt;D31,"Exceed 10% Rule","")</f>
      </c>
      <c r="E32" s="324">
        <f>IF(E33*0.1&lt;E31,"Exceed 10% Rule","")</f>
      </c>
      <c r="G32" s="659"/>
      <c r="H32" s="661"/>
      <c r="I32" s="661"/>
      <c r="J32" s="674"/>
      <c r="K32" s="627"/>
    </row>
    <row r="33" spans="2:11" ht="15.75">
      <c r="B33" s="98" t="s">
        <v>290</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259</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259</v>
      </c>
      <c r="F35" s="325"/>
      <c r="G35" s="686">
        <f>IF(E39&gt;0,E38,E40)</f>
        <v>0</v>
      </c>
      <c r="H35" s="661" t="str">
        <f>CONCATENATE("",E1," Ad Valorem Tax (est.)")</f>
        <v>2013 Ad Valorem Tax (est.)</v>
      </c>
      <c r="I35" s="679"/>
      <c r="J35" s="674"/>
      <c r="K35" s="687">
        <f>IF(G35=E40,"","Note: Does not include Delinquent Taxes")</f>
      </c>
    </row>
    <row r="36" spans="2:11" ht="16.5">
      <c r="B36" s="117"/>
      <c r="C36" s="816" t="s">
        <v>731</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732</v>
      </c>
      <c r="D37" s="819"/>
      <c r="E37" s="262">
        <f>E33+E36</f>
        <v>0</v>
      </c>
      <c r="G37" s="690"/>
      <c r="H37" s="661"/>
      <c r="I37" s="661"/>
      <c r="J37" s="674"/>
      <c r="K37" s="627"/>
    </row>
    <row r="38" spans="2:11" ht="15.75">
      <c r="B38" s="504" t="str">
        <f>CONCATENATE(C86,"     ",D86)</f>
        <v>     </v>
      </c>
      <c r="C38" s="507"/>
      <c r="D38" s="506" t="s">
        <v>292</v>
      </c>
      <c r="E38" s="182">
        <f>IF(E37-E21&gt;0,E37-E21,0)</f>
        <v>0</v>
      </c>
      <c r="G38" s="686">
        <f>ROUND(C33*0.05+C33,0)</f>
        <v>0</v>
      </c>
      <c r="H38" s="661" t="str">
        <f>CONCATENATE("Less ",E1-2," Expenditures + 5%")</f>
        <v>Less 2011 Expenditures + 5%</v>
      </c>
      <c r="I38" s="661"/>
      <c r="J38" s="674"/>
      <c r="K38" s="627"/>
    </row>
    <row r="39" spans="2:11" ht="15.75">
      <c r="B39" s="211"/>
      <c r="C39" s="505" t="s">
        <v>733</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872</v>
      </c>
      <c r="H41" s="836"/>
      <c r="I41" s="836"/>
      <c r="J41" s="837"/>
      <c r="K41" s="627"/>
    </row>
    <row r="42" spans="2:11" ht="16.5">
      <c r="B42" s="65"/>
      <c r="C42" s="571"/>
      <c r="D42" s="65"/>
      <c r="E42" s="65"/>
      <c r="G42" s="701"/>
      <c r="H42" s="678"/>
      <c r="I42" s="702"/>
      <c r="J42" s="703"/>
      <c r="K42" s="627"/>
    </row>
    <row r="43" spans="2:11" ht="16.5">
      <c r="B43" s="72" t="s">
        <v>274</v>
      </c>
      <c r="C43" s="70"/>
      <c r="D43" s="70"/>
      <c r="E43" s="70"/>
      <c r="G43" s="704" t="str">
        <f>summ!H28</f>
        <v> </v>
      </c>
      <c r="H43" s="678" t="str">
        <f>CONCATENATE("",E1," Fund Mill Rate")</f>
        <v>2013 Fund Mill Rate</v>
      </c>
      <c r="I43" s="702"/>
      <c r="J43" s="703"/>
      <c r="K43" s="627"/>
    </row>
    <row r="44" spans="2:11" ht="16.5">
      <c r="B44" s="65"/>
      <c r="C44" s="393" t="s">
        <v>275</v>
      </c>
      <c r="D44" s="396" t="s">
        <v>276</v>
      </c>
      <c r="E44" s="74" t="s">
        <v>277</v>
      </c>
      <c r="G44" s="705" t="str">
        <f>summ!E28</f>
        <v>  </v>
      </c>
      <c r="H44" s="678" t="str">
        <f>CONCATENATE("",E1-1," Fund Mill Rate")</f>
        <v>2012 Fund Mill Rate</v>
      </c>
      <c r="I44" s="702"/>
      <c r="J44" s="703"/>
      <c r="K44" s="627"/>
    </row>
    <row r="45" spans="2:11" ht="16.5">
      <c r="B45" s="490">
        <f>inputPrYr!B31</f>
        <v>0</v>
      </c>
      <c r="C45" s="394" t="str">
        <f>C5</f>
        <v>Actual for 2011</v>
      </c>
      <c r="D45" s="394" t="str">
        <f>D5</f>
        <v>Estimate for 2012</v>
      </c>
      <c r="E45" s="79" t="str">
        <f>E5</f>
        <v>Year for 2013</v>
      </c>
      <c r="G45" s="707">
        <f>summ!H36</f>
        <v>11.098</v>
      </c>
      <c r="H45" s="678" t="str">
        <f>CONCATENATE("Total ",E1," Mill Rate")</f>
        <v>Total 2013 Mill Rate</v>
      </c>
      <c r="I45" s="702"/>
      <c r="J45" s="703"/>
      <c r="K45" s="627"/>
    </row>
    <row r="46" spans="2:11" ht="16.5">
      <c r="B46" s="80" t="s">
        <v>70</v>
      </c>
      <c r="C46" s="314"/>
      <c r="D46" s="395">
        <f>C74</f>
        <v>0</v>
      </c>
      <c r="E46" s="262">
        <f>D74</f>
        <v>0</v>
      </c>
      <c r="G46" s="705">
        <f>summ!E36</f>
        <v>11.981</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280</v>
      </c>
      <c r="C48" s="314"/>
      <c r="D48" s="395">
        <f>IF(inputPrYr!H19&gt;0,inputPrYr!G31,inputPrYr!E31)</f>
        <v>0</v>
      </c>
      <c r="E48" s="316" t="s">
        <v>259</v>
      </c>
      <c r="G48" s="627"/>
      <c r="H48" s="627"/>
      <c r="I48" s="627"/>
      <c r="J48" s="627"/>
      <c r="K48" s="627"/>
    </row>
    <row r="49" spans="2:11" ht="15.75">
      <c r="B49" s="80" t="s">
        <v>281</v>
      </c>
      <c r="C49" s="314"/>
      <c r="D49" s="314"/>
      <c r="E49" s="171"/>
      <c r="G49" s="627"/>
      <c r="H49" s="627"/>
      <c r="I49" s="627"/>
      <c r="J49" s="627"/>
      <c r="K49" s="627"/>
    </row>
    <row r="50" spans="2:11" ht="15.75">
      <c r="B50" s="80" t="s">
        <v>282</v>
      </c>
      <c r="C50" s="314"/>
      <c r="D50" s="314"/>
      <c r="E50" s="262">
        <f>mvalloc!G22</f>
        <v>0</v>
      </c>
      <c r="G50" s="627"/>
      <c r="H50" s="627"/>
      <c r="I50" s="627"/>
      <c r="J50" s="627"/>
      <c r="K50" s="627"/>
    </row>
    <row r="51" spans="2:11" ht="15.75">
      <c r="B51" s="80" t="s">
        <v>283</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286</v>
      </c>
      <c r="C57" s="314"/>
      <c r="D57" s="314"/>
      <c r="E57" s="171"/>
      <c r="G57" s="627"/>
      <c r="H57" s="627"/>
      <c r="I57" s="627"/>
      <c r="J57" s="627"/>
      <c r="K57" s="627"/>
    </row>
    <row r="58" spans="2:11" ht="15.75">
      <c r="B58" s="320" t="s">
        <v>232</v>
      </c>
      <c r="C58" s="314"/>
      <c r="D58" s="314"/>
      <c r="E58" s="171"/>
      <c r="G58" s="627"/>
      <c r="H58" s="627"/>
      <c r="I58" s="627"/>
      <c r="J58" s="627"/>
      <c r="K58" s="627"/>
    </row>
    <row r="59" spans="2:11" ht="15.75">
      <c r="B59" s="320" t="s">
        <v>233</v>
      </c>
      <c r="C59" s="397">
        <f>IF(C60*0.1&lt;C58,"Exceed 10% Rule","")</f>
      </c>
      <c r="D59" s="397">
        <f>IF(D60*0.1&lt;D58,"Exceed 10% Rule","")</f>
      </c>
      <c r="E59" s="324">
        <f>IF(E60*0.1+E80&lt;E58,"Exceed 10% Rule","")</f>
      </c>
      <c r="G59" s="627"/>
      <c r="H59" s="627"/>
      <c r="I59" s="627"/>
      <c r="J59" s="627"/>
      <c r="K59" s="627"/>
    </row>
    <row r="60" spans="2:11" ht="15.75">
      <c r="B60" s="322" t="s">
        <v>287</v>
      </c>
      <c r="C60" s="398">
        <f>SUM(C48:C58)</f>
        <v>0</v>
      </c>
      <c r="D60" s="398">
        <f>SUM(D48:D58)</f>
        <v>0</v>
      </c>
      <c r="E60" s="323">
        <f>SUM(E48:E58)</f>
        <v>0</v>
      </c>
      <c r="G60" s="627"/>
      <c r="H60" s="627"/>
      <c r="I60" s="627"/>
      <c r="J60" s="627"/>
      <c r="K60" s="627"/>
    </row>
    <row r="61" spans="2:11" ht="15.75">
      <c r="B61" s="98" t="s">
        <v>288</v>
      </c>
      <c r="C61" s="398">
        <f>C60+C46</f>
        <v>0</v>
      </c>
      <c r="D61" s="398">
        <f>D60+D46</f>
        <v>0</v>
      </c>
      <c r="E61" s="323">
        <f>E60+E46</f>
        <v>0</v>
      </c>
      <c r="G61" s="627"/>
      <c r="H61" s="627"/>
      <c r="I61" s="627"/>
      <c r="J61" s="627"/>
      <c r="K61" s="627"/>
    </row>
    <row r="62" spans="2:11" ht="15.75">
      <c r="B62" s="80" t="s">
        <v>289</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737</v>
      </c>
      <c r="H66" s="661"/>
      <c r="I66" s="661"/>
      <c r="J66" s="664">
        <v>0</v>
      </c>
      <c r="K66" s="627"/>
    </row>
    <row r="67" spans="2:11" ht="15.75">
      <c r="B67" s="319"/>
      <c r="C67" s="314"/>
      <c r="D67" s="314"/>
      <c r="E67" s="171"/>
      <c r="G67" s="659" t="s">
        <v>738</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871</v>
      </c>
      <c r="H69" s="671"/>
      <c r="I69" s="671"/>
      <c r="J69" s="672">
        <f>IF(J66&gt;0,J68-E77,0)</f>
        <v>0</v>
      </c>
      <c r="K69" s="627"/>
    </row>
    <row r="70" spans="2:11" ht="15.75">
      <c r="B70" s="317" t="s">
        <v>234</v>
      </c>
      <c r="C70" s="314"/>
      <c r="D70" s="314"/>
      <c r="E70" s="182">
        <f>nhood!E17</f>
      </c>
      <c r="G70" s="627"/>
      <c r="H70" s="627"/>
      <c r="I70" s="627"/>
      <c r="J70" s="627"/>
      <c r="K70" s="627"/>
    </row>
    <row r="71" spans="2:11" ht="16.5">
      <c r="B71" s="317" t="s">
        <v>232</v>
      </c>
      <c r="C71" s="314"/>
      <c r="D71" s="314"/>
      <c r="E71" s="171"/>
      <c r="G71" s="828" t="str">
        <f>CONCATENATE("Projected Carryover Into ",E1+1,"")</f>
        <v>Projected Carryover Into 2014</v>
      </c>
      <c r="H71" s="831"/>
      <c r="I71" s="831"/>
      <c r="J71" s="832"/>
      <c r="K71" s="627"/>
    </row>
    <row r="72" spans="2:11" ht="15.75">
      <c r="B72" s="317" t="s">
        <v>734</v>
      </c>
      <c r="C72" s="397">
        <f>IF(C73*0.1&lt;C71,"Exceed 10% Rule","")</f>
      </c>
      <c r="D72" s="397">
        <f>IF(D73*0.1&lt;D71,"Exceed 10% Rule","")</f>
      </c>
      <c r="E72" s="324">
        <f>IF(E73*0.1&lt;E71,"Exceed 10% Rule","")</f>
      </c>
      <c r="G72" s="713"/>
      <c r="H72" s="660"/>
      <c r="I72" s="660"/>
      <c r="J72" s="714"/>
      <c r="K72" s="627"/>
    </row>
    <row r="73" spans="2:11" ht="15.75">
      <c r="B73" s="98" t="s">
        <v>290</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259</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259</v>
      </c>
      <c r="F75" s="325"/>
      <c r="G75" s="686">
        <f>IF(E79&gt;0,E78,E80)</f>
        <v>0</v>
      </c>
      <c r="H75" s="661" t="str">
        <f>CONCATENATE("",E1," Ad Valorem Tax (est.)")</f>
        <v>2013 Ad Valorem Tax (est.)</v>
      </c>
      <c r="I75" s="679"/>
      <c r="J75" s="714"/>
      <c r="K75" s="687">
        <f>IF(G75=E80,"","Note: Does not include Delinquent Taxes")</f>
      </c>
    </row>
    <row r="76" spans="2:11" ht="16.5">
      <c r="B76" s="117"/>
      <c r="C76" s="816" t="s">
        <v>731</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732</v>
      </c>
      <c r="D77" s="819"/>
      <c r="E77" s="262">
        <f>E73+E76</f>
        <v>0</v>
      </c>
      <c r="G77" s="718"/>
      <c r="H77" s="719"/>
      <c r="I77" s="660"/>
      <c r="J77" s="714"/>
      <c r="K77" s="627"/>
    </row>
    <row r="78" spans="2:11" ht="15.75">
      <c r="B78" s="504" t="str">
        <f>CONCATENATE(C88,"     ",D88)</f>
        <v>     </v>
      </c>
      <c r="C78" s="507"/>
      <c r="D78" s="506" t="s">
        <v>292</v>
      </c>
      <c r="E78" s="182">
        <f>IF(E77-E61&gt;0,E77-E61,0)</f>
        <v>0</v>
      </c>
      <c r="G78" s="686">
        <f>ROUND(C73*0.05+C73,0)</f>
        <v>0</v>
      </c>
      <c r="H78" s="661" t="str">
        <f>CONCATENATE("Less ",E1-2," Expenditures + 5%")</f>
        <v>Less 2011 Expenditures + 5%</v>
      </c>
      <c r="I78" s="717"/>
      <c r="J78" s="714"/>
      <c r="K78" s="627"/>
    </row>
    <row r="79" spans="2:11" ht="15.75">
      <c r="B79" s="211"/>
      <c r="C79" s="505" t="s">
        <v>733</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273</v>
      </c>
      <c r="C81" s="212"/>
      <c r="D81" s="65"/>
      <c r="E81" s="65"/>
      <c r="G81" s="835" t="s">
        <v>872</v>
      </c>
      <c r="H81" s="836"/>
      <c r="I81" s="836"/>
      <c r="J81" s="837"/>
      <c r="K81" s="627"/>
    </row>
    <row r="82" spans="2:11" ht="16.5">
      <c r="B82" s="113"/>
      <c r="G82" s="701"/>
      <c r="H82" s="678"/>
      <c r="I82" s="702"/>
      <c r="J82" s="703"/>
      <c r="K82" s="627"/>
    </row>
    <row r="83" spans="7:11" ht="16.5">
      <c r="G83" s="704" t="str">
        <f>summ!H29</f>
        <v> </v>
      </c>
      <c r="H83" s="678" t="str">
        <f>CONCATENATE("",E1," Fund Mill Rate")</f>
        <v>2013 Fund Mill Rate</v>
      </c>
      <c r="I83" s="702"/>
      <c r="J83" s="703"/>
      <c r="K83" s="627"/>
    </row>
    <row r="84" spans="7:11" ht="16.5">
      <c r="G84" s="705" t="str">
        <f>summ!E29</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11.098</v>
      </c>
      <c r="H89" s="678" t="str">
        <f>CONCATENATE("Total ",E1," Mill Rate")</f>
        <v>Total 2013 Mill Rate</v>
      </c>
      <c r="I89" s="702"/>
      <c r="J89" s="703"/>
    </row>
    <row r="90" spans="7:10" ht="16.5">
      <c r="G90" s="705">
        <f>summ!E36</f>
        <v>11.981</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Valley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947</v>
      </c>
      <c r="E3" s="71"/>
    </row>
    <row r="4" spans="1:5" ht="15.75">
      <c r="A4" s="157" t="s">
        <v>228</v>
      </c>
      <c r="B4" s="65"/>
      <c r="C4" s="65"/>
      <c r="D4" s="158" t="s">
        <v>946</v>
      </c>
      <c r="E4" s="71"/>
    </row>
    <row r="5" spans="1:5" ht="15.75">
      <c r="A5" s="65"/>
      <c r="B5" s="65"/>
      <c r="C5" s="65"/>
      <c r="D5" s="65"/>
      <c r="E5" s="65"/>
    </row>
    <row r="6" spans="1:5" ht="15.75">
      <c r="A6" s="159" t="s">
        <v>150</v>
      </c>
      <c r="B6" s="65"/>
      <c r="C6" s="65"/>
      <c r="D6" s="368" t="s">
        <v>948</v>
      </c>
      <c r="E6" s="65"/>
    </row>
    <row r="7" spans="1:5" ht="15.75">
      <c r="A7" s="159" t="s">
        <v>151</v>
      </c>
      <c r="B7" s="65"/>
      <c r="C7" s="65"/>
      <c r="D7" s="111"/>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7" t="s">
        <v>812</v>
      </c>
      <c r="H11" s="758"/>
    </row>
    <row r="12" spans="1:8" ht="15.75">
      <c r="A12" s="161" t="s">
        <v>167</v>
      </c>
      <c r="B12" s="162"/>
      <c r="C12" s="162"/>
      <c r="D12" s="162"/>
      <c r="E12" s="162"/>
      <c r="F12" s="65"/>
      <c r="G12" s="759"/>
      <c r="H12" s="758"/>
    </row>
    <row r="13" spans="1:8" ht="15.75">
      <c r="A13" s="65"/>
      <c r="B13" s="65"/>
      <c r="C13" s="65"/>
      <c r="D13" s="65"/>
      <c r="E13" s="65"/>
      <c r="F13" s="65"/>
      <c r="G13" s="759"/>
      <c r="H13" s="758"/>
    </row>
    <row r="14" spans="1:8" ht="15.75">
      <c r="A14" s="755" t="s">
        <v>110</v>
      </c>
      <c r="B14" s="756"/>
      <c r="C14" s="756"/>
      <c r="D14" s="756"/>
      <c r="E14" s="756"/>
      <c r="F14" s="65"/>
      <c r="G14" s="759"/>
      <c r="H14" s="758"/>
    </row>
    <row r="15" spans="1:8" ht="15.75">
      <c r="A15" s="157"/>
      <c r="B15" s="65"/>
      <c r="C15" s="65"/>
      <c r="D15" s="65"/>
      <c r="E15" s="65"/>
      <c r="F15" s="65"/>
      <c r="G15" s="759"/>
      <c r="H15" s="758"/>
    </row>
    <row r="16" spans="1:8" ht="15.75">
      <c r="A16" s="163" t="s">
        <v>99</v>
      </c>
      <c r="B16" s="164"/>
      <c r="C16" s="65"/>
      <c r="D16" s="68"/>
      <c r="E16" s="165"/>
      <c r="F16" s="65"/>
      <c r="G16" s="759"/>
      <c r="H16" s="758"/>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813</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15150</v>
      </c>
      <c r="E20" s="171">
        <v>11075</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v>85240</v>
      </c>
      <c r="E23" s="171">
        <v>58943</v>
      </c>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70018</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100390</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3" t="str">
        <f>CONCATENATE("",D9-3," Tax Rate         (",D9-2," Column)")</f>
        <v>2010 Tax Rate         (2011 Column)</v>
      </c>
      <c r="E47" s="65"/>
    </row>
    <row r="48" spans="1:5" ht="15.75">
      <c r="A48" s="166" t="str">
        <f>CONCATENATE("the ",D9-1," Budget, Budget Summary Page:")</f>
        <v>the 2012 Budget, Budget Summary Page:</v>
      </c>
      <c r="B48" s="183"/>
      <c r="C48" s="65"/>
      <c r="D48" s="754"/>
      <c r="E48" s="65"/>
    </row>
    <row r="49" spans="1:5" ht="15.75">
      <c r="A49" s="65"/>
      <c r="B49" s="90" t="str">
        <f>B20</f>
        <v>General</v>
      </c>
      <c r="C49" s="65"/>
      <c r="D49" s="184">
        <v>1.775</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11.175</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12.950000000000001</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63343</v>
      </c>
    </row>
    <row r="64" spans="1:5" ht="15.75">
      <c r="A64" s="188" t="str">
        <f>CONCATENATE("Assessed Valuation (",D9-2," budget column):")</f>
        <v>Assessed Valuation (2011 budget column):</v>
      </c>
      <c r="B64" s="164"/>
      <c r="C64" s="65"/>
      <c r="D64" s="65"/>
      <c r="E64" s="189">
        <v>5341089</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v>0</v>
      </c>
      <c r="E67" s="181">
        <v>0</v>
      </c>
    </row>
    <row r="68" spans="1:5" ht="15.75">
      <c r="A68" s="195" t="s">
        <v>164</v>
      </c>
      <c r="B68" s="195"/>
      <c r="C68" s="196"/>
      <c r="D68" s="181">
        <v>0</v>
      </c>
      <c r="E68" s="181">
        <v>0</v>
      </c>
    </row>
    <row r="69" spans="1:5" ht="15.75">
      <c r="A69" s="195" t="s">
        <v>117</v>
      </c>
      <c r="B69" s="195"/>
      <c r="C69" s="196"/>
      <c r="D69" s="181">
        <v>90906</v>
      </c>
      <c r="E69" s="181">
        <v>82150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Valley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Valley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41">
        <f>inputPrYr!B41</f>
        <v>0</v>
      </c>
      <c r="B5" s="842"/>
      <c r="C5" s="841">
        <f>inputPrYr!B42</f>
        <v>0</v>
      </c>
      <c r="D5" s="842"/>
      <c r="E5" s="841">
        <f>inputPrYr!B43</f>
        <v>0</v>
      </c>
      <c r="F5" s="842"/>
      <c r="G5" s="843">
        <f>inputPrYr!B44</f>
        <v>0</v>
      </c>
      <c r="H5" s="842"/>
      <c r="I5" s="843">
        <f>inputPrYr!B45</f>
        <v>0</v>
      </c>
      <c r="J5" s="842"/>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2" t="s">
        <v>23</v>
      </c>
      <c r="B2" s="784"/>
      <c r="C2" s="784"/>
      <c r="D2" s="784"/>
      <c r="E2" s="784"/>
      <c r="F2" s="784"/>
      <c r="G2" s="784"/>
      <c r="H2" s="784"/>
    </row>
    <row r="3" spans="1:8" ht="15.75">
      <c r="A3" s="367"/>
      <c r="B3" s="65"/>
      <c r="C3" s="65"/>
      <c r="D3" s="65"/>
      <c r="E3" s="65"/>
      <c r="F3" s="72" t="s">
        <v>301</v>
      </c>
      <c r="G3" s="72" t="s">
        <v>302</v>
      </c>
      <c r="H3" s="65"/>
    </row>
    <row r="4" spans="1:8" ht="15.75">
      <c r="A4" s="797" t="s">
        <v>303</v>
      </c>
      <c r="B4" s="797"/>
      <c r="C4" s="797"/>
      <c r="D4" s="797"/>
      <c r="E4" s="797"/>
      <c r="F4" s="797"/>
      <c r="G4" s="797"/>
      <c r="H4" s="797"/>
    </row>
    <row r="5" spans="1:8" ht="15.75">
      <c r="A5" s="800" t="str">
        <f>inputPrYr!D3</f>
        <v>Valley Township</v>
      </c>
      <c r="B5" s="800"/>
      <c r="C5" s="800"/>
      <c r="D5" s="800"/>
      <c r="E5" s="800"/>
      <c r="F5" s="800"/>
      <c r="G5" s="800"/>
      <c r="H5" s="800"/>
    </row>
    <row r="6" spans="1:8" ht="15.75">
      <c r="A6" s="800" t="str">
        <f>inputPrYr!D4</f>
        <v>Rice</v>
      </c>
      <c r="B6" s="800"/>
      <c r="C6" s="800"/>
      <c r="D6" s="800"/>
      <c r="E6" s="800"/>
      <c r="F6" s="800"/>
      <c r="G6" s="800"/>
      <c r="H6" s="800"/>
    </row>
    <row r="7" spans="1:8" ht="15.75">
      <c r="A7" s="856" t="str">
        <f>CONCATENATE("will meet on ",inputBudSum!B8," at ",inputBudSum!B10," at ",inputBudSum!B12," for the purpose of hearing and")</f>
        <v>will meet on August 3, 2012 at 7:00 p.m. at Township Hall for the purpose of hearing and</v>
      </c>
      <c r="B7" s="856"/>
      <c r="C7" s="856"/>
      <c r="D7" s="856"/>
      <c r="E7" s="856"/>
      <c r="F7" s="856"/>
      <c r="G7" s="856"/>
      <c r="H7" s="856"/>
    </row>
    <row r="8" spans="1:8" ht="15.75">
      <c r="A8" s="797" t="s">
        <v>412</v>
      </c>
      <c r="B8" s="799"/>
      <c r="C8" s="799"/>
      <c r="D8" s="799"/>
      <c r="E8" s="799"/>
      <c r="F8" s="799"/>
      <c r="G8" s="799"/>
      <c r="H8" s="799"/>
    </row>
    <row r="9" spans="1:8" ht="15.75">
      <c r="A9" s="795" t="str">
        <f>CONCATENATE("Detailed budget information is available at ",inputBudSum!B15," and will be available at this hearing.")</f>
        <v>Detailed budget information is available at the Rice County Clerk's Office and will be available at this hearing.</v>
      </c>
      <c r="B9" s="784"/>
      <c r="C9" s="784"/>
      <c r="D9" s="784"/>
      <c r="E9" s="784"/>
      <c r="F9" s="784"/>
      <c r="G9" s="784"/>
      <c r="H9" s="784"/>
    </row>
    <row r="10" spans="1:8" ht="15.75">
      <c r="A10" s="802" t="s">
        <v>24</v>
      </c>
      <c r="B10" s="799"/>
      <c r="C10" s="799"/>
      <c r="D10" s="799"/>
      <c r="E10" s="799"/>
      <c r="F10" s="799"/>
      <c r="G10" s="799"/>
      <c r="H10" s="799"/>
    </row>
    <row r="11" spans="1:8" ht="15.75">
      <c r="A11" s="797" t="str">
        <f>CONCATENATE("Proposed Budget ",H1," Expenditures and Amount of ",H1-1," Ad Valorem Tax establish the maximum limits")</f>
        <v>Proposed Budget 2013 Expenditures and Amount of 2012 Ad Valorem Tax establish the maximum limits</v>
      </c>
      <c r="B11" s="799"/>
      <c r="C11" s="799"/>
      <c r="D11" s="799"/>
      <c r="E11" s="799"/>
      <c r="F11" s="799"/>
      <c r="G11" s="799"/>
      <c r="H11" s="799"/>
    </row>
    <row r="12" spans="1:8" ht="15.75">
      <c r="A12" s="797" t="str">
        <f>CONCATENATE("of the ",H1," budget.  Estimated Tax Rate is subject to change depending on the final assessed valuation.")</f>
        <v>of the 2013 budget.  Estimated Tax Rate is subject to change depending on the final assessed valuation.</v>
      </c>
      <c r="B12" s="799"/>
      <c r="C12" s="799"/>
      <c r="D12" s="799"/>
      <c r="E12" s="799"/>
      <c r="F12" s="799"/>
      <c r="G12" s="799"/>
      <c r="H12" s="799"/>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89" t="str">
        <f>CONCATENATE("Amount of ",H1-1," Ad Valorem Tax")</f>
        <v>Amount of 2012 Ad Valorem Tax</v>
      </c>
      <c r="H15" s="74" t="s">
        <v>304</v>
      </c>
      <c r="I15" s="199"/>
    </row>
    <row r="16" spans="1:9" ht="15.75">
      <c r="A16" s="75"/>
      <c r="B16" s="76"/>
      <c r="C16" s="76" t="s">
        <v>305</v>
      </c>
      <c r="D16" s="76"/>
      <c r="E16" s="76" t="s">
        <v>305</v>
      </c>
      <c r="F16" s="500" t="s">
        <v>177</v>
      </c>
      <c r="G16" s="854"/>
      <c r="H16" s="76" t="s">
        <v>305</v>
      </c>
      <c r="I16" s="199"/>
    </row>
    <row r="17" spans="1:10" ht="15.75">
      <c r="A17" s="79" t="s">
        <v>255</v>
      </c>
      <c r="B17" s="79" t="s">
        <v>306</v>
      </c>
      <c r="C17" s="79" t="s">
        <v>307</v>
      </c>
      <c r="D17" s="79" t="s">
        <v>306</v>
      </c>
      <c r="E17" s="79" t="s">
        <v>307</v>
      </c>
      <c r="F17" s="499" t="s">
        <v>730</v>
      </c>
      <c r="G17" s="855"/>
      <c r="H17" s="79" t="s">
        <v>307</v>
      </c>
      <c r="I17" s="199"/>
      <c r="J17" s="532"/>
    </row>
    <row r="18" spans="1:10" ht="15.75">
      <c r="A18" s="90" t="str">
        <f>inputPrYr!B20</f>
        <v>General</v>
      </c>
      <c r="B18" s="90">
        <f>IF(gen!$C$50&lt;&gt;0,gen!$C$50,"  ")</f>
        <v>8722</v>
      </c>
      <c r="C18" s="93">
        <f>IF(inputPrYr!D49&gt;0,inputPrYr!D49,"  ")</f>
        <v>1.775</v>
      </c>
      <c r="D18" s="90">
        <f>IF(gen!$D$50&lt;&gt;0,gen!$D$50,"  ")</f>
        <v>15150</v>
      </c>
      <c r="E18" s="93">
        <f>IF(inputOth!D37&gt;0,inputOth!D37,"  ")</f>
        <v>1.733</v>
      </c>
      <c r="F18" s="90">
        <f>IF(gen!$E$50&lt;&gt;0,gen!$E$50,"  ")</f>
        <v>15150</v>
      </c>
      <c r="G18" s="90">
        <f>IF(gen!$E$57&lt;&gt;0,gen!$E$57,"")</f>
        <v>8624</v>
      </c>
      <c r="H18" s="93">
        <f>IF(gen!E57&gt;0,ROUND(G18/F40*1000,3)," ")</f>
        <v>1.643</v>
      </c>
      <c r="I18" s="199"/>
      <c r="J18" s="532"/>
    </row>
    <row r="19" spans="1:9" ht="15.7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56677</v>
      </c>
      <c r="C21" s="93">
        <f>IF(inputPrYr!D52&gt;0,inputPrYr!D52,"  ")</f>
        <v>11.175</v>
      </c>
      <c r="D21" s="90">
        <f>IF(road!$D$43&lt;&gt;0,road!$D$43,"  ")</f>
        <v>65240</v>
      </c>
      <c r="E21" s="93">
        <f>IF(inputOth!D40&gt;0,inputOth!D40,"  ")</f>
        <v>10.248</v>
      </c>
      <c r="F21" s="90">
        <f>IF(road!$E$43&lt;&gt;0,road!$E$43,"  ")</f>
        <v>85740</v>
      </c>
      <c r="G21" s="90">
        <f>IF(road!$E$50&lt;&gt;0,road!$E$50,"  ")</f>
        <v>43390</v>
      </c>
      <c r="H21" s="93">
        <f>IF(road!E50&gt;0,ROUND(G21/F41*1000,3)," ")</f>
        <v>9.455</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5250</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4589</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11.981</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3637</v>
      </c>
    </row>
    <row r="34" spans="1:13" ht="15.75">
      <c r="A34" s="90" t="str">
        <f>IF((inputPrYr!$B41&gt;"  "),(nonbud!$A3),"  ")</f>
        <v>  </v>
      </c>
      <c r="B34" s="747" t="str">
        <f>IF((nonbud!$K$28)&lt;&gt;0,(nonbud!$K$28),"  ")</f>
        <v>  </v>
      </c>
      <c r="C34" s="339"/>
      <c r="D34" s="90"/>
      <c r="E34" s="93"/>
      <c r="F34" s="90"/>
      <c r="G34" s="90"/>
      <c r="H34" s="93"/>
      <c r="J34" s="519" t="s">
        <v>750</v>
      </c>
      <c r="K34" s="516"/>
      <c r="L34" s="516"/>
      <c r="M34" s="518">
        <f>M46*-1</f>
        <v>474</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65399</v>
      </c>
      <c r="C36" s="481">
        <f t="shared" si="0"/>
        <v>12.950000000000001</v>
      </c>
      <c r="D36" s="480">
        <f t="shared" si="0"/>
        <v>80390</v>
      </c>
      <c r="E36" s="481">
        <f t="shared" si="0"/>
        <v>11.981</v>
      </c>
      <c r="F36" s="480">
        <f t="shared" si="0"/>
        <v>100890</v>
      </c>
      <c r="G36" s="480">
        <f t="shared" si="0"/>
        <v>52014</v>
      </c>
      <c r="H36" s="481">
        <f t="shared" si="0"/>
        <v>11.098</v>
      </c>
      <c r="J36" s="846" t="str">
        <f>CONCATENATE("Impact On Keeping The Same Mill Rate As For ",H1-1,"")</f>
        <v>Impact On Keeping The Same Mill Rate As For 2012</v>
      </c>
      <c r="K36" s="849"/>
      <c r="L36" s="849"/>
      <c r="M36" s="850"/>
    </row>
    <row r="37" spans="1:13" ht="15.75">
      <c r="A37" s="105" t="s">
        <v>308</v>
      </c>
      <c r="B37" s="90">
        <f>transfer!C29</f>
        <v>18685</v>
      </c>
      <c r="C37" s="65"/>
      <c r="D37" s="90">
        <f>transfer!D29</f>
        <v>0</v>
      </c>
      <c r="E37" s="208"/>
      <c r="F37" s="90">
        <f>transfer!E29</f>
        <v>0</v>
      </c>
      <c r="G37" s="65"/>
      <c r="H37" s="65"/>
      <c r="J37" s="525"/>
      <c r="K37" s="530"/>
      <c r="L37" s="530"/>
      <c r="M37" s="524"/>
    </row>
    <row r="38" spans="1:13" ht="16.5" thickBot="1">
      <c r="A38" s="105" t="s">
        <v>309</v>
      </c>
      <c r="B38" s="484">
        <f>B36-B37</f>
        <v>46714</v>
      </c>
      <c r="C38" s="65"/>
      <c r="D38" s="484">
        <f>D36-D37</f>
        <v>80390</v>
      </c>
      <c r="E38" s="65"/>
      <c r="F38" s="484">
        <f>F36-F37</f>
        <v>100890</v>
      </c>
      <c r="G38" s="65"/>
      <c r="H38" s="65"/>
      <c r="J38" s="525" t="str">
        <f>CONCATENATE("",H1," Ad Valorem Tax Rev(Township Only):")</f>
        <v>2013 Ad Valorem Tax Rev(Township Only):</v>
      </c>
      <c r="K38" s="530"/>
      <c r="L38" s="530"/>
      <c r="M38" s="529">
        <f>SUM(G21:G24)</f>
        <v>43390</v>
      </c>
    </row>
    <row r="39" spans="1:13" ht="16.5" thickTop="1">
      <c r="A39" s="105" t="s">
        <v>0</v>
      </c>
      <c r="B39" s="231">
        <f>inputPrYr!E63</f>
        <v>63343</v>
      </c>
      <c r="C39" s="208"/>
      <c r="D39" s="231">
        <f>inputPrYr!E32</f>
        <v>70018</v>
      </c>
      <c r="E39" s="65"/>
      <c r="F39" s="485" t="s">
        <v>259</v>
      </c>
      <c r="G39" s="65"/>
      <c r="H39" s="65"/>
      <c r="J39" s="525" t="str">
        <f>CONCATENATE("",H1," Ad Valorem Tax Rev(Township Tot):")</f>
        <v>2013 Ad Valorem Tax Rev(Township Tot):</v>
      </c>
      <c r="K39" s="530"/>
      <c r="L39" s="530"/>
      <c r="M39" s="543">
        <f>SUM(G18,G19,G20,G25,G26,G27,G28,G29)</f>
        <v>8624</v>
      </c>
    </row>
    <row r="40" spans="1:13" ht="15.75">
      <c r="A40" s="105" t="s">
        <v>184</v>
      </c>
      <c r="B40" s="90">
        <f>inputPrYr!E64</f>
        <v>5341089</v>
      </c>
      <c r="C40" s="208"/>
      <c r="D40" s="90">
        <f>inputOth!E55</f>
        <v>6393722</v>
      </c>
      <c r="E40" s="208"/>
      <c r="F40" s="90">
        <f>inputOth!E11</f>
        <v>5249736</v>
      </c>
      <c r="G40" s="65"/>
      <c r="H40" s="65"/>
      <c r="J40" s="525" t="str">
        <f>CONCATENATE("Total ",H1," Ad Valorem Tax Revenue:")</f>
        <v>Total 2013 Ad Valorem Tax Revenue:</v>
      </c>
      <c r="K40" s="511"/>
      <c r="L40" s="511"/>
      <c r="M40" s="544">
        <f>M38+M39</f>
        <v>52014</v>
      </c>
    </row>
    <row r="41" spans="1:14" ht="15.75">
      <c r="A41" s="80" t="s">
        <v>239</v>
      </c>
      <c r="B41" s="209"/>
      <c r="C41" s="65"/>
      <c r="D41" s="178"/>
      <c r="E41" s="65"/>
      <c r="F41" s="90">
        <f>inputOth!E8</f>
        <v>4588867</v>
      </c>
      <c r="G41" s="65"/>
      <c r="H41" s="65"/>
      <c r="J41" s="525" t="str">
        <f>CONCATENATE("",H1-1," Ad Valorem Tax Rev(Township Only):")</f>
        <v>2012 Ad Valorem Tax Rev(Township Only):</v>
      </c>
      <c r="K41" s="530"/>
      <c r="L41" s="530"/>
      <c r="M41" s="545">
        <f>ROUND(SUM(E21:E24)*F41/1000,0)</f>
        <v>47027</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9098</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56125</v>
      </c>
      <c r="O43" s="537"/>
    </row>
    <row r="44" spans="1:13" ht="15.75">
      <c r="A44" s="72" t="s">
        <v>2</v>
      </c>
      <c r="B44" s="210">
        <f>H1-3</f>
        <v>2010</v>
      </c>
      <c r="C44" s="65"/>
      <c r="D44" s="210">
        <f>H1-2</f>
        <v>2011</v>
      </c>
      <c r="E44" s="65"/>
      <c r="F44" s="210">
        <f>H1-1</f>
        <v>2012</v>
      </c>
      <c r="G44" s="65"/>
      <c r="H44" s="65"/>
      <c r="J44" s="522" t="s">
        <v>740</v>
      </c>
      <c r="K44" s="521"/>
      <c r="L44" s="521"/>
      <c r="M44" s="520">
        <f>M40-M43</f>
        <v>-4111</v>
      </c>
    </row>
    <row r="45" spans="1:13" ht="15.75">
      <c r="A45" s="72" t="s">
        <v>3</v>
      </c>
      <c r="B45" s="83">
        <f>inputPrYr!D67</f>
        <v>0</v>
      </c>
      <c r="C45" s="69"/>
      <c r="D45" s="83">
        <f>inputPrYr!E67</f>
        <v>0</v>
      </c>
      <c r="E45" s="69"/>
      <c r="F45" s="83">
        <f>debt!F11</f>
        <v>0</v>
      </c>
      <c r="G45" s="65"/>
      <c r="H45" s="65"/>
      <c r="J45" s="548" t="s">
        <v>745</v>
      </c>
      <c r="K45" s="549"/>
      <c r="L45" s="549"/>
      <c r="M45" s="544">
        <f>M38-M41</f>
        <v>-3637</v>
      </c>
    </row>
    <row r="46" spans="1:13" ht="15.75">
      <c r="A46" s="72" t="s">
        <v>285</v>
      </c>
      <c r="B46" s="83">
        <f>inputPrYr!D68</f>
        <v>0</v>
      </c>
      <c r="C46" s="69"/>
      <c r="D46" s="83">
        <f>inputPrYr!E68</f>
        <v>0</v>
      </c>
      <c r="E46" s="69"/>
      <c r="F46" s="83">
        <f>debt!F15</f>
        <v>0</v>
      </c>
      <c r="G46" s="65"/>
      <c r="H46" s="367"/>
      <c r="J46" s="519" t="s">
        <v>744</v>
      </c>
      <c r="K46" s="516"/>
      <c r="L46" s="516"/>
      <c r="M46" s="518">
        <f>M39-M42</f>
        <v>-474</v>
      </c>
    </row>
    <row r="47" spans="1:8" ht="15.75">
      <c r="A47" s="72" t="s">
        <v>736</v>
      </c>
      <c r="B47" s="83">
        <f>inputPrYr!D69</f>
        <v>90906</v>
      </c>
      <c r="C47" s="69"/>
      <c r="D47" s="83">
        <f>inputPrYr!E69</f>
        <v>82150</v>
      </c>
      <c r="E47" s="69"/>
      <c r="F47" s="83">
        <f>debt!G36</f>
        <v>50000</v>
      </c>
      <c r="G47" s="65"/>
      <c r="H47" s="65"/>
    </row>
    <row r="48" spans="1:13" ht="16.5" thickBot="1">
      <c r="A48" s="72" t="s">
        <v>4</v>
      </c>
      <c r="B48" s="100">
        <f>SUM(B45:B47)</f>
        <v>90906</v>
      </c>
      <c r="C48" s="69"/>
      <c r="D48" s="100">
        <f>SUM(D45:D47)</f>
        <v>82150</v>
      </c>
      <c r="E48" s="69"/>
      <c r="F48" s="100">
        <f>SUM(F45:F47)</f>
        <v>50000</v>
      </c>
      <c r="G48" s="65"/>
      <c r="H48" s="65"/>
      <c r="J48" s="846" t="s">
        <v>741</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f>inputBudSum!B4</f>
        <v>0</v>
      </c>
      <c r="B51" s="853"/>
      <c r="C51" s="65"/>
      <c r="D51" s="65"/>
      <c r="E51" s="65"/>
      <c r="F51" s="65"/>
      <c r="G51" s="65"/>
      <c r="H51" s="65"/>
      <c r="J51" s="525" t="str">
        <f>CONCATENATE("Current ",$H$1," Estimated Mill Rate:")</f>
        <v>Current 2013 Estimated Mill Rate:</v>
      </c>
      <c r="K51" s="530"/>
      <c r="L51" s="530"/>
      <c r="M51" s="540">
        <f>IF(M50=0,0,$H$36)</f>
        <v>11.098</v>
      </c>
    </row>
    <row r="52" spans="1:13" ht="15.75">
      <c r="A52" s="844">
        <f>inputBudSum!B6</f>
        <v>0</v>
      </c>
      <c r="B52" s="845"/>
      <c r="C52" s="65"/>
      <c r="D52" s="65"/>
      <c r="E52" s="65"/>
      <c r="F52" s="65"/>
      <c r="G52" s="65"/>
      <c r="H52" s="65"/>
      <c r="J52" s="525" t="s">
        <v>746</v>
      </c>
      <c r="K52" s="530"/>
      <c r="L52" s="530"/>
      <c r="M52" s="541">
        <f>M50-M51</f>
        <v>0.9019999999999992</v>
      </c>
    </row>
    <row r="53" spans="1:13" ht="15.75">
      <c r="A53" s="65"/>
      <c r="B53" s="65"/>
      <c r="C53" s="65"/>
      <c r="D53" s="65"/>
      <c r="E53" s="65"/>
      <c r="F53" s="65"/>
      <c r="G53" s="65"/>
      <c r="H53" s="65"/>
      <c r="J53" s="510" t="s">
        <v>747</v>
      </c>
      <c r="K53" s="71"/>
      <c r="L53" s="71"/>
      <c r="M53" s="538">
        <f>IF(M50=0,0,ROUND(SUM(H21:H24)/M51,2))</f>
        <v>0.85</v>
      </c>
    </row>
    <row r="54" spans="1:13" ht="15.75">
      <c r="A54" s="65"/>
      <c r="B54" s="211" t="s">
        <v>273</v>
      </c>
      <c r="C54" s="212"/>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3518</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Valley Township</v>
      </c>
      <c r="B1" s="65"/>
      <c r="C1" s="65"/>
      <c r="D1" s="65"/>
      <c r="E1" s="65"/>
      <c r="F1" s="65">
        <f>inputPrYr!D9</f>
        <v>2013</v>
      </c>
    </row>
    <row r="2" spans="1:6" ht="15.75">
      <c r="A2" s="65"/>
      <c r="B2" s="65"/>
      <c r="C2" s="65"/>
      <c r="D2" s="65"/>
      <c r="E2" s="65"/>
      <c r="F2" s="65"/>
    </row>
    <row r="3" spans="1:6" ht="15.75">
      <c r="A3" s="65"/>
      <c r="B3" s="788" t="str">
        <f>CONCATENATE("",F1," Neighborhood Revitalization Rebate")</f>
        <v>2013 Neighborhood Revitalization Rebate</v>
      </c>
      <c r="C3" s="796"/>
      <c r="D3" s="796"/>
      <c r="E3" s="796"/>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9" t="str">
        <f>CONCATENATE("",F1-1," July 1 Valuation:")</f>
        <v>2012 July 1 Valuation:</v>
      </c>
      <c r="B21" s="858"/>
      <c r="C21" s="859"/>
      <c r="D21" s="348">
        <f>inputOth!E11</f>
        <v>5249736</v>
      </c>
      <c r="E21" s="65"/>
      <c r="F21" s="192"/>
    </row>
    <row r="22" spans="1:6" ht="15.75">
      <c r="A22" s="65"/>
      <c r="B22" s="65"/>
      <c r="C22" s="65"/>
      <c r="D22" s="65"/>
      <c r="E22" s="65"/>
      <c r="F22" s="192"/>
    </row>
    <row r="23" spans="1:6" ht="15.75">
      <c r="A23" s="65"/>
      <c r="B23" s="859" t="s">
        <v>379</v>
      </c>
      <c r="C23" s="859"/>
      <c r="D23" s="349">
        <f>IF(D21&gt;0,(D21*0.001),"")</f>
        <v>5249.736</v>
      </c>
      <c r="E23" s="65"/>
      <c r="F23" s="192"/>
    </row>
    <row r="24" spans="1:6" ht="15.75">
      <c r="A24" s="65"/>
      <c r="B24" s="117"/>
      <c r="C24" s="117"/>
      <c r="D24" s="350"/>
      <c r="E24" s="65"/>
      <c r="F24" s="192"/>
    </row>
    <row r="25" spans="1:6" ht="15.75">
      <c r="A25" s="857" t="s">
        <v>380</v>
      </c>
      <c r="B25" s="784"/>
      <c r="C25" s="784"/>
      <c r="D25" s="351">
        <f>inputOth!E33</f>
        <v>0</v>
      </c>
      <c r="E25" s="179"/>
      <c r="F25" s="179"/>
    </row>
    <row r="26" spans="1:6" ht="15.75">
      <c r="A26" s="179"/>
      <c r="B26" s="179"/>
      <c r="C26" s="179"/>
      <c r="D26" s="352"/>
      <c r="E26" s="179"/>
      <c r="F26" s="179"/>
    </row>
    <row r="27" spans="1:6" ht="15.75">
      <c r="A27" s="179"/>
      <c r="B27" s="857" t="s">
        <v>381</v>
      </c>
      <c r="C27" s="858"/>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81</v>
      </c>
      <c r="B1" s="860"/>
      <c r="C1" s="860"/>
      <c r="D1" s="860"/>
      <c r="E1" s="860"/>
      <c r="F1" s="860"/>
      <c r="G1" s="860"/>
    </row>
    <row r="2" ht="15.75">
      <c r="A2" s="21"/>
    </row>
    <row r="3" spans="1:7" ht="15.75">
      <c r="A3" s="861" t="s">
        <v>82</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Valley Township </v>
      </c>
      <c r="I6">
        <f>CONCATENATE(I7)</f>
      </c>
    </row>
    <row r="7" spans="1:7" ht="15.75">
      <c r="A7" s="862" t="str">
        <f>CONCATENATE("   with respect to financing the ",inputPrYr!D9," annual budget for ",(inputPrYr!D3)," , ",(inputPrYr!D4)," , Kansas.")</f>
        <v>   with respect to financing the 2013 annual budget for Valley Township , Rice , Kansas.</v>
      </c>
      <c r="B7" s="765"/>
      <c r="C7" s="765"/>
      <c r="D7" s="765"/>
      <c r="E7" s="765"/>
      <c r="F7" s="765"/>
      <c r="G7" s="765"/>
    </row>
    <row r="8" spans="1:7" ht="15.75">
      <c r="A8" s="765"/>
      <c r="B8" s="765"/>
      <c r="C8" s="765"/>
      <c r="D8" s="765"/>
      <c r="E8" s="765"/>
      <c r="F8" s="765"/>
      <c r="G8" s="765"/>
    </row>
    <row r="9" ht="15.75">
      <c r="A9" s="21"/>
    </row>
    <row r="10" ht="15.75">
      <c r="A10" s="29" t="s">
        <v>83</v>
      </c>
    </row>
    <row r="11" ht="15.75">
      <c r="A11" s="27" t="str">
        <f>CONCATENATE("to finance the ",inputPrYr!D9," ",(inputPrYr!D3)," budget exceed the amount levied to finance the ",inputPrYr!D9-1,"")</f>
        <v>to finance the 2013 Valley Township budget exceed the amount levied to finance the 2012</v>
      </c>
    </row>
    <row r="12" spans="1:7" ht="15.75">
      <c r="A12" s="865" t="str">
        <f>CONCATENATE((inputPrYr!D3),"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765"/>
      <c r="C12" s="765"/>
      <c r="D12" s="765"/>
      <c r="E12" s="765"/>
      <c r="F12" s="765"/>
      <c r="G12" s="765"/>
    </row>
    <row r="13" spans="1:7" ht="15.75">
      <c r="A13" s="765"/>
      <c r="B13" s="765"/>
      <c r="C13" s="765"/>
      <c r="D13" s="765"/>
      <c r="E13" s="765"/>
      <c r="F13" s="765"/>
      <c r="G13" s="765"/>
    </row>
    <row r="14" spans="1:7" ht="15.75">
      <c r="A14" s="865" t="s">
        <v>88</v>
      </c>
      <c r="B14" s="765"/>
      <c r="C14" s="765"/>
      <c r="D14" s="765"/>
      <c r="E14" s="765"/>
      <c r="F14" s="765"/>
      <c r="G14" s="765"/>
    </row>
    <row r="15" spans="1:7" ht="15.75">
      <c r="A15" s="765"/>
      <c r="B15" s="765"/>
      <c r="C15" s="765"/>
      <c r="D15" s="765"/>
      <c r="E15" s="765"/>
      <c r="F15" s="765"/>
      <c r="G15" s="765"/>
    </row>
    <row r="16" spans="1:7" ht="15.75">
      <c r="A16" s="866"/>
      <c r="B16" s="866"/>
      <c r="C16" s="866"/>
      <c r="D16" s="866"/>
      <c r="E16" s="866"/>
      <c r="F16" s="866"/>
      <c r="G16" s="866"/>
    </row>
    <row r="17" ht="15.75">
      <c r="A17" s="22"/>
    </row>
    <row r="18" spans="1:7" ht="15.75">
      <c r="A18" s="863" t="s">
        <v>84</v>
      </c>
      <c r="B18" s="765"/>
      <c r="C18" s="765"/>
      <c r="D18" s="765"/>
      <c r="E18" s="765"/>
      <c r="F18" s="765"/>
      <c r="G18" s="765"/>
    </row>
    <row r="19" spans="1:7" ht="15.75">
      <c r="A19" s="765"/>
      <c r="B19" s="765"/>
      <c r="C19" s="765"/>
      <c r="D19" s="765"/>
      <c r="E19" s="765"/>
      <c r="F19" s="765"/>
      <c r="G19" s="765"/>
    </row>
    <row r="20" ht="15.75">
      <c r="A20" s="22"/>
    </row>
    <row r="21" spans="1:7" ht="15.75">
      <c r="A21" s="863" t="str">
        <f>CONCATENATE("Whereas, ",(inputPrYr!D3)," provides essential services to protect the safety and well being of the citizens of the township; and")</f>
        <v>Whereas, Valley Township provides essential services to protect the safety and well being of the citizens of the township; and</v>
      </c>
      <c r="B21" s="765"/>
      <c r="C21" s="765"/>
      <c r="D21" s="765"/>
      <c r="E21" s="765"/>
      <c r="F21" s="765"/>
      <c r="G21" s="765"/>
    </row>
    <row r="22" spans="1:7" ht="15.75">
      <c r="A22" s="765"/>
      <c r="B22" s="765"/>
      <c r="C22" s="765"/>
      <c r="D22" s="765"/>
      <c r="E22" s="765"/>
      <c r="F22" s="765"/>
      <c r="G22" s="765"/>
    </row>
    <row r="23" ht="15.75">
      <c r="A23" s="24"/>
    </row>
    <row r="24" ht="15.75">
      <c r="A24" s="23" t="s">
        <v>85</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Valley Township of Rice, Kansas that is our desire to notify the public of increased property taxes to finance the 2013 Valley Township  budget as defined above.</v>
      </c>
      <c r="B26" s="765"/>
      <c r="C26" s="765"/>
      <c r="D26" s="765"/>
      <c r="E26" s="765"/>
      <c r="F26" s="765"/>
      <c r="G26" s="765"/>
    </row>
    <row r="27" spans="1:7" ht="15.75">
      <c r="A27" s="765"/>
      <c r="B27" s="765"/>
      <c r="C27" s="765"/>
      <c r="D27" s="765"/>
      <c r="E27" s="765"/>
      <c r="F27" s="765"/>
      <c r="G27" s="765"/>
    </row>
    <row r="28" spans="1:7" ht="15.75">
      <c r="A28" s="765"/>
      <c r="B28" s="765"/>
      <c r="C28" s="765"/>
      <c r="D28" s="765"/>
      <c r="E28" s="765"/>
      <c r="F28" s="765"/>
      <c r="G28" s="765"/>
    </row>
    <row r="29" ht="15.75">
      <c r="A29" s="24"/>
    </row>
    <row r="30" spans="1:7" ht="15.75">
      <c r="A30" s="868" t="str">
        <f>CONCATENATE("Adopted this _________ day of ___________, ",inputPrYr!D9-1," by the ",(inputPrYr!D3)," Board, ",(inputPrYr!D4),", Kansas.")</f>
        <v>Adopted this _________ day of ___________, 2012 by the Valley Township Board, Rice, Kansas.</v>
      </c>
      <c r="B30" s="765"/>
      <c r="C30" s="765"/>
      <c r="D30" s="765"/>
      <c r="E30" s="765"/>
      <c r="F30" s="765"/>
      <c r="G30" s="765"/>
    </row>
    <row r="31" spans="1:7" ht="15.75">
      <c r="A31" s="765"/>
      <c r="B31" s="765"/>
      <c r="C31" s="765"/>
      <c r="D31" s="765"/>
      <c r="E31" s="765"/>
      <c r="F31" s="765"/>
      <c r="G31" s="765"/>
    </row>
    <row r="32" ht="15.75">
      <c r="A32" s="24"/>
    </row>
    <row r="33" spans="4:7" ht="15.75">
      <c r="D33" s="864" t="str">
        <f>CONCATENATE((inputPrYr!D3)," Board")</f>
        <v>Valley Township Board</v>
      </c>
      <c r="E33" s="864"/>
      <c r="F33" s="864"/>
      <c r="G33" s="864"/>
    </row>
    <row r="35" spans="4:7" ht="15.75">
      <c r="D35" s="867" t="s">
        <v>86</v>
      </c>
      <c r="E35" s="867"/>
      <c r="F35" s="867"/>
      <c r="G35" s="867"/>
    </row>
    <row r="36" spans="1:7" ht="15.75">
      <c r="A36" s="25"/>
      <c r="D36" s="867" t="s">
        <v>90</v>
      </c>
      <c r="E36" s="867"/>
      <c r="F36" s="867"/>
      <c r="G36" s="867"/>
    </row>
    <row r="37" spans="4:7" ht="15.75">
      <c r="D37" s="867"/>
      <c r="E37" s="867"/>
      <c r="F37" s="867"/>
      <c r="G37" s="867"/>
    </row>
    <row r="38" spans="4:7" ht="15.75">
      <c r="D38" s="867" t="s">
        <v>86</v>
      </c>
      <c r="E38" s="867"/>
      <c r="F38" s="867"/>
      <c r="G38" s="867"/>
    </row>
    <row r="39" spans="1:7" ht="15.75">
      <c r="A39" s="24"/>
      <c r="D39" s="867" t="s">
        <v>91</v>
      </c>
      <c r="E39" s="867"/>
      <c r="F39" s="867"/>
      <c r="G39" s="867"/>
    </row>
    <row r="40" spans="4:7" ht="15.75">
      <c r="D40" s="867"/>
      <c r="E40" s="867"/>
      <c r="F40" s="867"/>
      <c r="G40" s="867"/>
    </row>
    <row r="41" spans="4:7" ht="15.75">
      <c r="D41" s="867" t="s">
        <v>89</v>
      </c>
      <c r="E41" s="867"/>
      <c r="F41" s="867"/>
      <c r="G41" s="867"/>
    </row>
    <row r="42" spans="1:7" ht="15.75">
      <c r="A42" s="24"/>
      <c r="D42" s="867" t="s">
        <v>92</v>
      </c>
      <c r="E42" s="867"/>
      <c r="F42" s="867"/>
      <c r="G42" s="867"/>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9" t="s">
        <v>413</v>
      </c>
      <c r="B3" s="379"/>
      <c r="C3" s="379"/>
      <c r="D3" s="379"/>
      <c r="E3" s="379"/>
      <c r="F3" s="379"/>
      <c r="G3" s="379"/>
      <c r="H3" s="379"/>
      <c r="I3" s="379"/>
      <c r="J3" s="379"/>
      <c r="K3" s="379"/>
      <c r="L3" s="379"/>
    </row>
    <row r="5" ht="16.5">
      <c r="A5" s="380" t="s">
        <v>414</v>
      </c>
    </row>
    <row r="6" ht="16.5">
      <c r="A6" s="380" t="str">
        <f>CONCATENATE(inputPrYr!D9-2," 'total expenditures' exceed your ",inputPrYr!D9-2," 'budget authority.'")</f>
        <v>2011 'total expenditures' exceed your 2011 'budget authority.'</v>
      </c>
    </row>
    <row r="7" ht="16.5">
      <c r="A7" s="380"/>
    </row>
    <row r="8" ht="16.5">
      <c r="A8" s="380" t="s">
        <v>415</v>
      </c>
    </row>
    <row r="9" ht="16.5">
      <c r="A9" s="380" t="s">
        <v>416</v>
      </c>
    </row>
    <row r="10" ht="16.5">
      <c r="A10" s="380" t="s">
        <v>417</v>
      </c>
    </row>
    <row r="11" ht="16.5">
      <c r="A11" s="380"/>
    </row>
    <row r="12" ht="16.5">
      <c r="A12" s="380"/>
    </row>
    <row r="13" ht="16.5">
      <c r="A13" s="381" t="s">
        <v>418</v>
      </c>
    </row>
    <row r="15" ht="16.5">
      <c r="A15" s="380" t="s">
        <v>419</v>
      </c>
    </row>
    <row r="16" ht="16.5">
      <c r="A16" s="380" t="str">
        <f>CONCATENATE("(i.e. an audit has not been completed, or the ",inputPrYr!D9," adopted")</f>
        <v>(i.e. an audit has not been completed, or the 2013 adopted</v>
      </c>
    </row>
    <row r="17" ht="16.5">
      <c r="A17" s="380" t="s">
        <v>420</v>
      </c>
    </row>
    <row r="18" ht="16.5">
      <c r="A18" s="380" t="s">
        <v>421</v>
      </c>
    </row>
    <row r="19" ht="16.5">
      <c r="A19" s="380" t="s">
        <v>422</v>
      </c>
    </row>
    <row r="21" ht="16.5">
      <c r="A21" s="381" t="s">
        <v>423</v>
      </c>
    </row>
    <row r="22" ht="16.5">
      <c r="A22" s="381"/>
    </row>
    <row r="23" ht="16.5">
      <c r="A23" s="380" t="s">
        <v>424</v>
      </c>
    </row>
    <row r="24" ht="16.5">
      <c r="A24" s="380" t="s">
        <v>425</v>
      </c>
    </row>
    <row r="25" ht="16.5">
      <c r="A25" s="380" t="str">
        <f>CONCATENATE("particular fund.  If your ",inputPrYr!D9-2," budget was amended, did you")</f>
        <v>particular fund.  If your 2011 budget was amended, did you</v>
      </c>
    </row>
    <row r="26" ht="16.5">
      <c r="A26" s="380" t="s">
        <v>426</v>
      </c>
    </row>
    <row r="27" ht="16.5">
      <c r="A27" s="380"/>
    </row>
    <row r="28" ht="16.5">
      <c r="A28" s="380" t="str">
        <f>CONCATENATE("Next, look to see if any of your ",inputPrYr!D9-2," expenditures can be")</f>
        <v>Next, look to see if any of your 2011 expenditures can be</v>
      </c>
    </row>
    <row r="29" ht="16.5">
      <c r="A29" s="380" t="s">
        <v>427</v>
      </c>
    </row>
    <row r="30" ht="16.5">
      <c r="A30" s="380" t="s">
        <v>428</v>
      </c>
    </row>
    <row r="31" ht="16.5">
      <c r="A31" s="380" t="s">
        <v>429</v>
      </c>
    </row>
    <row r="32" ht="16.5">
      <c r="A32" s="380"/>
    </row>
    <row r="33" ht="16.5">
      <c r="A33" s="380" t="str">
        <f>CONCATENATE("Additionally, do your ",inputPrYr!D9-2," receipts contain a reimbursement")</f>
        <v>Additionally, do your 2011 receipts contain a reimbursement</v>
      </c>
    </row>
    <row r="34" ht="16.5">
      <c r="A34" s="380" t="s">
        <v>430</v>
      </c>
    </row>
    <row r="35" ht="16.5">
      <c r="A35" s="380" t="s">
        <v>431</v>
      </c>
    </row>
    <row r="36" ht="16.5">
      <c r="A36" s="380"/>
    </row>
    <row r="37" ht="16.5">
      <c r="A37" s="380" t="s">
        <v>432</v>
      </c>
    </row>
    <row r="38" ht="16.5">
      <c r="A38" s="380" t="s">
        <v>433</v>
      </c>
    </row>
    <row r="39" ht="16.5">
      <c r="A39" s="380" t="s">
        <v>434</v>
      </c>
    </row>
    <row r="40" ht="16.5">
      <c r="A40" s="380" t="s">
        <v>435</v>
      </c>
    </row>
    <row r="41" ht="16.5">
      <c r="A41" s="380" t="s">
        <v>436</v>
      </c>
    </row>
    <row r="42" ht="16.5">
      <c r="A42" s="380" t="s">
        <v>437</v>
      </c>
    </row>
    <row r="43" ht="16.5">
      <c r="A43" s="380" t="s">
        <v>438</v>
      </c>
    </row>
    <row r="44" ht="16.5">
      <c r="A44" s="380" t="s">
        <v>439</v>
      </c>
    </row>
    <row r="45" ht="16.5">
      <c r="A45" s="380"/>
    </row>
    <row r="46" ht="16.5">
      <c r="A46" s="380" t="s">
        <v>440</v>
      </c>
    </row>
    <row r="47" ht="16.5">
      <c r="A47" s="380" t="s">
        <v>441</v>
      </c>
    </row>
    <row r="48" ht="16.5">
      <c r="A48" s="380" t="s">
        <v>442</v>
      </c>
    </row>
    <row r="49" ht="16.5">
      <c r="A49" s="380"/>
    </row>
    <row r="50" ht="16.5">
      <c r="A50" s="380" t="s">
        <v>443</v>
      </c>
    </row>
    <row r="51" ht="16.5">
      <c r="A51" s="380" t="s">
        <v>444</v>
      </c>
    </row>
    <row r="52" ht="16.5">
      <c r="A52" s="380" t="s">
        <v>445</v>
      </c>
    </row>
    <row r="53" ht="16.5">
      <c r="A53" s="380"/>
    </row>
    <row r="54" ht="16.5">
      <c r="A54" s="381" t="s">
        <v>446</v>
      </c>
    </row>
    <row r="55" ht="16.5">
      <c r="A55" s="380"/>
    </row>
    <row r="56" ht="16.5">
      <c r="A56" s="380" t="s">
        <v>447</v>
      </c>
    </row>
    <row r="57" ht="16.5">
      <c r="A57" s="380" t="s">
        <v>448</v>
      </c>
    </row>
    <row r="58" ht="16.5">
      <c r="A58" s="380" t="s">
        <v>449</v>
      </c>
    </row>
    <row r="59" ht="16.5">
      <c r="A59" s="380" t="s">
        <v>450</v>
      </c>
    </row>
    <row r="60" ht="16.5">
      <c r="A60" s="380" t="s">
        <v>451</v>
      </c>
    </row>
    <row r="61" ht="16.5">
      <c r="A61" s="380" t="s">
        <v>452</v>
      </c>
    </row>
    <row r="62" ht="16.5">
      <c r="A62" s="380" t="s">
        <v>453</v>
      </c>
    </row>
    <row r="63" ht="16.5">
      <c r="A63" s="380" t="s">
        <v>454</v>
      </c>
    </row>
    <row r="64" ht="16.5">
      <c r="A64" s="380" t="s">
        <v>455</v>
      </c>
    </row>
    <row r="65" ht="16.5">
      <c r="A65" s="380" t="s">
        <v>456</v>
      </c>
    </row>
    <row r="66" ht="16.5">
      <c r="A66" s="380" t="s">
        <v>457</v>
      </c>
    </row>
    <row r="67" ht="16.5">
      <c r="A67" s="380" t="s">
        <v>458</v>
      </c>
    </row>
    <row r="68" ht="16.5">
      <c r="A68" s="380" t="s">
        <v>459</v>
      </c>
    </row>
    <row r="69" ht="16.5">
      <c r="A69" s="380"/>
    </row>
    <row r="70" ht="16.5">
      <c r="A70" s="380" t="s">
        <v>460</v>
      </c>
    </row>
    <row r="71" ht="16.5">
      <c r="A71" s="380" t="s">
        <v>461</v>
      </c>
    </row>
    <row r="72" ht="16.5">
      <c r="A72" s="380" t="s">
        <v>462</v>
      </c>
    </row>
    <row r="73" ht="16.5">
      <c r="A73" s="380"/>
    </row>
    <row r="74" ht="16.5">
      <c r="A74" s="381" t="str">
        <f>CONCATENATE("What if the ",inputPrYr!D9-2," financial records have been closed?")</f>
        <v>What if the 2011 financial records have been closed?</v>
      </c>
    </row>
    <row r="76" ht="16.5">
      <c r="A76" s="380" t="s">
        <v>463</v>
      </c>
    </row>
    <row r="77" ht="16.5">
      <c r="A77" s="380" t="str">
        <f>CONCATENATE("(i.e. an audit for ",inputPrYr!D9-2," has been completed, or the ",inputPrYr!D9)</f>
        <v>(i.e. an audit for 2011 has been completed, or the 2013</v>
      </c>
    </row>
    <row r="78" ht="16.5">
      <c r="A78" s="380" t="s">
        <v>464</v>
      </c>
    </row>
    <row r="79" ht="16.5">
      <c r="A79" s="380" t="s">
        <v>465</v>
      </c>
    </row>
    <row r="80" ht="16.5">
      <c r="A80" s="380"/>
    </row>
    <row r="81" ht="16.5">
      <c r="A81" s="380" t="s">
        <v>466</v>
      </c>
    </row>
    <row r="82" ht="16.5">
      <c r="A82" s="380" t="s">
        <v>467</v>
      </c>
    </row>
    <row r="83" ht="16.5">
      <c r="A83" s="380" t="s">
        <v>468</v>
      </c>
    </row>
    <row r="84" ht="16.5">
      <c r="A84" s="380"/>
    </row>
    <row r="85" ht="16.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9" t="s">
        <v>470</v>
      </c>
      <c r="B3" s="379"/>
      <c r="C3" s="379"/>
      <c r="D3" s="379"/>
      <c r="E3" s="379"/>
      <c r="F3" s="379"/>
      <c r="G3" s="379"/>
      <c r="H3" s="382"/>
      <c r="I3" s="382"/>
      <c r="J3" s="382"/>
    </row>
    <row r="5" ht="16.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6.5">
      <c r="A13" s="381" t="s">
        <v>476</v>
      </c>
    </row>
    <row r="14" ht="16.5">
      <c r="A14" s="381"/>
    </row>
    <row r="15" ht="16.5">
      <c r="A15" s="380" t="s">
        <v>477</v>
      </c>
    </row>
    <row r="16" ht="16.5">
      <c r="A16" s="380" t="s">
        <v>478</v>
      </c>
    </row>
    <row r="17" ht="16.5">
      <c r="A17" s="380" t="s">
        <v>479</v>
      </c>
    </row>
    <row r="18" ht="16.5">
      <c r="A18" s="380"/>
    </row>
    <row r="19" ht="16.5">
      <c r="A19" s="381" t="s">
        <v>480</v>
      </c>
    </row>
    <row r="20" ht="16.5">
      <c r="A20" s="381"/>
    </row>
    <row r="21" ht="16.5">
      <c r="A21" s="380" t="s">
        <v>481</v>
      </c>
    </row>
    <row r="22" ht="16.5">
      <c r="A22" s="380" t="s">
        <v>482</v>
      </c>
    </row>
    <row r="23" ht="16.5">
      <c r="A23" s="380" t="s">
        <v>483</v>
      </c>
    </row>
    <row r="24" ht="16.5">
      <c r="A24" s="380"/>
    </row>
    <row r="25" ht="16.5">
      <c r="A25" s="381" t="s">
        <v>484</v>
      </c>
    </row>
    <row r="26" ht="16.5">
      <c r="A26" s="381"/>
    </row>
    <row r="27" ht="16.5">
      <c r="A27" s="380" t="s">
        <v>485</v>
      </c>
    </row>
    <row r="28" ht="16.5">
      <c r="A28" s="380" t="s">
        <v>486</v>
      </c>
    </row>
    <row r="29" ht="16.5">
      <c r="A29" s="380" t="s">
        <v>487</v>
      </c>
    </row>
    <row r="30" ht="16.5">
      <c r="A30" s="380"/>
    </row>
    <row r="31" ht="16.5">
      <c r="A31" s="381" t="s">
        <v>488</v>
      </c>
    </row>
    <row r="32" ht="16.5">
      <c r="A32" s="381"/>
    </row>
    <row r="33" spans="1:8" ht="16.5">
      <c r="A33" s="380" t="str">
        <f>CONCATENATE("If your financial records for ",inputPrYr!D9-2," are not closed")</f>
        <v>If your financial records for 2011 are not closed</v>
      </c>
      <c r="B33" s="380"/>
      <c r="C33" s="380"/>
      <c r="D33" s="380"/>
      <c r="E33" s="380"/>
      <c r="F33" s="380"/>
      <c r="G33" s="380"/>
      <c r="H33" s="380"/>
    </row>
    <row r="34" spans="1:8" ht="16.5">
      <c r="A34" s="380" t="str">
        <f>CONCATENATE("(i.e. an audit has not been completed, or the ",inputPrYr!D9," adopted ")</f>
        <v>(i.e. an audit has not been completed, or the 2013 adopted </v>
      </c>
      <c r="B34" s="380"/>
      <c r="C34" s="380"/>
      <c r="D34" s="380"/>
      <c r="E34" s="380"/>
      <c r="F34" s="380"/>
      <c r="G34" s="380"/>
      <c r="H34" s="380"/>
    </row>
    <row r="35" spans="1:8" ht="16.5">
      <c r="A35" s="380" t="s">
        <v>489</v>
      </c>
      <c r="B35" s="380"/>
      <c r="C35" s="380"/>
      <c r="D35" s="380"/>
      <c r="E35" s="380"/>
      <c r="F35" s="380"/>
      <c r="G35" s="380"/>
      <c r="H35" s="380"/>
    </row>
    <row r="36" spans="1:8" ht="16.5">
      <c r="A36" s="380" t="s">
        <v>490</v>
      </c>
      <c r="B36" s="380"/>
      <c r="C36" s="380"/>
      <c r="D36" s="380"/>
      <c r="E36" s="380"/>
      <c r="F36" s="380"/>
      <c r="G36" s="380"/>
      <c r="H36" s="380"/>
    </row>
    <row r="37" spans="1:8" ht="16.5">
      <c r="A37" s="380" t="s">
        <v>491</v>
      </c>
      <c r="B37" s="380"/>
      <c r="C37" s="380"/>
      <c r="D37" s="380"/>
      <c r="E37" s="380"/>
      <c r="F37" s="380"/>
      <c r="G37" s="380"/>
      <c r="H37" s="380"/>
    </row>
    <row r="38" spans="1:8" ht="16.5">
      <c r="A38" s="380" t="s">
        <v>492</v>
      </c>
      <c r="B38" s="380"/>
      <c r="C38" s="380"/>
      <c r="D38" s="380"/>
      <c r="E38" s="380"/>
      <c r="F38" s="380"/>
      <c r="G38" s="380"/>
      <c r="H38" s="380"/>
    </row>
    <row r="39" spans="1:8" ht="16.5">
      <c r="A39" s="380" t="s">
        <v>493</v>
      </c>
      <c r="B39" s="380"/>
      <c r="C39" s="380"/>
      <c r="D39" s="380"/>
      <c r="E39" s="380"/>
      <c r="F39" s="380"/>
      <c r="G39" s="380"/>
      <c r="H39" s="380"/>
    </row>
    <row r="40" spans="1:8" ht="16.5">
      <c r="A40" s="380"/>
      <c r="B40" s="380"/>
      <c r="C40" s="380"/>
      <c r="D40" s="380"/>
      <c r="E40" s="380"/>
      <c r="F40" s="380"/>
      <c r="G40" s="380"/>
      <c r="H40" s="380"/>
    </row>
    <row r="41" spans="1:8" ht="16.5">
      <c r="A41" s="380" t="s">
        <v>494</v>
      </c>
      <c r="B41" s="380"/>
      <c r="C41" s="380"/>
      <c r="D41" s="380"/>
      <c r="E41" s="380"/>
      <c r="F41" s="380"/>
      <c r="G41" s="380"/>
      <c r="H41" s="380"/>
    </row>
    <row r="42" spans="1:8" ht="16.5">
      <c r="A42" s="380" t="s">
        <v>495</v>
      </c>
      <c r="B42" s="380"/>
      <c r="C42" s="380"/>
      <c r="D42" s="380"/>
      <c r="E42" s="380"/>
      <c r="F42" s="380"/>
      <c r="G42" s="380"/>
      <c r="H42" s="380"/>
    </row>
    <row r="43" spans="1:8" ht="16.5">
      <c r="A43" s="380" t="s">
        <v>496</v>
      </c>
      <c r="B43" s="380"/>
      <c r="C43" s="380"/>
      <c r="D43" s="380"/>
      <c r="E43" s="380"/>
      <c r="F43" s="380"/>
      <c r="G43" s="380"/>
      <c r="H43" s="380"/>
    </row>
    <row r="44" spans="1:8" ht="16.5">
      <c r="A44" s="380" t="s">
        <v>497</v>
      </c>
      <c r="B44" s="380"/>
      <c r="C44" s="380"/>
      <c r="D44" s="380"/>
      <c r="E44" s="380"/>
      <c r="F44" s="380"/>
      <c r="G44" s="380"/>
      <c r="H44" s="380"/>
    </row>
    <row r="45" spans="1:8" ht="16.5">
      <c r="A45" s="380"/>
      <c r="B45" s="380"/>
      <c r="C45" s="380"/>
      <c r="D45" s="380"/>
      <c r="E45" s="380"/>
      <c r="F45" s="380"/>
      <c r="G45" s="380"/>
      <c r="H45" s="380"/>
    </row>
    <row r="46" spans="1:8" ht="16.5">
      <c r="A46" s="380" t="s">
        <v>498</v>
      </c>
      <c r="B46" s="380"/>
      <c r="C46" s="380"/>
      <c r="D46" s="380"/>
      <c r="E46" s="380"/>
      <c r="F46" s="380"/>
      <c r="G46" s="380"/>
      <c r="H46" s="380"/>
    </row>
    <row r="47" spans="1:8" ht="16.5">
      <c r="A47" s="380" t="s">
        <v>499</v>
      </c>
      <c r="B47" s="380"/>
      <c r="C47" s="380"/>
      <c r="D47" s="380"/>
      <c r="E47" s="380"/>
      <c r="F47" s="380"/>
      <c r="G47" s="380"/>
      <c r="H47" s="380"/>
    </row>
    <row r="48" spans="1:8" ht="16.5">
      <c r="A48" s="380" t="s">
        <v>500</v>
      </c>
      <c r="B48" s="380"/>
      <c r="C48" s="380"/>
      <c r="D48" s="380"/>
      <c r="E48" s="380"/>
      <c r="F48" s="380"/>
      <c r="G48" s="380"/>
      <c r="H48" s="380"/>
    </row>
    <row r="49" spans="1:8" ht="16.5">
      <c r="A49" s="380" t="s">
        <v>501</v>
      </c>
      <c r="B49" s="380"/>
      <c r="C49" s="380"/>
      <c r="D49" s="380"/>
      <c r="E49" s="380"/>
      <c r="F49" s="380"/>
      <c r="G49" s="380"/>
      <c r="H49" s="380"/>
    </row>
    <row r="50" spans="1:8" ht="16.5">
      <c r="A50" s="380" t="s">
        <v>502</v>
      </c>
      <c r="B50" s="380"/>
      <c r="C50" s="380"/>
      <c r="D50" s="380"/>
      <c r="E50" s="380"/>
      <c r="F50" s="380"/>
      <c r="G50" s="380"/>
      <c r="H50" s="380"/>
    </row>
    <row r="51" spans="1:8" ht="16.5">
      <c r="A51" s="380"/>
      <c r="B51" s="380"/>
      <c r="C51" s="380"/>
      <c r="D51" s="380"/>
      <c r="E51" s="380"/>
      <c r="F51" s="380"/>
      <c r="G51" s="380"/>
      <c r="H51" s="380"/>
    </row>
    <row r="52" spans="1:8" ht="16.5">
      <c r="A52" s="381" t="s">
        <v>503</v>
      </c>
      <c r="B52" s="381"/>
      <c r="C52" s="381"/>
      <c r="D52" s="381"/>
      <c r="E52" s="381"/>
      <c r="F52" s="381"/>
      <c r="G52" s="381"/>
      <c r="H52" s="380"/>
    </row>
    <row r="53" spans="1:8" ht="16.5">
      <c r="A53" s="381" t="s">
        <v>504</v>
      </c>
      <c r="B53" s="381"/>
      <c r="C53" s="381"/>
      <c r="D53" s="381"/>
      <c r="E53" s="381"/>
      <c r="F53" s="381"/>
      <c r="G53" s="381"/>
      <c r="H53" s="380"/>
    </row>
    <row r="54" spans="1:8" ht="16.5">
      <c r="A54" s="380"/>
      <c r="B54" s="380"/>
      <c r="C54" s="380"/>
      <c r="D54" s="380"/>
      <c r="E54" s="380"/>
      <c r="F54" s="380"/>
      <c r="G54" s="380"/>
      <c r="H54" s="380"/>
    </row>
    <row r="55" spans="1:8" ht="16.5">
      <c r="A55" s="380" t="s">
        <v>505</v>
      </c>
      <c r="B55" s="380"/>
      <c r="C55" s="380"/>
      <c r="D55" s="380"/>
      <c r="E55" s="380"/>
      <c r="F55" s="380"/>
      <c r="G55" s="380"/>
      <c r="H55" s="380"/>
    </row>
    <row r="56" spans="1:8" ht="16.5">
      <c r="A56" s="380" t="s">
        <v>506</v>
      </c>
      <c r="B56" s="380"/>
      <c r="C56" s="380"/>
      <c r="D56" s="380"/>
      <c r="E56" s="380"/>
      <c r="F56" s="380"/>
      <c r="G56" s="380"/>
      <c r="H56" s="380"/>
    </row>
    <row r="57" spans="1:8" ht="16.5">
      <c r="A57" s="380" t="s">
        <v>507</v>
      </c>
      <c r="B57" s="380"/>
      <c r="C57" s="380"/>
      <c r="D57" s="380"/>
      <c r="E57" s="380"/>
      <c r="F57" s="380"/>
      <c r="G57" s="380"/>
      <c r="H57" s="380"/>
    </row>
    <row r="58" spans="1:8" ht="16.5">
      <c r="A58" s="380" t="s">
        <v>508</v>
      </c>
      <c r="B58" s="380"/>
      <c r="C58" s="380"/>
      <c r="D58" s="380"/>
      <c r="E58" s="380"/>
      <c r="F58" s="380"/>
      <c r="G58" s="380"/>
      <c r="H58" s="380"/>
    </row>
    <row r="59" spans="1:8" ht="16.5">
      <c r="A59" s="380"/>
      <c r="B59" s="380"/>
      <c r="C59" s="380"/>
      <c r="D59" s="380"/>
      <c r="E59" s="380"/>
      <c r="F59" s="380"/>
      <c r="G59" s="380"/>
      <c r="H59" s="380"/>
    </row>
    <row r="60" spans="1:8" ht="16.5">
      <c r="A60" s="380" t="s">
        <v>509</v>
      </c>
      <c r="B60" s="380"/>
      <c r="C60" s="380"/>
      <c r="D60" s="380"/>
      <c r="E60" s="380"/>
      <c r="F60" s="380"/>
      <c r="G60" s="380"/>
      <c r="H60" s="380"/>
    </row>
    <row r="61" spans="1:8" ht="16.5">
      <c r="A61" s="380" t="s">
        <v>510</v>
      </c>
      <c r="B61" s="380"/>
      <c r="C61" s="380"/>
      <c r="D61" s="380"/>
      <c r="E61" s="380"/>
      <c r="F61" s="380"/>
      <c r="G61" s="380"/>
      <c r="H61" s="380"/>
    </row>
    <row r="62" spans="1:8" ht="16.5">
      <c r="A62" s="380" t="s">
        <v>511</v>
      </c>
      <c r="B62" s="380"/>
      <c r="C62" s="380"/>
      <c r="D62" s="380"/>
      <c r="E62" s="380"/>
      <c r="F62" s="380"/>
      <c r="G62" s="380"/>
      <c r="H62" s="380"/>
    </row>
    <row r="63" spans="1:8" ht="16.5">
      <c r="A63" s="380" t="s">
        <v>512</v>
      </c>
      <c r="B63" s="380"/>
      <c r="C63" s="380"/>
      <c r="D63" s="380"/>
      <c r="E63" s="380"/>
      <c r="F63" s="380"/>
      <c r="G63" s="380"/>
      <c r="H63" s="380"/>
    </row>
    <row r="64" spans="1:8" ht="16.5">
      <c r="A64" s="380" t="s">
        <v>513</v>
      </c>
      <c r="B64" s="380"/>
      <c r="C64" s="380"/>
      <c r="D64" s="380"/>
      <c r="E64" s="380"/>
      <c r="F64" s="380"/>
      <c r="G64" s="380"/>
      <c r="H64" s="380"/>
    </row>
    <row r="65" spans="1:8" ht="16.5">
      <c r="A65" s="380" t="s">
        <v>514</v>
      </c>
      <c r="B65" s="380"/>
      <c r="C65" s="380"/>
      <c r="D65" s="380"/>
      <c r="E65" s="380"/>
      <c r="F65" s="380"/>
      <c r="G65" s="380"/>
      <c r="H65" s="380"/>
    </row>
    <row r="66" spans="1:8" ht="16.5">
      <c r="A66" s="380"/>
      <c r="B66" s="380"/>
      <c r="C66" s="380"/>
      <c r="D66" s="380"/>
      <c r="E66" s="380"/>
      <c r="F66" s="380"/>
      <c r="G66" s="380"/>
      <c r="H66" s="380"/>
    </row>
    <row r="67" spans="1:8" ht="16.5">
      <c r="A67" s="380" t="s">
        <v>515</v>
      </c>
      <c r="B67" s="380"/>
      <c r="C67" s="380"/>
      <c r="D67" s="380"/>
      <c r="E67" s="380"/>
      <c r="F67" s="380"/>
      <c r="G67" s="380"/>
      <c r="H67" s="380"/>
    </row>
    <row r="68" spans="1:8" ht="16.5">
      <c r="A68" s="380" t="s">
        <v>516</v>
      </c>
      <c r="B68" s="380"/>
      <c r="C68" s="380"/>
      <c r="D68" s="380"/>
      <c r="E68" s="380"/>
      <c r="F68" s="380"/>
      <c r="G68" s="380"/>
      <c r="H68" s="380"/>
    </row>
    <row r="69" spans="1:8" ht="16.5">
      <c r="A69" s="380" t="s">
        <v>517</v>
      </c>
      <c r="B69" s="380"/>
      <c r="C69" s="380"/>
      <c r="D69" s="380"/>
      <c r="E69" s="380"/>
      <c r="F69" s="380"/>
      <c r="G69" s="380"/>
      <c r="H69" s="380"/>
    </row>
    <row r="70" spans="1:8" ht="16.5">
      <c r="A70" s="380" t="s">
        <v>518</v>
      </c>
      <c r="B70" s="380"/>
      <c r="C70" s="380"/>
      <c r="D70" s="380"/>
      <c r="E70" s="380"/>
      <c r="F70" s="380"/>
      <c r="G70" s="380"/>
      <c r="H70" s="380"/>
    </row>
    <row r="71" spans="1:8" ht="16.5">
      <c r="A71" s="380" t="s">
        <v>519</v>
      </c>
      <c r="B71" s="380"/>
      <c r="C71" s="380"/>
      <c r="D71" s="380"/>
      <c r="E71" s="380"/>
      <c r="F71" s="380"/>
      <c r="G71" s="380"/>
      <c r="H71" s="380"/>
    </row>
    <row r="72" spans="1:8" ht="16.5">
      <c r="A72" s="380" t="s">
        <v>520</v>
      </c>
      <c r="B72" s="380"/>
      <c r="C72" s="380"/>
      <c r="D72" s="380"/>
      <c r="E72" s="380"/>
      <c r="F72" s="380"/>
      <c r="G72" s="380"/>
      <c r="H72" s="380"/>
    </row>
    <row r="73" spans="1:8" ht="16.5">
      <c r="A73" s="380" t="s">
        <v>521</v>
      </c>
      <c r="B73" s="380"/>
      <c r="C73" s="380"/>
      <c r="D73" s="380"/>
      <c r="E73" s="380"/>
      <c r="F73" s="380"/>
      <c r="G73" s="380"/>
      <c r="H73" s="380"/>
    </row>
    <row r="74" spans="1:8" ht="16.5">
      <c r="A74" s="380"/>
      <c r="B74" s="380"/>
      <c r="C74" s="380"/>
      <c r="D74" s="380"/>
      <c r="E74" s="380"/>
      <c r="F74" s="380"/>
      <c r="G74" s="380"/>
      <c r="H74" s="380"/>
    </row>
    <row r="75" spans="1:8" ht="16.5">
      <c r="A75" s="380" t="s">
        <v>522</v>
      </c>
      <c r="B75" s="380"/>
      <c r="C75" s="380"/>
      <c r="D75" s="380"/>
      <c r="E75" s="380"/>
      <c r="F75" s="380"/>
      <c r="G75" s="380"/>
      <c r="H75" s="380"/>
    </row>
    <row r="76" spans="1:8" ht="16.5">
      <c r="A76" s="380" t="s">
        <v>523</v>
      </c>
      <c r="B76" s="380"/>
      <c r="C76" s="380"/>
      <c r="D76" s="380"/>
      <c r="E76" s="380"/>
      <c r="F76" s="380"/>
      <c r="G76" s="380"/>
      <c r="H76" s="380"/>
    </row>
    <row r="77" spans="1:8" ht="16.5">
      <c r="A77" s="380" t="s">
        <v>524</v>
      </c>
      <c r="B77" s="380"/>
      <c r="C77" s="380"/>
      <c r="D77" s="380"/>
      <c r="E77" s="380"/>
      <c r="F77" s="380"/>
      <c r="G77" s="380"/>
      <c r="H77" s="380"/>
    </row>
    <row r="78" spans="1:8" ht="16.5">
      <c r="A78" s="380"/>
      <c r="B78" s="380"/>
      <c r="C78" s="380"/>
      <c r="D78" s="380"/>
      <c r="E78" s="380"/>
      <c r="F78" s="380"/>
      <c r="G78" s="380"/>
      <c r="H78" s="380"/>
    </row>
    <row r="79" ht="16.5">
      <c r="A79" s="380" t="s">
        <v>469</v>
      </c>
    </row>
    <row r="80" ht="16.5">
      <c r="A80" s="381"/>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1" ht="16.5">
      <c r="A91"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3" ht="16.5">
      <c r="A103" s="380"/>
    </row>
    <row r="104" ht="16.5">
      <c r="A104" s="380"/>
    </row>
    <row r="105" ht="16.5">
      <c r="A105" s="380"/>
    </row>
    <row r="107" ht="16.5">
      <c r="A107" s="381"/>
    </row>
    <row r="108" ht="16.5">
      <c r="A108" s="381"/>
    </row>
    <row r="109" ht="16.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9" t="s">
        <v>525</v>
      </c>
      <c r="B3" s="379"/>
      <c r="C3" s="379"/>
      <c r="D3" s="379"/>
      <c r="E3" s="379"/>
      <c r="F3" s="379"/>
      <c r="G3" s="379"/>
      <c r="H3" s="379"/>
      <c r="I3" s="379"/>
      <c r="J3" s="379"/>
      <c r="K3" s="379"/>
      <c r="L3" s="379"/>
    </row>
    <row r="4" spans="1:12" ht="16.5">
      <c r="A4" s="379"/>
      <c r="B4" s="379"/>
      <c r="C4" s="379"/>
      <c r="D4" s="379"/>
      <c r="E4" s="379"/>
      <c r="F4" s="379"/>
      <c r="G4" s="379"/>
      <c r="H4" s="379"/>
      <c r="I4" s="379"/>
      <c r="J4" s="379"/>
      <c r="K4" s="379"/>
      <c r="L4" s="379"/>
    </row>
    <row r="5" spans="1:12" ht="16.5">
      <c r="A5" s="380" t="s">
        <v>414</v>
      </c>
      <c r="I5" s="379"/>
      <c r="J5" s="379"/>
      <c r="K5" s="379"/>
      <c r="L5" s="379"/>
    </row>
    <row r="6" spans="1:12" ht="16.5">
      <c r="A6" s="380" t="str">
        <f>CONCATENATE("estimated ",inputPrYr!D9-1," 'total expenditures' exceed your ",inputPrYr!D9-1,"")</f>
        <v>estimated 2012 'total expenditures' exceed your 2012</v>
      </c>
      <c r="I6" s="379"/>
      <c r="J6" s="379"/>
      <c r="K6" s="379"/>
      <c r="L6" s="379"/>
    </row>
    <row r="7" spans="1:12" ht="16.5">
      <c r="A7" s="383" t="s">
        <v>526</v>
      </c>
      <c r="I7" s="379"/>
      <c r="J7" s="379"/>
      <c r="K7" s="379"/>
      <c r="L7" s="379"/>
    </row>
    <row r="8" spans="1:12" ht="16.5">
      <c r="A8" s="380"/>
      <c r="I8" s="379"/>
      <c r="J8" s="379"/>
      <c r="K8" s="379"/>
      <c r="L8" s="379"/>
    </row>
    <row r="9" spans="1:12" ht="16.5">
      <c r="A9" s="380" t="s">
        <v>527</v>
      </c>
      <c r="I9" s="379"/>
      <c r="J9" s="379"/>
      <c r="K9" s="379"/>
      <c r="L9" s="379"/>
    </row>
    <row r="10" spans="1:12" ht="16.5">
      <c r="A10" s="380" t="s">
        <v>528</v>
      </c>
      <c r="I10" s="379"/>
      <c r="J10" s="379"/>
      <c r="K10" s="379"/>
      <c r="L10" s="379"/>
    </row>
    <row r="11" spans="1:12" ht="16.5">
      <c r="A11" s="380" t="s">
        <v>529</v>
      </c>
      <c r="I11" s="379"/>
      <c r="J11" s="379"/>
      <c r="K11" s="379"/>
      <c r="L11" s="379"/>
    </row>
    <row r="12" spans="1:12" ht="16.5">
      <c r="A12" s="380" t="s">
        <v>530</v>
      </c>
      <c r="I12" s="379"/>
      <c r="J12" s="379"/>
      <c r="K12" s="379"/>
      <c r="L12" s="379"/>
    </row>
    <row r="13" spans="1:12" ht="16.5">
      <c r="A13" s="380" t="s">
        <v>531</v>
      </c>
      <c r="I13" s="379"/>
      <c r="J13" s="379"/>
      <c r="K13" s="379"/>
      <c r="L13" s="379"/>
    </row>
    <row r="14" spans="1:12" ht="16.5">
      <c r="A14" s="379"/>
      <c r="B14" s="379"/>
      <c r="C14" s="379"/>
      <c r="D14" s="379"/>
      <c r="E14" s="379"/>
      <c r="F14" s="379"/>
      <c r="G14" s="379"/>
      <c r="H14" s="379"/>
      <c r="I14" s="379"/>
      <c r="J14" s="379"/>
      <c r="K14" s="379"/>
      <c r="L14" s="379"/>
    </row>
    <row r="15" ht="16.5">
      <c r="A15" s="381" t="s">
        <v>532</v>
      </c>
    </row>
    <row r="16" ht="16.5">
      <c r="A16" s="381" t="s">
        <v>533</v>
      </c>
    </row>
    <row r="17" ht="16.5">
      <c r="A17" s="381"/>
    </row>
    <row r="18" spans="1:7" ht="16.5">
      <c r="A18" s="380" t="s">
        <v>534</v>
      </c>
      <c r="B18" s="380"/>
      <c r="C18" s="380"/>
      <c r="D18" s="380"/>
      <c r="E18" s="380"/>
      <c r="F18" s="380"/>
      <c r="G18" s="380"/>
    </row>
    <row r="19" spans="1:7" ht="16.5">
      <c r="A19" s="380" t="str">
        <f>CONCATENATE("your ",inputPrYr!D9-1," numbers to see what steps might be necessary to")</f>
        <v>your 2012 numbers to see what steps might be necessary to</v>
      </c>
      <c r="B19" s="380"/>
      <c r="C19" s="380"/>
      <c r="D19" s="380"/>
      <c r="E19" s="380"/>
      <c r="F19" s="380"/>
      <c r="G19" s="380"/>
    </row>
    <row r="20" spans="1:7" ht="16.5">
      <c r="A20" s="380" t="s">
        <v>535</v>
      </c>
      <c r="B20" s="380"/>
      <c r="C20" s="380"/>
      <c r="D20" s="380"/>
      <c r="E20" s="380"/>
      <c r="F20" s="380"/>
      <c r="G20" s="380"/>
    </row>
    <row r="21" spans="1:7" ht="16.5">
      <c r="A21" s="380" t="s">
        <v>536</v>
      </c>
      <c r="B21" s="380"/>
      <c r="C21" s="380"/>
      <c r="D21" s="380"/>
      <c r="E21" s="380"/>
      <c r="F21" s="380"/>
      <c r="G21" s="380"/>
    </row>
    <row r="22" ht="16.5">
      <c r="A22" s="380"/>
    </row>
    <row r="23" ht="16.5">
      <c r="A23" s="381" t="s">
        <v>537</v>
      </c>
    </row>
    <row r="24" ht="16.5">
      <c r="A24" s="381"/>
    </row>
    <row r="25" ht="16.5">
      <c r="A25" s="380" t="s">
        <v>538</v>
      </c>
    </row>
    <row r="26" spans="1:6" ht="16.5">
      <c r="A26" s="380" t="s">
        <v>539</v>
      </c>
      <c r="B26" s="380"/>
      <c r="C26" s="380"/>
      <c r="D26" s="380"/>
      <c r="E26" s="380"/>
      <c r="F26" s="380"/>
    </row>
    <row r="27" spans="1:6" ht="16.5">
      <c r="A27" s="380" t="s">
        <v>540</v>
      </c>
      <c r="B27" s="380"/>
      <c r="C27" s="380"/>
      <c r="D27" s="380"/>
      <c r="E27" s="380"/>
      <c r="F27" s="380"/>
    </row>
    <row r="28" spans="1:6" ht="16.5">
      <c r="A28" s="380" t="s">
        <v>541</v>
      </c>
      <c r="B28" s="380"/>
      <c r="C28" s="380"/>
      <c r="D28" s="380"/>
      <c r="E28" s="380"/>
      <c r="F28" s="380"/>
    </row>
    <row r="29" spans="1:6" ht="16.5">
      <c r="A29" s="380"/>
      <c r="B29" s="380"/>
      <c r="C29" s="380"/>
      <c r="D29" s="380"/>
      <c r="E29" s="380"/>
      <c r="F29" s="380"/>
    </row>
    <row r="30" spans="1:7" ht="16.5">
      <c r="A30" s="381" t="s">
        <v>542</v>
      </c>
      <c r="B30" s="381"/>
      <c r="C30" s="381"/>
      <c r="D30" s="381"/>
      <c r="E30" s="381"/>
      <c r="F30" s="381"/>
      <c r="G30" s="381"/>
    </row>
    <row r="31" spans="1:7" ht="16.5">
      <c r="A31" s="381" t="s">
        <v>543</v>
      </c>
      <c r="B31" s="381"/>
      <c r="C31" s="381"/>
      <c r="D31" s="381"/>
      <c r="E31" s="381"/>
      <c r="F31" s="381"/>
      <c r="G31" s="381"/>
    </row>
    <row r="32" spans="1:6" ht="16.5">
      <c r="A32" s="380"/>
      <c r="B32" s="380"/>
      <c r="C32" s="380"/>
      <c r="D32" s="380"/>
      <c r="E32" s="380"/>
      <c r="F32" s="380"/>
    </row>
    <row r="33" spans="1:6" ht="16.5">
      <c r="A33" s="384" t="str">
        <f>CONCATENATE("Well, let's look to see if any of your ",inputPrYr!D9-1," expenditures can")</f>
        <v>Well, let's look to see if any of your 2012 expenditures can</v>
      </c>
      <c r="B33" s="380"/>
      <c r="C33" s="380"/>
      <c r="D33" s="380"/>
      <c r="E33" s="380"/>
      <c r="F33" s="380"/>
    </row>
    <row r="34" spans="1:6" ht="16.5">
      <c r="A34" s="384" t="s">
        <v>544</v>
      </c>
      <c r="B34" s="380"/>
      <c r="C34" s="380"/>
      <c r="D34" s="380"/>
      <c r="E34" s="380"/>
      <c r="F34" s="380"/>
    </row>
    <row r="35" spans="1:6" ht="16.5">
      <c r="A35" s="384" t="s">
        <v>428</v>
      </c>
      <c r="B35" s="380"/>
      <c r="C35" s="380"/>
      <c r="D35" s="380"/>
      <c r="E35" s="380"/>
      <c r="F35" s="380"/>
    </row>
    <row r="36" spans="1:6" ht="16.5">
      <c r="A36" s="384" t="s">
        <v>429</v>
      </c>
      <c r="B36" s="380"/>
      <c r="C36" s="380"/>
      <c r="D36" s="380"/>
      <c r="E36" s="380"/>
      <c r="F36" s="380"/>
    </row>
    <row r="37" spans="1:6" ht="16.5">
      <c r="A37" s="384"/>
      <c r="B37" s="380"/>
      <c r="C37" s="380"/>
      <c r="D37" s="380"/>
      <c r="E37" s="380"/>
      <c r="F37" s="380"/>
    </row>
    <row r="38" spans="1:6" ht="16.5">
      <c r="A38" s="384" t="str">
        <f>CONCATENATE("Additionally, do your ",inputPrYr!D9-1," receipts contain a reimbursement")</f>
        <v>Additionally, do your 2012 receipts contain a reimbursement</v>
      </c>
      <c r="B38" s="380"/>
      <c r="C38" s="380"/>
      <c r="D38" s="380"/>
      <c r="E38" s="380"/>
      <c r="F38" s="380"/>
    </row>
    <row r="39" spans="1:6" ht="16.5">
      <c r="A39" s="384" t="s">
        <v>430</v>
      </c>
      <c r="B39" s="380"/>
      <c r="C39" s="380"/>
      <c r="D39" s="380"/>
      <c r="E39" s="380"/>
      <c r="F39" s="380"/>
    </row>
    <row r="40" spans="1:6" ht="16.5">
      <c r="A40" s="384" t="s">
        <v>431</v>
      </c>
      <c r="B40" s="380"/>
      <c r="C40" s="380"/>
      <c r="D40" s="380"/>
      <c r="E40" s="380"/>
      <c r="F40" s="380"/>
    </row>
    <row r="41" spans="1:6" ht="16.5">
      <c r="A41" s="384"/>
      <c r="B41" s="380"/>
      <c r="C41" s="380"/>
      <c r="D41" s="380"/>
      <c r="E41" s="380"/>
      <c r="F41" s="380"/>
    </row>
    <row r="42" spans="1:6" ht="16.5">
      <c r="A42" s="384" t="s">
        <v>432</v>
      </c>
      <c r="B42" s="380"/>
      <c r="C42" s="380"/>
      <c r="D42" s="380"/>
      <c r="E42" s="380"/>
      <c r="F42" s="380"/>
    </row>
    <row r="43" spans="1:6" ht="16.5">
      <c r="A43" s="384" t="s">
        <v>433</v>
      </c>
      <c r="B43" s="380"/>
      <c r="C43" s="380"/>
      <c r="D43" s="380"/>
      <c r="E43" s="380"/>
      <c r="F43" s="380"/>
    </row>
    <row r="44" spans="1:6" ht="16.5">
      <c r="A44" s="384" t="s">
        <v>434</v>
      </c>
      <c r="B44" s="380"/>
      <c r="C44" s="380"/>
      <c r="D44" s="380"/>
      <c r="E44" s="380"/>
      <c r="F44" s="380"/>
    </row>
    <row r="45" spans="1:6" ht="16.5">
      <c r="A45" s="384" t="s">
        <v>545</v>
      </c>
      <c r="B45" s="380"/>
      <c r="C45" s="380"/>
      <c r="D45" s="380"/>
      <c r="E45" s="380"/>
      <c r="F45" s="380"/>
    </row>
    <row r="46" spans="1:6" ht="16.5">
      <c r="A46" s="384" t="s">
        <v>436</v>
      </c>
      <c r="B46" s="380"/>
      <c r="C46" s="380"/>
      <c r="D46" s="380"/>
      <c r="E46" s="380"/>
      <c r="F46" s="380"/>
    </row>
    <row r="47" spans="1:6" ht="16.5">
      <c r="A47" s="384" t="s">
        <v>546</v>
      </c>
      <c r="B47" s="380"/>
      <c r="C47" s="380"/>
      <c r="D47" s="380"/>
      <c r="E47" s="380"/>
      <c r="F47" s="380"/>
    </row>
    <row r="48" spans="1:6" ht="16.5">
      <c r="A48" s="384" t="s">
        <v>547</v>
      </c>
      <c r="B48" s="380"/>
      <c r="C48" s="380"/>
      <c r="D48" s="380"/>
      <c r="E48" s="380"/>
      <c r="F48" s="380"/>
    </row>
    <row r="49" spans="1:6" ht="16.5">
      <c r="A49" s="384" t="s">
        <v>439</v>
      </c>
      <c r="B49" s="380"/>
      <c r="C49" s="380"/>
      <c r="D49" s="380"/>
      <c r="E49" s="380"/>
      <c r="F49" s="380"/>
    </row>
    <row r="50" spans="1:6" ht="16.5">
      <c r="A50" s="384"/>
      <c r="B50" s="380"/>
      <c r="C50" s="380"/>
      <c r="D50" s="380"/>
      <c r="E50" s="380"/>
      <c r="F50" s="380"/>
    </row>
    <row r="51" spans="1:6" ht="16.5">
      <c r="A51" s="384" t="s">
        <v>440</v>
      </c>
      <c r="B51" s="380"/>
      <c r="C51" s="380"/>
      <c r="D51" s="380"/>
      <c r="E51" s="380"/>
      <c r="F51" s="380"/>
    </row>
    <row r="52" spans="1:6" ht="16.5">
      <c r="A52" s="384" t="s">
        <v>441</v>
      </c>
      <c r="B52" s="380"/>
      <c r="C52" s="380"/>
      <c r="D52" s="380"/>
      <c r="E52" s="380"/>
      <c r="F52" s="380"/>
    </row>
    <row r="53" spans="1:6" ht="16.5">
      <c r="A53" s="384" t="s">
        <v>442</v>
      </c>
      <c r="B53" s="380"/>
      <c r="C53" s="380"/>
      <c r="D53" s="380"/>
      <c r="E53" s="380"/>
      <c r="F53" s="380"/>
    </row>
    <row r="54" spans="1:6" ht="16.5">
      <c r="A54" s="384"/>
      <c r="B54" s="380"/>
      <c r="C54" s="380"/>
      <c r="D54" s="380"/>
      <c r="E54" s="380"/>
      <c r="F54" s="380"/>
    </row>
    <row r="55" spans="1:6" ht="16.5">
      <c r="A55" s="384" t="s">
        <v>548</v>
      </c>
      <c r="B55" s="380"/>
      <c r="C55" s="380"/>
      <c r="D55" s="380"/>
      <c r="E55" s="380"/>
      <c r="F55" s="380"/>
    </row>
    <row r="56" spans="1:6" ht="16.5">
      <c r="A56" s="384" t="s">
        <v>549</v>
      </c>
      <c r="B56" s="380"/>
      <c r="C56" s="380"/>
      <c r="D56" s="380"/>
      <c r="E56" s="380"/>
      <c r="F56" s="380"/>
    </row>
    <row r="57" spans="1:6" ht="16.5">
      <c r="A57" s="384" t="s">
        <v>550</v>
      </c>
      <c r="B57" s="380"/>
      <c r="C57" s="380"/>
      <c r="D57" s="380"/>
      <c r="E57" s="380"/>
      <c r="F57" s="380"/>
    </row>
    <row r="58" spans="1:6" ht="16.5">
      <c r="A58" s="384" t="s">
        <v>551</v>
      </c>
      <c r="B58" s="380"/>
      <c r="C58" s="380"/>
      <c r="D58" s="380"/>
      <c r="E58" s="380"/>
      <c r="F58" s="380"/>
    </row>
    <row r="59" spans="1:6" ht="16.5">
      <c r="A59" s="384" t="s">
        <v>552</v>
      </c>
      <c r="B59" s="380"/>
      <c r="C59" s="380"/>
      <c r="D59" s="380"/>
      <c r="E59" s="380"/>
      <c r="F59" s="380"/>
    </row>
    <row r="60" spans="1:6" ht="16.5">
      <c r="A60" s="384"/>
      <c r="B60" s="380"/>
      <c r="C60" s="380"/>
      <c r="D60" s="380"/>
      <c r="E60" s="380"/>
      <c r="F60" s="380"/>
    </row>
    <row r="61" spans="1:6" ht="16.5">
      <c r="A61" s="385" t="s">
        <v>553</v>
      </c>
      <c r="B61" s="380"/>
      <c r="C61" s="380"/>
      <c r="D61" s="380"/>
      <c r="E61" s="380"/>
      <c r="F61" s="380"/>
    </row>
    <row r="62" spans="1:6" ht="16.5">
      <c r="A62" s="385" t="s">
        <v>554</v>
      </c>
      <c r="B62" s="380"/>
      <c r="C62" s="380"/>
      <c r="D62" s="380"/>
      <c r="E62" s="380"/>
      <c r="F62" s="380"/>
    </row>
    <row r="63" spans="1:6" ht="16.5">
      <c r="A63" s="385" t="s">
        <v>555</v>
      </c>
      <c r="B63" s="380"/>
      <c r="C63" s="380"/>
      <c r="D63" s="380"/>
      <c r="E63" s="380"/>
      <c r="F63" s="380"/>
    </row>
    <row r="64" ht="16.5">
      <c r="A64" s="385" t="s">
        <v>556</v>
      </c>
    </row>
    <row r="65" ht="16.5">
      <c r="A65" s="385" t="s">
        <v>557</v>
      </c>
    </row>
    <row r="66" ht="16.5">
      <c r="A66" s="385" t="s">
        <v>558</v>
      </c>
    </row>
    <row r="68" ht="16.5">
      <c r="A68" s="380" t="s">
        <v>559</v>
      </c>
    </row>
    <row r="69" ht="16.5">
      <c r="A69" s="380" t="s">
        <v>560</v>
      </c>
    </row>
    <row r="70" ht="16.5">
      <c r="A70" s="380" t="s">
        <v>561</v>
      </c>
    </row>
    <row r="71" ht="16.5">
      <c r="A71" s="380" t="s">
        <v>562</v>
      </c>
    </row>
    <row r="72" ht="16.5">
      <c r="A72" s="380" t="s">
        <v>563</v>
      </c>
    </row>
    <row r="73" ht="16.5">
      <c r="A73" s="380" t="s">
        <v>564</v>
      </c>
    </row>
    <row r="75" ht="16.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9" t="s">
        <v>565</v>
      </c>
      <c r="B3" s="379"/>
      <c r="C3" s="379"/>
      <c r="D3" s="379"/>
      <c r="E3" s="379"/>
      <c r="F3" s="379"/>
      <c r="G3" s="379"/>
    </row>
    <row r="4" spans="1:7" ht="16.5">
      <c r="A4" s="379"/>
      <c r="B4" s="379"/>
      <c r="C4" s="379"/>
      <c r="D4" s="379"/>
      <c r="E4" s="379"/>
      <c r="F4" s="379"/>
      <c r="G4" s="379"/>
    </row>
    <row r="5" ht="16.5">
      <c r="A5" s="380" t="s">
        <v>471</v>
      </c>
    </row>
    <row r="6" ht="16.5">
      <c r="A6" s="380" t="str">
        <f>CONCATENATE(inputPrYr!D9," estimated expenditures show that at the end of this year")</f>
        <v>2013 estimated expenditures show that at the end of this year</v>
      </c>
    </row>
    <row r="7" ht="16.5">
      <c r="A7" s="380" t="s">
        <v>566</v>
      </c>
    </row>
    <row r="8" ht="16.5">
      <c r="A8" s="380" t="s">
        <v>567</v>
      </c>
    </row>
    <row r="10" ht="15.75">
      <c r="A10" t="s">
        <v>473</v>
      </c>
    </row>
    <row r="11" ht="15.75">
      <c r="A11" t="s">
        <v>474</v>
      </c>
    </row>
    <row r="12" ht="15.75">
      <c r="A12" t="s">
        <v>475</v>
      </c>
    </row>
    <row r="13" spans="1:7" ht="16.5">
      <c r="A13" s="379"/>
      <c r="B13" s="379"/>
      <c r="C13" s="379"/>
      <c r="D13" s="379"/>
      <c r="E13" s="379"/>
      <c r="F13" s="379"/>
      <c r="G13" s="379"/>
    </row>
    <row r="14" ht="16.5">
      <c r="A14" s="381" t="s">
        <v>568</v>
      </c>
    </row>
    <row r="15" ht="16.5">
      <c r="A15" s="380"/>
    </row>
    <row r="16" ht="16.5">
      <c r="A16" s="380" t="s">
        <v>569</v>
      </c>
    </row>
    <row r="17" ht="16.5">
      <c r="A17" s="380" t="s">
        <v>570</v>
      </c>
    </row>
    <row r="18" ht="16.5">
      <c r="A18" s="380" t="s">
        <v>571</v>
      </c>
    </row>
    <row r="19" ht="16.5">
      <c r="A19" s="380"/>
    </row>
    <row r="20" ht="16.5">
      <c r="A20" s="380" t="s">
        <v>572</v>
      </c>
    </row>
    <row r="21" ht="16.5">
      <c r="A21" s="380" t="s">
        <v>573</v>
      </c>
    </row>
    <row r="22" ht="16.5">
      <c r="A22" s="380" t="s">
        <v>574</v>
      </c>
    </row>
    <row r="23" ht="16.5">
      <c r="A23" s="380" t="s">
        <v>575</v>
      </c>
    </row>
    <row r="24" ht="16.5">
      <c r="A24" s="380"/>
    </row>
    <row r="25" ht="16.5">
      <c r="A25" s="381" t="s">
        <v>537</v>
      </c>
    </row>
    <row r="26" ht="16.5">
      <c r="A26" s="381"/>
    </row>
    <row r="27" ht="16.5">
      <c r="A27" s="380" t="s">
        <v>538</v>
      </c>
    </row>
    <row r="28" spans="1:6" ht="16.5">
      <c r="A28" s="380" t="s">
        <v>539</v>
      </c>
      <c r="B28" s="380"/>
      <c r="C28" s="380"/>
      <c r="D28" s="380"/>
      <c r="E28" s="380"/>
      <c r="F28" s="380"/>
    </row>
    <row r="29" spans="1:6" ht="16.5">
      <c r="A29" s="380" t="s">
        <v>540</v>
      </c>
      <c r="B29" s="380"/>
      <c r="C29" s="380"/>
      <c r="D29" s="380"/>
      <c r="E29" s="380"/>
      <c r="F29" s="380"/>
    </row>
    <row r="30" spans="1:6" ht="16.5">
      <c r="A30" s="380" t="s">
        <v>541</v>
      </c>
      <c r="B30" s="380"/>
      <c r="C30" s="380"/>
      <c r="D30" s="380"/>
      <c r="E30" s="380"/>
      <c r="F30" s="380"/>
    </row>
    <row r="31" ht="16.5">
      <c r="A31" s="380"/>
    </row>
    <row r="32" spans="1:7" ht="16.5">
      <c r="A32" s="381" t="s">
        <v>542</v>
      </c>
      <c r="B32" s="381"/>
      <c r="C32" s="381"/>
      <c r="D32" s="381"/>
      <c r="E32" s="381"/>
      <c r="F32" s="381"/>
      <c r="G32" s="381"/>
    </row>
    <row r="33" spans="1:7" ht="16.5">
      <c r="A33" s="381" t="s">
        <v>543</v>
      </c>
      <c r="B33" s="381"/>
      <c r="C33" s="381"/>
      <c r="D33" s="381"/>
      <c r="E33" s="381"/>
      <c r="F33" s="381"/>
      <c r="G33" s="381"/>
    </row>
    <row r="34" spans="1:7" ht="16.5">
      <c r="A34" s="381"/>
      <c r="B34" s="381"/>
      <c r="C34" s="381"/>
      <c r="D34" s="381"/>
      <c r="E34" s="381"/>
      <c r="F34" s="381"/>
      <c r="G34" s="381"/>
    </row>
    <row r="35" spans="1:7" ht="16.5">
      <c r="A35" s="380" t="s">
        <v>576</v>
      </c>
      <c r="B35" s="380"/>
      <c r="C35" s="380"/>
      <c r="D35" s="380"/>
      <c r="E35" s="380"/>
      <c r="F35" s="380"/>
      <c r="G35" s="380"/>
    </row>
    <row r="36" spans="1:7" ht="16.5">
      <c r="A36" s="380" t="s">
        <v>577</v>
      </c>
      <c r="B36" s="380"/>
      <c r="C36" s="380"/>
      <c r="D36" s="380"/>
      <c r="E36" s="380"/>
      <c r="F36" s="380"/>
      <c r="G36" s="380"/>
    </row>
    <row r="37" spans="1:7" ht="16.5">
      <c r="A37" s="380" t="s">
        <v>578</v>
      </c>
      <c r="B37" s="380"/>
      <c r="C37" s="380"/>
      <c r="D37" s="380"/>
      <c r="E37" s="380"/>
      <c r="F37" s="380"/>
      <c r="G37" s="380"/>
    </row>
    <row r="38" spans="1:7" ht="16.5">
      <c r="A38" s="380" t="s">
        <v>579</v>
      </c>
      <c r="B38" s="380"/>
      <c r="C38" s="380"/>
      <c r="D38" s="380"/>
      <c r="E38" s="380"/>
      <c r="F38" s="380"/>
      <c r="G38" s="380"/>
    </row>
    <row r="39" spans="1:7" ht="16.5">
      <c r="A39" s="380" t="s">
        <v>580</v>
      </c>
      <c r="B39" s="380"/>
      <c r="C39" s="380"/>
      <c r="D39" s="380"/>
      <c r="E39" s="380"/>
      <c r="F39" s="380"/>
      <c r="G39" s="380"/>
    </row>
    <row r="40" spans="1:7" ht="16.5">
      <c r="A40" s="381"/>
      <c r="B40" s="381"/>
      <c r="C40" s="381"/>
      <c r="D40" s="381"/>
      <c r="E40" s="381"/>
      <c r="F40" s="381"/>
      <c r="G40" s="381"/>
    </row>
    <row r="41" spans="1:6" ht="16.5">
      <c r="A41" s="384" t="str">
        <f>CONCATENATE("So, let's look to see if any of your ",inputPrYr!D9-1," expenditures can")</f>
        <v>So, let's look to see if any of your 2012 expenditures can</v>
      </c>
      <c r="B41" s="380"/>
      <c r="C41" s="380"/>
      <c r="D41" s="380"/>
      <c r="E41" s="380"/>
      <c r="F41" s="380"/>
    </row>
    <row r="42" spans="1:6" ht="16.5">
      <c r="A42" s="384" t="s">
        <v>544</v>
      </c>
      <c r="B42" s="380"/>
      <c r="C42" s="380"/>
      <c r="D42" s="380"/>
      <c r="E42" s="380"/>
      <c r="F42" s="380"/>
    </row>
    <row r="43" spans="1:6" ht="16.5">
      <c r="A43" s="384" t="s">
        <v>428</v>
      </c>
      <c r="B43" s="380"/>
      <c r="C43" s="380"/>
      <c r="D43" s="380"/>
      <c r="E43" s="380"/>
      <c r="F43" s="380"/>
    </row>
    <row r="44" spans="1:6" ht="16.5">
      <c r="A44" s="384" t="s">
        <v>429</v>
      </c>
      <c r="B44" s="380"/>
      <c r="C44" s="380"/>
      <c r="D44" s="380"/>
      <c r="E44" s="380"/>
      <c r="F44" s="380"/>
    </row>
    <row r="45" ht="16.5">
      <c r="A45" s="380"/>
    </row>
    <row r="46" spans="1:6" ht="16.5">
      <c r="A46" s="384" t="str">
        <f>CONCATENATE("Additionally, do your ",inputPrYr!D9-1," receipts contain a reimbursement")</f>
        <v>Additionally, do your 2012 receipts contain a reimbursement</v>
      </c>
      <c r="B46" s="380"/>
      <c r="C46" s="380"/>
      <c r="D46" s="380"/>
      <c r="E46" s="380"/>
      <c r="F46" s="380"/>
    </row>
    <row r="47" spans="1:6" ht="16.5">
      <c r="A47" s="384" t="s">
        <v>430</v>
      </c>
      <c r="B47" s="380"/>
      <c r="C47" s="380"/>
      <c r="D47" s="380"/>
      <c r="E47" s="380"/>
      <c r="F47" s="380"/>
    </row>
    <row r="48" spans="1:6" ht="16.5">
      <c r="A48" s="384" t="s">
        <v>431</v>
      </c>
      <c r="B48" s="380"/>
      <c r="C48" s="380"/>
      <c r="D48" s="380"/>
      <c r="E48" s="380"/>
      <c r="F48" s="380"/>
    </row>
    <row r="49" spans="1:7" ht="16.5">
      <c r="A49" s="380"/>
      <c r="B49" s="380"/>
      <c r="C49" s="380"/>
      <c r="D49" s="380"/>
      <c r="E49" s="380"/>
      <c r="F49" s="380"/>
      <c r="G49" s="380"/>
    </row>
    <row r="50" spans="1:7" ht="16.5">
      <c r="A50" s="380" t="s">
        <v>498</v>
      </c>
      <c r="B50" s="380"/>
      <c r="C50" s="380"/>
      <c r="D50" s="380"/>
      <c r="E50" s="380"/>
      <c r="F50" s="380"/>
      <c r="G50" s="380"/>
    </row>
    <row r="51" spans="1:7" ht="16.5">
      <c r="A51" s="380" t="s">
        <v>499</v>
      </c>
      <c r="B51" s="380"/>
      <c r="C51" s="380"/>
      <c r="D51" s="380"/>
      <c r="E51" s="380"/>
      <c r="F51" s="380"/>
      <c r="G51" s="380"/>
    </row>
    <row r="52" spans="1:7" ht="16.5">
      <c r="A52" s="380" t="s">
        <v>500</v>
      </c>
      <c r="B52" s="380"/>
      <c r="C52" s="380"/>
      <c r="D52" s="380"/>
      <c r="E52" s="380"/>
      <c r="F52" s="380"/>
      <c r="G52" s="380"/>
    </row>
    <row r="53" spans="1:7" ht="16.5">
      <c r="A53" s="380" t="s">
        <v>501</v>
      </c>
      <c r="B53" s="380"/>
      <c r="C53" s="380"/>
      <c r="D53" s="380"/>
      <c r="E53" s="380"/>
      <c r="F53" s="380"/>
      <c r="G53" s="380"/>
    </row>
    <row r="54" spans="1:7" ht="16.5">
      <c r="A54" s="380" t="s">
        <v>502</v>
      </c>
      <c r="B54" s="380"/>
      <c r="C54" s="380"/>
      <c r="D54" s="380"/>
      <c r="E54" s="380"/>
      <c r="F54" s="380"/>
      <c r="G54" s="380"/>
    </row>
    <row r="55" spans="1:7" ht="16.5">
      <c r="A55" s="380"/>
      <c r="B55" s="380"/>
      <c r="C55" s="380"/>
      <c r="D55" s="380"/>
      <c r="E55" s="380"/>
      <c r="F55" s="380"/>
      <c r="G55" s="380"/>
    </row>
    <row r="56" spans="1:6" ht="16.5">
      <c r="A56" s="384" t="s">
        <v>440</v>
      </c>
      <c r="B56" s="380"/>
      <c r="C56" s="380"/>
      <c r="D56" s="380"/>
      <c r="E56" s="380"/>
      <c r="F56" s="380"/>
    </row>
    <row r="57" spans="1:6" ht="16.5">
      <c r="A57" s="384" t="s">
        <v>441</v>
      </c>
      <c r="B57" s="380"/>
      <c r="C57" s="380"/>
      <c r="D57" s="380"/>
      <c r="E57" s="380"/>
      <c r="F57" s="380"/>
    </row>
    <row r="58" spans="1:6" ht="16.5">
      <c r="A58" s="384" t="s">
        <v>442</v>
      </c>
      <c r="B58" s="380"/>
      <c r="C58" s="380"/>
      <c r="D58" s="380"/>
      <c r="E58" s="380"/>
      <c r="F58" s="380"/>
    </row>
    <row r="59" spans="1:6" ht="16.5">
      <c r="A59" s="384"/>
      <c r="B59" s="380"/>
      <c r="C59" s="380"/>
      <c r="D59" s="380"/>
      <c r="E59" s="380"/>
      <c r="F59" s="380"/>
    </row>
    <row r="60" spans="1:7" ht="16.5">
      <c r="A60" s="380" t="s">
        <v>581</v>
      </c>
      <c r="B60" s="380"/>
      <c r="C60" s="380"/>
      <c r="D60" s="380"/>
      <c r="E60" s="380"/>
      <c r="F60" s="380"/>
      <c r="G60" s="380"/>
    </row>
    <row r="61" spans="1:7" ht="16.5">
      <c r="A61" s="380" t="s">
        <v>582</v>
      </c>
      <c r="B61" s="380"/>
      <c r="C61" s="380"/>
      <c r="D61" s="380"/>
      <c r="E61" s="380"/>
      <c r="F61" s="380"/>
      <c r="G61" s="380"/>
    </row>
    <row r="62" spans="1:7" ht="16.5">
      <c r="A62" s="380" t="s">
        <v>583</v>
      </c>
      <c r="B62" s="380"/>
      <c r="C62" s="380"/>
      <c r="D62" s="380"/>
      <c r="E62" s="380"/>
      <c r="F62" s="380"/>
      <c r="G62" s="380"/>
    </row>
    <row r="63" spans="1:7" ht="16.5">
      <c r="A63" s="380" t="s">
        <v>584</v>
      </c>
      <c r="B63" s="380"/>
      <c r="C63" s="380"/>
      <c r="D63" s="380"/>
      <c r="E63" s="380"/>
      <c r="F63" s="380"/>
      <c r="G63" s="380"/>
    </row>
    <row r="64" spans="1:7" ht="16.5">
      <c r="A64" s="380" t="s">
        <v>585</v>
      </c>
      <c r="B64" s="380"/>
      <c r="C64" s="380"/>
      <c r="D64" s="380"/>
      <c r="E64" s="380"/>
      <c r="F64" s="380"/>
      <c r="G64" s="380"/>
    </row>
    <row r="66" spans="1:6" ht="16.5">
      <c r="A66" s="384" t="s">
        <v>548</v>
      </c>
      <c r="B66" s="380"/>
      <c r="C66" s="380"/>
      <c r="D66" s="380"/>
      <c r="E66" s="380"/>
      <c r="F66" s="380"/>
    </row>
    <row r="67" spans="1:6" ht="16.5">
      <c r="A67" s="384" t="s">
        <v>549</v>
      </c>
      <c r="B67" s="380"/>
      <c r="C67" s="380"/>
      <c r="D67" s="380"/>
      <c r="E67" s="380"/>
      <c r="F67" s="380"/>
    </row>
    <row r="68" spans="1:6" ht="16.5">
      <c r="A68" s="384" t="s">
        <v>550</v>
      </c>
      <c r="B68" s="380"/>
      <c r="C68" s="380"/>
      <c r="D68" s="380"/>
      <c r="E68" s="380"/>
      <c r="F68" s="380"/>
    </row>
    <row r="69" spans="1:6" ht="16.5">
      <c r="A69" s="384" t="s">
        <v>551</v>
      </c>
      <c r="B69" s="380"/>
      <c r="C69" s="380"/>
      <c r="D69" s="380"/>
      <c r="E69" s="380"/>
      <c r="F69" s="380"/>
    </row>
    <row r="70" spans="1:6" ht="16.5">
      <c r="A70" s="384" t="s">
        <v>552</v>
      </c>
      <c r="B70" s="380"/>
      <c r="C70" s="380"/>
      <c r="D70" s="380"/>
      <c r="E70" s="380"/>
      <c r="F70" s="380"/>
    </row>
    <row r="71" ht="16.5">
      <c r="A71" s="380"/>
    </row>
    <row r="72" ht="16.5">
      <c r="A72" s="380" t="s">
        <v>469</v>
      </c>
    </row>
    <row r="73" ht="16.5">
      <c r="A73" s="380"/>
    </row>
    <row r="74" ht="16.5">
      <c r="A74" s="380"/>
    </row>
    <row r="75" ht="16.5">
      <c r="A75" s="380"/>
    </row>
    <row r="78" ht="16.5">
      <c r="A78" s="381"/>
    </row>
    <row r="80" ht="16.5">
      <c r="A80" s="380"/>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2" ht="16.5">
      <c r="A102" s="380"/>
    </row>
    <row r="103" ht="16.5">
      <c r="A103" s="380"/>
    </row>
    <row r="104" ht="16.5">
      <c r="A104" s="380"/>
    </row>
    <row r="105" ht="16.5">
      <c r="A105" s="380"/>
    </row>
    <row r="106" ht="16.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8">
      <selection activeCell="E40" sqref="E4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Valley Township</v>
      </c>
      <c r="B1" s="30"/>
      <c r="C1" s="30"/>
      <c r="D1" s="30"/>
      <c r="E1" s="30">
        <f>inputPrYr!D9</f>
        <v>2013</v>
      </c>
    </row>
    <row r="2" spans="1:5" ht="15.75">
      <c r="A2" s="41" t="str">
        <f>inputPrYr!D4</f>
        <v>Rice</v>
      </c>
      <c r="B2" s="30"/>
      <c r="C2" s="30"/>
      <c r="D2" s="30"/>
      <c r="E2" s="30"/>
    </row>
    <row r="3" spans="1:5" ht="15.75">
      <c r="A3" s="30"/>
      <c r="B3" s="30"/>
      <c r="C3" s="30"/>
      <c r="D3" s="30"/>
      <c r="E3" s="30"/>
    </row>
    <row r="4" spans="1:5" ht="15.75">
      <c r="A4" s="766" t="s">
        <v>110</v>
      </c>
      <c r="B4" s="767"/>
      <c r="C4" s="767"/>
      <c r="D4" s="767"/>
      <c r="E4" s="767"/>
    </row>
    <row r="5" spans="1:5" ht="15.75">
      <c r="A5" s="30"/>
      <c r="B5" s="30"/>
      <c r="C5" s="30"/>
      <c r="D5" s="30"/>
      <c r="E5" s="30"/>
    </row>
    <row r="6" spans="1:5" ht="15.75">
      <c r="A6" s="770" t="str">
        <f>CONCATENATE("From the County Clerks Budget Information for ",E1,":")</f>
        <v>From the County Clerks Budget Information for 2013:</v>
      </c>
      <c r="B6" s="771"/>
      <c r="C6" s="771"/>
      <c r="D6" s="771"/>
      <c r="E6" s="771"/>
    </row>
    <row r="7" spans="1:5" ht="15.75">
      <c r="A7" s="55" t="str">
        <f>CONCATENATE("Assessed Valuation for ",E1-1,":")</f>
        <v>Assessed Valuation for 2012:</v>
      </c>
      <c r="B7" s="10"/>
      <c r="C7" s="10"/>
      <c r="D7" s="10"/>
      <c r="E7" s="36"/>
    </row>
    <row r="8" spans="1:5" ht="15.75">
      <c r="A8" s="13" t="s">
        <v>159</v>
      </c>
      <c r="B8" s="14"/>
      <c r="C8" s="14"/>
      <c r="D8" s="14"/>
      <c r="E8" s="35">
        <v>4588867</v>
      </c>
    </row>
    <row r="9" spans="1:5" ht="15.75">
      <c r="A9" s="15" t="str">
        <f>inputPrYr!$D$6</f>
        <v>Alden</v>
      </c>
      <c r="B9" s="16"/>
      <c r="C9" s="16"/>
      <c r="D9" s="16"/>
      <c r="E9" s="35">
        <v>660869</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5249736</v>
      </c>
    </row>
    <row r="12" spans="1:5" ht="15.75">
      <c r="A12" s="54" t="str">
        <f>CONCATENATE("New Improvements for ",E1-1,":")</f>
        <v>New Improvements for 2012:</v>
      </c>
      <c r="B12" s="10"/>
      <c r="C12" s="10"/>
      <c r="D12" s="10"/>
      <c r="E12" s="34"/>
    </row>
    <row r="13" spans="1:5" ht="15.75">
      <c r="A13" s="13" t="s">
        <v>159</v>
      </c>
      <c r="B13" s="14"/>
      <c r="C13" s="14"/>
      <c r="D13" s="14"/>
      <c r="E13" s="52">
        <v>3761</v>
      </c>
    </row>
    <row r="14" spans="1:5" ht="15.75">
      <c r="A14" s="15" t="str">
        <f>inputPrYr!$D$6</f>
        <v>Alden</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3761</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41515</v>
      </c>
    </row>
    <row r="19" spans="1:5" ht="15.75">
      <c r="A19" s="15" t="str">
        <f>inputPrYr!$D$6</f>
        <v>Alden</v>
      </c>
      <c r="B19" s="16"/>
      <c r="C19" s="16"/>
      <c r="D19" s="16"/>
      <c r="E19" s="3">
        <v>33426</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74941</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290</v>
      </c>
    </row>
    <row r="24" spans="1:5" ht="15.75">
      <c r="A24" s="15" t="str">
        <f>inputPrYr!$D$6</f>
        <v>Alden</v>
      </c>
      <c r="B24" s="16"/>
      <c r="C24" s="16"/>
      <c r="D24" s="16"/>
      <c r="E24" s="3">
        <v>7</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297</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43257</v>
      </c>
    </row>
    <row r="29" spans="1:5" ht="15.75">
      <c r="A29" s="15" t="str">
        <f>inputPrYr!$D$6</f>
        <v>Alden</v>
      </c>
      <c r="B29" s="16"/>
      <c r="C29" s="16"/>
      <c r="D29" s="16"/>
      <c r="E29" s="3">
        <v>34370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77627</v>
      </c>
    </row>
    <row r="32" spans="1:5" ht="15.75">
      <c r="A32" s="15" t="str">
        <f>CONCATENATE("Gross earnings (intangible) tax estimate for ",E1,"")</f>
        <v>Gross earnings (intangible) tax estimate for 2013</v>
      </c>
      <c r="B32" s="16"/>
      <c r="C32" s="16"/>
      <c r="D32" s="16"/>
      <c r="E32" s="3">
        <v>108</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8" t="s">
        <v>255</v>
      </c>
      <c r="B36" s="769"/>
      <c r="C36" s="30"/>
      <c r="D36" s="37" t="s">
        <v>267</v>
      </c>
      <c r="E36" s="36"/>
    </row>
    <row r="37" spans="1:5" ht="15.75">
      <c r="A37" s="13" t="str">
        <f>inputPrYr!B20</f>
        <v>General</v>
      </c>
      <c r="B37" s="14"/>
      <c r="C37" s="10"/>
      <c r="D37" s="48">
        <v>1.733</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10.248</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11.981</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5751742</v>
      </c>
    </row>
    <row r="53" spans="1:5" ht="15.75">
      <c r="A53" s="16" t="str">
        <f>inputPrYr!D6</f>
        <v>Alden</v>
      </c>
      <c r="B53" s="16"/>
      <c r="C53" s="16"/>
      <c r="D53" s="20"/>
      <c r="E53" s="4">
        <v>641980</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6393722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1615</v>
      </c>
    </row>
    <row r="60" spans="1:5" ht="15.75">
      <c r="A60" s="15" t="s">
        <v>246</v>
      </c>
      <c r="B60" s="16"/>
      <c r="C60" s="16"/>
      <c r="D60" s="40"/>
      <c r="E60" s="2">
        <v>16</v>
      </c>
    </row>
    <row r="61" spans="1:5" ht="15.75">
      <c r="A61" s="15" t="s">
        <v>112</v>
      </c>
      <c r="B61" s="16"/>
      <c r="C61" s="16"/>
      <c r="D61" s="40"/>
      <c r="E61" s="2">
        <v>280</v>
      </c>
    </row>
    <row r="62" spans="1:5" ht="15.75">
      <c r="A62" s="44" t="s">
        <v>156</v>
      </c>
      <c r="B62" s="45"/>
      <c r="C62" s="16"/>
      <c r="D62" s="40"/>
      <c r="E62" s="31"/>
    </row>
    <row r="63" spans="1:5" ht="15.75">
      <c r="A63" s="13" t="s">
        <v>153</v>
      </c>
      <c r="B63" s="16"/>
      <c r="C63" s="16"/>
      <c r="D63" s="40"/>
      <c r="E63" s="2">
        <v>382</v>
      </c>
    </row>
    <row r="64" spans="1:5" ht="15.75">
      <c r="A64" s="15" t="s">
        <v>154</v>
      </c>
      <c r="B64" s="16"/>
      <c r="C64" s="16"/>
      <c r="D64" s="40"/>
      <c r="E64" s="2">
        <v>17</v>
      </c>
    </row>
    <row r="65" spans="1:5" ht="15.75">
      <c r="A65" s="15" t="s">
        <v>155</v>
      </c>
      <c r="B65" s="16"/>
      <c r="C65" s="16"/>
      <c r="D65" s="40"/>
      <c r="E65" s="2">
        <v>1</v>
      </c>
    </row>
    <row r="66" spans="1:5" ht="15.75">
      <c r="A66" s="44" t="s">
        <v>157</v>
      </c>
      <c r="B66" s="45"/>
      <c r="C66" s="16"/>
      <c r="D66" s="40"/>
      <c r="E66" s="31"/>
    </row>
    <row r="67" spans="1:5" ht="15.75">
      <c r="A67" s="13" t="s">
        <v>153</v>
      </c>
      <c r="B67" s="16"/>
      <c r="C67" s="16"/>
      <c r="D67" s="40"/>
      <c r="E67" s="2"/>
    </row>
    <row r="68" spans="1:5" ht="15.75">
      <c r="A68" s="15" t="s">
        <v>154</v>
      </c>
      <c r="B68" s="16"/>
      <c r="C68" s="16"/>
      <c r="D68" s="40"/>
      <c r="E68" s="2"/>
    </row>
    <row r="69" spans="1:5" ht="15.75">
      <c r="A69" s="15" t="s">
        <v>155</v>
      </c>
      <c r="B69" s="16"/>
      <c r="C69" s="16"/>
      <c r="D69" s="40"/>
      <c r="E69" s="2"/>
    </row>
    <row r="70" spans="1:5" ht="15.75">
      <c r="A70" s="15"/>
      <c r="B70" s="16"/>
      <c r="C70" s="16"/>
      <c r="D70" s="40"/>
      <c r="E70" s="31"/>
    </row>
    <row r="71" spans="1:5" ht="15.75">
      <c r="A71" s="15" t="s">
        <v>113</v>
      </c>
      <c r="B71" s="16"/>
      <c r="C71" s="16"/>
      <c r="D71" s="40"/>
      <c r="E71" s="2">
        <v>0</v>
      </c>
    </row>
    <row r="72" spans="1:5" ht="15.75">
      <c r="A72" s="15" t="s">
        <v>52</v>
      </c>
      <c r="B72" s="14"/>
      <c r="C72" s="14"/>
      <c r="D72" s="39"/>
      <c r="E72" s="2">
        <v>2395</v>
      </c>
    </row>
    <row r="73" spans="1:5" ht="33" customHeight="1">
      <c r="A73" s="772" t="s">
        <v>158</v>
      </c>
      <c r="B73" s="773"/>
      <c r="C73" s="773"/>
      <c r="D73" s="773"/>
      <c r="E73" s="773"/>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811</v>
      </c>
      <c r="B77" s="17"/>
      <c r="C77" s="10"/>
      <c r="D77" s="10"/>
      <c r="E77" s="595">
        <v>0</v>
      </c>
    </row>
    <row r="78" spans="1:5" ht="34.5" customHeight="1">
      <c r="A78" s="764" t="s">
        <v>115</v>
      </c>
      <c r="B78" s="765"/>
      <c r="C78" s="765"/>
      <c r="D78" s="765"/>
      <c r="E78" s="765"/>
    </row>
    <row r="79" spans="1:5" ht="15.75">
      <c r="A79" s="33"/>
      <c r="B79" s="33"/>
      <c r="C79" s="33"/>
      <c r="D79" s="33"/>
      <c r="E79" s="33"/>
    </row>
    <row r="80" spans="1:5" ht="16.5">
      <c r="A80" s="760" t="str">
        <f>CONCATENATE("From the ",E1-2," Budget Certificate Page")</f>
        <v>From the 2011 Budget Certificate Page</v>
      </c>
      <c r="B80" s="761"/>
      <c r="C80" s="33"/>
      <c r="D80" s="33"/>
      <c r="E80" s="33"/>
    </row>
    <row r="81" spans="1:5" ht="16.5">
      <c r="A81" s="57"/>
      <c r="B81" s="57" t="str">
        <f>CONCATENATE("",E1-2," Expenditure Amounts")</f>
        <v>2011 Expenditure Amounts</v>
      </c>
      <c r="C81" s="762" t="str">
        <f>CONCATENATE("Note: If the ",E1-2," budget was amended, then the")</f>
        <v>Note: If the 2011 budget was amended, then the</v>
      </c>
      <c r="D81" s="763"/>
      <c r="E81" s="763"/>
    </row>
    <row r="82" spans="1:5" ht="16.5">
      <c r="A82" s="58" t="s">
        <v>176</v>
      </c>
      <c r="B82" s="58" t="s">
        <v>177</v>
      </c>
      <c r="C82" s="59" t="s">
        <v>178</v>
      </c>
      <c r="D82" s="60"/>
      <c r="E82" s="60"/>
    </row>
    <row r="83" spans="1:5" ht="16.5">
      <c r="A83" s="61" t="str">
        <f>inputPrYr!B20</f>
        <v>General</v>
      </c>
      <c r="B83" s="4">
        <v>12150</v>
      </c>
      <c r="C83" s="59" t="s">
        <v>179</v>
      </c>
      <c r="D83" s="62"/>
      <c r="E83" s="62"/>
    </row>
    <row r="84" spans="1:5" ht="16.5">
      <c r="A84" s="61" t="str">
        <f>inputPrYr!B21</f>
        <v>Debt Service</v>
      </c>
      <c r="B84" s="4"/>
      <c r="C84" s="59"/>
      <c r="D84" s="62"/>
      <c r="E84" s="62"/>
    </row>
    <row r="85" spans="1:5" ht="16.5">
      <c r="A85" s="61" t="str">
        <f>inputPrYr!B22</f>
        <v>Library</v>
      </c>
      <c r="B85" s="4"/>
      <c r="C85" s="59"/>
      <c r="D85" s="62"/>
      <c r="E85" s="62"/>
    </row>
    <row r="86" spans="1:5" ht="15.75">
      <c r="A86" s="61" t="str">
        <f>inputPrYr!B23</f>
        <v>Road</v>
      </c>
      <c r="B86" s="4">
        <v>74740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9" t="s">
        <v>586</v>
      </c>
      <c r="B3" s="379"/>
      <c r="C3" s="379"/>
      <c r="D3" s="379"/>
      <c r="E3" s="379"/>
      <c r="F3" s="379"/>
      <c r="G3" s="379"/>
    </row>
    <row r="4" spans="1:7" ht="16.5">
      <c r="A4" s="379" t="s">
        <v>587</v>
      </c>
      <c r="B4" s="379"/>
      <c r="C4" s="379"/>
      <c r="D4" s="379"/>
      <c r="E4" s="379"/>
      <c r="F4" s="379"/>
      <c r="G4" s="379"/>
    </row>
    <row r="5" spans="1:7" ht="16.5">
      <c r="A5" s="379"/>
      <c r="B5" s="379"/>
      <c r="C5" s="379"/>
      <c r="D5" s="379"/>
      <c r="E5" s="379"/>
      <c r="F5" s="379"/>
      <c r="G5" s="379"/>
    </row>
    <row r="6" spans="1:7" ht="16.5">
      <c r="A6" s="379"/>
      <c r="B6" s="379"/>
      <c r="C6" s="379"/>
      <c r="D6" s="379"/>
      <c r="E6" s="379"/>
      <c r="F6" s="379"/>
      <c r="G6" s="379"/>
    </row>
    <row r="7" ht="16.5">
      <c r="A7" s="380" t="s">
        <v>414</v>
      </c>
    </row>
    <row r="8" ht="16.5">
      <c r="A8" s="380" t="str">
        <f>CONCATENATE("estimated ",inputPrYr!D9," 'total expenditures' exceed your ",inputPrYr!D9,"")</f>
        <v>estimated 2013 'total expenditures' exceed your 2013</v>
      </c>
    </row>
    <row r="9" ht="16.5">
      <c r="A9" s="383" t="s">
        <v>588</v>
      </c>
    </row>
    <row r="10" ht="16.5">
      <c r="A10" s="380"/>
    </row>
    <row r="11" ht="16.5">
      <c r="A11" s="380" t="s">
        <v>589</v>
      </c>
    </row>
    <row r="12" ht="16.5">
      <c r="A12" s="380" t="s">
        <v>590</v>
      </c>
    </row>
    <row r="13" ht="16.5">
      <c r="A13" s="380" t="s">
        <v>591</v>
      </c>
    </row>
    <row r="14" ht="16.5">
      <c r="A14" s="380"/>
    </row>
    <row r="15" ht="16.5">
      <c r="A15" s="381" t="s">
        <v>592</v>
      </c>
    </row>
    <row r="16" spans="1:7" ht="16.5">
      <c r="A16" s="379"/>
      <c r="B16" s="379"/>
      <c r="C16" s="379"/>
      <c r="D16" s="379"/>
      <c r="E16" s="379"/>
      <c r="F16" s="379"/>
      <c r="G16" s="379"/>
    </row>
    <row r="17" spans="1:8" ht="16.5">
      <c r="A17" s="386" t="s">
        <v>593</v>
      </c>
      <c r="B17" s="378"/>
      <c r="C17" s="378"/>
      <c r="D17" s="378"/>
      <c r="E17" s="378"/>
      <c r="F17" s="378"/>
      <c r="G17" s="378"/>
      <c r="H17" s="378"/>
    </row>
    <row r="18" spans="1:7" ht="16.5">
      <c r="A18" s="380" t="s">
        <v>594</v>
      </c>
      <c r="B18" s="387"/>
      <c r="C18" s="387"/>
      <c r="D18" s="387"/>
      <c r="E18" s="387"/>
      <c r="F18" s="387"/>
      <c r="G18" s="387"/>
    </row>
    <row r="19" ht="16.5">
      <c r="A19" s="380" t="s">
        <v>595</v>
      </c>
    </row>
    <row r="20" ht="16.5">
      <c r="A20" s="380" t="s">
        <v>596</v>
      </c>
    </row>
    <row r="22" ht="16.5">
      <c r="A22" s="381" t="s">
        <v>597</v>
      </c>
    </row>
    <row r="24" ht="16.5">
      <c r="A24" s="380" t="s">
        <v>598</v>
      </c>
    </row>
    <row r="25" ht="16.5">
      <c r="A25" s="380" t="s">
        <v>599</v>
      </c>
    </row>
    <row r="26" ht="16.5">
      <c r="A26" s="380" t="s">
        <v>600</v>
      </c>
    </row>
    <row r="28" ht="16.5">
      <c r="A28" s="381" t="s">
        <v>601</v>
      </c>
    </row>
    <row r="30" ht="15.75">
      <c r="A30" t="s">
        <v>602</v>
      </c>
    </row>
    <row r="31" ht="15.75">
      <c r="A31" t="s">
        <v>603</v>
      </c>
    </row>
    <row r="32" ht="15.75">
      <c r="A32" t="s">
        <v>604</v>
      </c>
    </row>
    <row r="33" ht="16.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6.5">
      <c r="A49" s="380" t="s">
        <v>618</v>
      </c>
    </row>
    <row r="50" ht="16.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7" t="s">
        <v>661</v>
      </c>
      <c r="C6" s="888"/>
      <c r="D6" s="888"/>
      <c r="E6" s="888"/>
      <c r="F6" s="888"/>
      <c r="G6" s="888"/>
      <c r="H6" s="888"/>
      <c r="I6" s="888"/>
      <c r="J6" s="888"/>
      <c r="K6" s="888"/>
      <c r="L6" s="402"/>
    </row>
    <row r="7" spans="1:12" ht="40.5" customHeight="1">
      <c r="A7" s="400"/>
      <c r="B7" s="897" t="s">
        <v>662</v>
      </c>
      <c r="C7" s="898"/>
      <c r="D7" s="898"/>
      <c r="E7" s="898"/>
      <c r="F7" s="898"/>
      <c r="G7" s="898"/>
      <c r="H7" s="898"/>
      <c r="I7" s="898"/>
      <c r="J7" s="898"/>
      <c r="K7" s="898"/>
      <c r="L7" s="400"/>
    </row>
    <row r="8" spans="1:12" ht="14.25">
      <c r="A8" s="400"/>
      <c r="B8" s="890" t="s">
        <v>663</v>
      </c>
      <c r="C8" s="890"/>
      <c r="D8" s="890"/>
      <c r="E8" s="890"/>
      <c r="F8" s="890"/>
      <c r="G8" s="890"/>
      <c r="H8" s="890"/>
      <c r="I8" s="890"/>
      <c r="J8" s="890"/>
      <c r="K8" s="890"/>
      <c r="L8" s="400"/>
    </row>
    <row r="9" spans="1:12" ht="14.25">
      <c r="A9" s="400"/>
      <c r="L9" s="400"/>
    </row>
    <row r="10" spans="1:12" ht="14.25">
      <c r="A10" s="400"/>
      <c r="B10" s="890" t="s">
        <v>664</v>
      </c>
      <c r="C10" s="890"/>
      <c r="D10" s="890"/>
      <c r="E10" s="890"/>
      <c r="F10" s="890"/>
      <c r="G10" s="890"/>
      <c r="H10" s="890"/>
      <c r="I10" s="890"/>
      <c r="J10" s="890"/>
      <c r="K10" s="890"/>
      <c r="L10" s="400"/>
    </row>
    <row r="11" spans="1:12" ht="14.25">
      <c r="A11" s="400"/>
      <c r="B11" s="403"/>
      <c r="C11" s="403"/>
      <c r="D11" s="403"/>
      <c r="E11" s="403"/>
      <c r="F11" s="403"/>
      <c r="G11" s="403"/>
      <c r="H11" s="403"/>
      <c r="I11" s="403"/>
      <c r="J11" s="403"/>
      <c r="K11" s="403"/>
      <c r="L11" s="400"/>
    </row>
    <row r="12" spans="1:12" ht="32.25" customHeight="1">
      <c r="A12" s="400"/>
      <c r="B12" s="878" t="s">
        <v>665</v>
      </c>
      <c r="C12" s="878"/>
      <c r="D12" s="878"/>
      <c r="E12" s="878"/>
      <c r="F12" s="878"/>
      <c r="G12" s="878"/>
      <c r="H12" s="878"/>
      <c r="I12" s="878"/>
      <c r="J12" s="878"/>
      <c r="K12" s="878"/>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80">
        <v>133685008</v>
      </c>
      <c r="G23" s="880"/>
      <c r="L23" s="400"/>
    </row>
    <row r="24" spans="1:12" ht="14.25">
      <c r="A24" s="400"/>
      <c r="L24" s="400"/>
    </row>
    <row r="25" spans="1:12" ht="14.25">
      <c r="A25" s="400"/>
      <c r="C25" s="891">
        <f>F23</f>
        <v>133685008</v>
      </c>
      <c r="D25" s="891"/>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5" t="s">
        <v>662</v>
      </c>
      <c r="C30" s="885"/>
      <c r="D30" s="885"/>
      <c r="E30" s="885"/>
      <c r="F30" s="885"/>
      <c r="G30" s="885"/>
      <c r="H30" s="885"/>
      <c r="I30" s="885"/>
      <c r="J30" s="885"/>
      <c r="K30" s="885"/>
      <c r="L30" s="400"/>
    </row>
    <row r="31" spans="1:12" ht="14.25">
      <c r="A31" s="400"/>
      <c r="B31" s="890" t="s">
        <v>676</v>
      </c>
      <c r="C31" s="890"/>
      <c r="D31" s="890"/>
      <c r="E31" s="890"/>
      <c r="F31" s="890"/>
      <c r="G31" s="890"/>
      <c r="H31" s="890"/>
      <c r="I31" s="890"/>
      <c r="J31" s="890"/>
      <c r="K31" s="890"/>
      <c r="L31" s="400"/>
    </row>
    <row r="32" spans="1:12" ht="14.25">
      <c r="A32" s="400"/>
      <c r="L32" s="400"/>
    </row>
    <row r="33" spans="1:12" ht="14.25">
      <c r="A33" s="400"/>
      <c r="B33" s="890" t="s">
        <v>677</v>
      </c>
      <c r="C33" s="890"/>
      <c r="D33" s="890"/>
      <c r="E33" s="890"/>
      <c r="F33" s="890"/>
      <c r="G33" s="890"/>
      <c r="H33" s="890"/>
      <c r="I33" s="890"/>
      <c r="J33" s="890"/>
      <c r="K33" s="890"/>
      <c r="L33" s="400"/>
    </row>
    <row r="34" spans="1:12" ht="14.25">
      <c r="A34" s="400"/>
      <c r="L34" s="400"/>
    </row>
    <row r="35" spans="1:12" ht="89.25" customHeight="1">
      <c r="A35" s="400"/>
      <c r="B35" s="878" t="s">
        <v>678</v>
      </c>
      <c r="C35" s="883"/>
      <c r="D35" s="883"/>
      <c r="E35" s="883"/>
      <c r="F35" s="883"/>
      <c r="G35" s="883"/>
      <c r="H35" s="883"/>
      <c r="I35" s="883"/>
      <c r="J35" s="883"/>
      <c r="K35" s="883"/>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92">
        <v>3120000</v>
      </c>
      <c r="D41" s="892"/>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80">
        <v>133685008</v>
      </c>
      <c r="C48" s="880"/>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93" t="s">
        <v>686</v>
      </c>
      <c r="H50" s="894"/>
      <c r="I50" s="412" t="s">
        <v>672</v>
      </c>
      <c r="J50" s="422">
        <f>B50/F50</f>
        <v>52.8690023342034</v>
      </c>
      <c r="K50" s="414"/>
      <c r="L50" s="400"/>
    </row>
    <row r="51" spans="1:15" ht="15" thickBot="1">
      <c r="A51" s="400"/>
      <c r="B51" s="415"/>
      <c r="C51" s="416"/>
      <c r="D51" s="416"/>
      <c r="E51" s="416"/>
      <c r="F51" s="416"/>
      <c r="G51" s="416"/>
      <c r="H51" s="416"/>
      <c r="I51" s="895" t="s">
        <v>687</v>
      </c>
      <c r="J51" s="895"/>
      <c r="K51" s="896"/>
      <c r="L51" s="400"/>
      <c r="O51" s="423"/>
    </row>
    <row r="52" spans="1:12" ht="40.5" customHeight="1">
      <c r="A52" s="400"/>
      <c r="B52" s="885" t="s">
        <v>662</v>
      </c>
      <c r="C52" s="885"/>
      <c r="D52" s="885"/>
      <c r="E52" s="885"/>
      <c r="F52" s="885"/>
      <c r="G52" s="885"/>
      <c r="H52" s="885"/>
      <c r="I52" s="885"/>
      <c r="J52" s="885"/>
      <c r="K52" s="885"/>
      <c r="L52" s="400"/>
    </row>
    <row r="53" spans="1:12" ht="14.25">
      <c r="A53" s="400"/>
      <c r="B53" s="890" t="s">
        <v>688</v>
      </c>
      <c r="C53" s="890"/>
      <c r="D53" s="890"/>
      <c r="E53" s="890"/>
      <c r="F53" s="890"/>
      <c r="G53" s="890"/>
      <c r="H53" s="890"/>
      <c r="I53" s="890"/>
      <c r="J53" s="890"/>
      <c r="K53" s="890"/>
      <c r="L53" s="400"/>
    </row>
    <row r="54" spans="1:12" ht="14.25">
      <c r="A54" s="400"/>
      <c r="B54" s="403"/>
      <c r="C54" s="403"/>
      <c r="D54" s="403"/>
      <c r="E54" s="403"/>
      <c r="F54" s="403"/>
      <c r="G54" s="403"/>
      <c r="H54" s="403"/>
      <c r="I54" s="403"/>
      <c r="J54" s="403"/>
      <c r="K54" s="403"/>
      <c r="L54" s="400"/>
    </row>
    <row r="55" spans="1:12" ht="14.25">
      <c r="A55" s="400"/>
      <c r="B55" s="877" t="s">
        <v>689</v>
      </c>
      <c r="C55" s="877"/>
      <c r="D55" s="877"/>
      <c r="E55" s="877"/>
      <c r="F55" s="877"/>
      <c r="G55" s="877"/>
      <c r="H55" s="877"/>
      <c r="I55" s="877"/>
      <c r="J55" s="877"/>
      <c r="K55" s="877"/>
      <c r="L55" s="400"/>
    </row>
    <row r="56" spans="1:12" ht="15" customHeight="1">
      <c r="A56" s="400"/>
      <c r="L56" s="400"/>
    </row>
    <row r="57" spans="1:24" ht="74.25" customHeight="1">
      <c r="A57" s="400"/>
      <c r="B57" s="878" t="s">
        <v>690</v>
      </c>
      <c r="C57" s="883"/>
      <c r="D57" s="883"/>
      <c r="E57" s="883"/>
      <c r="F57" s="883"/>
      <c r="G57" s="883"/>
      <c r="H57" s="883"/>
      <c r="I57" s="883"/>
      <c r="J57" s="883"/>
      <c r="K57" s="883"/>
      <c r="L57" s="400"/>
      <c r="M57" s="424"/>
      <c r="N57" s="425"/>
      <c r="O57" s="425"/>
      <c r="P57" s="425"/>
      <c r="Q57" s="425"/>
      <c r="R57" s="425"/>
      <c r="S57" s="425"/>
      <c r="T57" s="425"/>
      <c r="U57" s="425"/>
      <c r="V57" s="425"/>
      <c r="W57" s="425"/>
      <c r="X57" s="425"/>
    </row>
    <row r="58" spans="1:24" ht="15" customHeight="1">
      <c r="A58" s="400"/>
      <c r="B58" s="878"/>
      <c r="C58" s="883"/>
      <c r="D58" s="883"/>
      <c r="E58" s="883"/>
      <c r="F58" s="883"/>
      <c r="G58" s="883"/>
      <c r="H58" s="883"/>
      <c r="I58" s="883"/>
      <c r="J58" s="883"/>
      <c r="K58" s="883"/>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80">
        <v>133685008</v>
      </c>
      <c r="D74" s="880"/>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80">
        <v>5000</v>
      </c>
      <c r="D77" s="880"/>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80">
        <v>100000</v>
      </c>
      <c r="D80" s="880"/>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4">
        <f>H80</f>
        <v>11500</v>
      </c>
      <c r="D83" s="884"/>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5" t="s">
        <v>662</v>
      </c>
      <c r="C85" s="885"/>
      <c r="D85" s="885"/>
      <c r="E85" s="885"/>
      <c r="F85" s="885"/>
      <c r="G85" s="885"/>
      <c r="H85" s="885"/>
      <c r="I85" s="885"/>
      <c r="J85" s="885"/>
      <c r="K85" s="885"/>
      <c r="L85" s="400"/>
    </row>
    <row r="86" spans="1:12" ht="14.25">
      <c r="A86" s="400"/>
      <c r="B86" s="877" t="s">
        <v>710</v>
      </c>
      <c r="C86" s="877"/>
      <c r="D86" s="877"/>
      <c r="E86" s="877"/>
      <c r="F86" s="877"/>
      <c r="G86" s="877"/>
      <c r="H86" s="877"/>
      <c r="I86" s="877"/>
      <c r="J86" s="877"/>
      <c r="K86" s="877"/>
      <c r="L86" s="400"/>
    </row>
    <row r="87" spans="1:12" ht="14.25">
      <c r="A87" s="400"/>
      <c r="B87" s="439"/>
      <c r="C87" s="439"/>
      <c r="D87" s="439"/>
      <c r="E87" s="439"/>
      <c r="F87" s="439"/>
      <c r="G87" s="439"/>
      <c r="H87" s="439"/>
      <c r="I87" s="439"/>
      <c r="J87" s="439"/>
      <c r="K87" s="439"/>
      <c r="L87" s="400"/>
    </row>
    <row r="88" spans="1:12" ht="14.25">
      <c r="A88" s="400"/>
      <c r="B88" s="877" t="s">
        <v>711</v>
      </c>
      <c r="C88" s="877"/>
      <c r="D88" s="877"/>
      <c r="E88" s="877"/>
      <c r="F88" s="877"/>
      <c r="G88" s="877"/>
      <c r="H88" s="877"/>
      <c r="I88" s="877"/>
      <c r="J88" s="877"/>
      <c r="K88" s="877"/>
      <c r="L88" s="400"/>
    </row>
    <row r="89" spans="1:12" ht="14.25">
      <c r="A89" s="400"/>
      <c r="B89" s="440"/>
      <c r="C89" s="440"/>
      <c r="D89" s="440"/>
      <c r="E89" s="440"/>
      <c r="F89" s="440"/>
      <c r="G89" s="440"/>
      <c r="H89" s="440"/>
      <c r="I89" s="440"/>
      <c r="J89" s="440"/>
      <c r="K89" s="440"/>
      <c r="L89" s="400"/>
    </row>
    <row r="90" spans="1:12" ht="45" customHeight="1">
      <c r="A90" s="400"/>
      <c r="B90" s="878" t="s">
        <v>712</v>
      </c>
      <c r="C90" s="878"/>
      <c r="D90" s="878"/>
      <c r="E90" s="878"/>
      <c r="F90" s="878"/>
      <c r="G90" s="878"/>
      <c r="H90" s="878"/>
      <c r="I90" s="878"/>
      <c r="J90" s="878"/>
      <c r="K90" s="878"/>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0">
        <v>133685008</v>
      </c>
      <c r="D94" s="880"/>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0">
        <v>50000</v>
      </c>
      <c r="D97" s="880"/>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0">
        <v>2500000</v>
      </c>
      <c r="D100" s="880"/>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4">
        <f>H100</f>
        <v>750000</v>
      </c>
      <c r="D103" s="884"/>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5" t="s">
        <v>662</v>
      </c>
      <c r="C105" s="886"/>
      <c r="D105" s="886"/>
      <c r="E105" s="886"/>
      <c r="F105" s="886"/>
      <c r="G105" s="886"/>
      <c r="H105" s="886"/>
      <c r="I105" s="886"/>
      <c r="J105" s="886"/>
      <c r="K105" s="886"/>
      <c r="L105" s="400"/>
    </row>
    <row r="106" spans="1:12" ht="15" customHeight="1">
      <c r="A106" s="400"/>
      <c r="B106" s="887" t="s">
        <v>714</v>
      </c>
      <c r="C106" s="888"/>
      <c r="D106" s="888"/>
      <c r="E106" s="888"/>
      <c r="F106" s="888"/>
      <c r="G106" s="888"/>
      <c r="H106" s="888"/>
      <c r="I106" s="888"/>
      <c r="J106" s="888"/>
      <c r="K106" s="888"/>
      <c r="L106" s="400"/>
    </row>
    <row r="107" spans="1:12" ht="15" customHeight="1">
      <c r="A107" s="400"/>
      <c r="B107" s="445"/>
      <c r="C107" s="453"/>
      <c r="D107" s="453"/>
      <c r="E107" s="412"/>
      <c r="F107" s="422"/>
      <c r="G107" s="412"/>
      <c r="H107" s="412"/>
      <c r="I107" s="412"/>
      <c r="J107" s="434"/>
      <c r="K107" s="445"/>
      <c r="L107" s="400"/>
    </row>
    <row r="108" spans="1:12" ht="15" customHeight="1">
      <c r="A108" s="400"/>
      <c r="B108" s="887" t="s">
        <v>715</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82" t="s">
        <v>716</v>
      </c>
      <c r="C110" s="883"/>
      <c r="D110" s="883"/>
      <c r="E110" s="883"/>
      <c r="F110" s="883"/>
      <c r="G110" s="883"/>
      <c r="H110" s="883"/>
      <c r="I110" s="883"/>
      <c r="J110" s="883"/>
      <c r="K110" s="883"/>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80">
        <v>133685008</v>
      </c>
      <c r="D114" s="880"/>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80">
        <v>50000</v>
      </c>
      <c r="D117" s="880"/>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80">
        <v>2500000</v>
      </c>
      <c r="D120" s="880"/>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4">
        <f>H120</f>
        <v>625000</v>
      </c>
      <c r="D123" s="884"/>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5" t="s">
        <v>662</v>
      </c>
      <c r="C125" s="885"/>
      <c r="D125" s="885"/>
      <c r="E125" s="885"/>
      <c r="F125" s="885"/>
      <c r="G125" s="885"/>
      <c r="H125" s="885"/>
      <c r="I125" s="885"/>
      <c r="J125" s="885"/>
      <c r="K125" s="885"/>
      <c r="L125" s="454"/>
    </row>
    <row r="126" spans="1:12" ht="14.25">
      <c r="A126" s="400"/>
      <c r="B126" s="877" t="s">
        <v>717</v>
      </c>
      <c r="C126" s="877"/>
      <c r="D126" s="877"/>
      <c r="E126" s="877"/>
      <c r="F126" s="877"/>
      <c r="G126" s="877"/>
      <c r="H126" s="877"/>
      <c r="I126" s="877"/>
      <c r="J126" s="877"/>
      <c r="K126" s="877"/>
      <c r="L126" s="454"/>
    </row>
    <row r="127" spans="1:12" ht="14.25">
      <c r="A127" s="400"/>
      <c r="B127" s="403"/>
      <c r="C127" s="403"/>
      <c r="D127" s="403"/>
      <c r="E127" s="403"/>
      <c r="F127" s="403"/>
      <c r="G127" s="403"/>
      <c r="H127" s="403"/>
      <c r="I127" s="403"/>
      <c r="J127" s="403"/>
      <c r="K127" s="403"/>
      <c r="L127" s="454"/>
    </row>
    <row r="128" spans="1:12" ht="14.25">
      <c r="A128" s="400"/>
      <c r="B128" s="877" t="s">
        <v>718</v>
      </c>
      <c r="C128" s="877"/>
      <c r="D128" s="877"/>
      <c r="E128" s="877"/>
      <c r="F128" s="877"/>
      <c r="G128" s="877"/>
      <c r="H128" s="877"/>
      <c r="I128" s="877"/>
      <c r="J128" s="877"/>
      <c r="K128" s="877"/>
      <c r="L128" s="454"/>
    </row>
    <row r="129" spans="1:12" ht="14.25">
      <c r="A129" s="400"/>
      <c r="B129" s="440"/>
      <c r="C129" s="440"/>
      <c r="D129" s="440"/>
      <c r="E129" s="440"/>
      <c r="F129" s="440"/>
      <c r="G129" s="440"/>
      <c r="H129" s="440"/>
      <c r="I129" s="440"/>
      <c r="J129" s="440"/>
      <c r="K129" s="440"/>
      <c r="L129" s="454"/>
    </row>
    <row r="130" spans="1:12" ht="74.25" customHeight="1">
      <c r="A130" s="400"/>
      <c r="B130" s="878" t="s">
        <v>719</v>
      </c>
      <c r="C130" s="878"/>
      <c r="D130" s="878"/>
      <c r="E130" s="878"/>
      <c r="F130" s="878"/>
      <c r="G130" s="878"/>
      <c r="H130" s="878"/>
      <c r="I130" s="878"/>
      <c r="J130" s="878"/>
      <c r="K130" s="878"/>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879" t="s">
        <v>720</v>
      </c>
      <c r="D133" s="879"/>
      <c r="E133" s="411"/>
      <c r="F133" s="412" t="s">
        <v>721</v>
      </c>
      <c r="G133" s="411"/>
      <c r="H133" s="879" t="s">
        <v>706</v>
      </c>
      <c r="I133" s="879"/>
      <c r="J133" s="411"/>
      <c r="K133" s="414"/>
      <c r="L133" s="400"/>
    </row>
    <row r="134" spans="1:12" ht="14.25">
      <c r="A134" s="400"/>
      <c r="B134" s="420" t="s">
        <v>699</v>
      </c>
      <c r="C134" s="880">
        <v>100000</v>
      </c>
      <c r="D134" s="880"/>
      <c r="E134" s="412" t="s">
        <v>259</v>
      </c>
      <c r="F134" s="412">
        <v>0.115</v>
      </c>
      <c r="G134" s="412" t="s">
        <v>672</v>
      </c>
      <c r="H134" s="872">
        <f>C134*F134</f>
        <v>11500</v>
      </c>
      <c r="I134" s="872"/>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1" t="s">
        <v>706</v>
      </c>
      <c r="D136" s="881"/>
      <c r="E136" s="431"/>
      <c r="F136" s="432" t="s">
        <v>722</v>
      </c>
      <c r="G136" s="432"/>
      <c r="H136" s="431"/>
      <c r="I136" s="431"/>
      <c r="J136" s="431" t="s">
        <v>723</v>
      </c>
      <c r="K136" s="433"/>
      <c r="L136" s="400"/>
    </row>
    <row r="137" spans="1:12" ht="14.25">
      <c r="A137" s="400"/>
      <c r="B137" s="420" t="s">
        <v>702</v>
      </c>
      <c r="C137" s="872">
        <f>H134</f>
        <v>11500</v>
      </c>
      <c r="D137" s="872"/>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69" t="s">
        <v>726</v>
      </c>
      <c r="C144" s="870"/>
      <c r="D144" s="870"/>
      <c r="E144" s="870"/>
      <c r="F144" s="870"/>
      <c r="G144" s="870"/>
      <c r="H144" s="870"/>
      <c r="I144" s="870"/>
      <c r="J144" s="870"/>
      <c r="K144" s="871"/>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72" t="s">
        <v>727</v>
      </c>
      <c r="D147" s="872"/>
      <c r="E147" s="412"/>
      <c r="F147" s="472" t="s">
        <v>728</v>
      </c>
      <c r="G147" s="412"/>
      <c r="H147" s="412"/>
      <c r="I147" s="412"/>
      <c r="J147" s="873" t="s">
        <v>729</v>
      </c>
      <c r="K147" s="874"/>
      <c r="L147" s="400"/>
    </row>
    <row r="148" spans="1:12" ht="14.25">
      <c r="A148" s="400"/>
      <c r="B148" s="420"/>
      <c r="C148" s="875">
        <v>52.869</v>
      </c>
      <c r="D148" s="875"/>
      <c r="E148" s="412" t="s">
        <v>259</v>
      </c>
      <c r="F148" s="477">
        <v>133685008</v>
      </c>
      <c r="G148" s="478" t="s">
        <v>673</v>
      </c>
      <c r="H148" s="412">
        <v>1000</v>
      </c>
      <c r="I148" s="412" t="s">
        <v>672</v>
      </c>
      <c r="J148" s="872">
        <f>C148*(F148/1000)</f>
        <v>7067792.687952</v>
      </c>
      <c r="K148" s="876"/>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943</v>
      </c>
    </row>
    <row r="2" ht="15.75">
      <c r="A2" s="752" t="s">
        <v>914</v>
      </c>
    </row>
    <row r="3" ht="15.75">
      <c r="A3" s="752" t="s">
        <v>915</v>
      </c>
    </row>
    <row r="4" ht="15.75">
      <c r="A4" s="752" t="s">
        <v>916</v>
      </c>
    </row>
    <row r="5" ht="15.75">
      <c r="A5" s="752" t="s">
        <v>917</v>
      </c>
    </row>
    <row r="6" ht="15.75">
      <c r="A6" s="752" t="s">
        <v>918</v>
      </c>
    </row>
    <row r="7" ht="15.75">
      <c r="A7" s="752" t="s">
        <v>919</v>
      </c>
    </row>
    <row r="8" ht="15.75">
      <c r="A8" s="752" t="s">
        <v>920</v>
      </c>
    </row>
    <row r="9" ht="15.75">
      <c r="A9" s="752" t="s">
        <v>921</v>
      </c>
    </row>
    <row r="10" ht="15.75">
      <c r="A10" s="752" t="s">
        <v>922</v>
      </c>
    </row>
    <row r="11" ht="15.75">
      <c r="A11" s="752" t="s">
        <v>923</v>
      </c>
    </row>
    <row r="12" ht="15.75">
      <c r="A12" s="752" t="s">
        <v>924</v>
      </c>
    </row>
    <row r="13" ht="15.75">
      <c r="A13" s="752" t="s">
        <v>925</v>
      </c>
    </row>
    <row r="14" ht="15.75">
      <c r="A14" s="752" t="s">
        <v>926</v>
      </c>
    </row>
    <row r="15" ht="15.75">
      <c r="A15" s="752" t="s">
        <v>927</v>
      </c>
    </row>
    <row r="16" ht="15.75">
      <c r="A16" s="752" t="s">
        <v>928</v>
      </c>
    </row>
    <row r="17" ht="15.75">
      <c r="A17" s="752" t="s">
        <v>929</v>
      </c>
    </row>
    <row r="18" ht="15.75">
      <c r="A18" s="752" t="s">
        <v>930</v>
      </c>
    </row>
    <row r="19" ht="15.75">
      <c r="A19" s="752" t="s">
        <v>931</v>
      </c>
    </row>
    <row r="20" ht="15.75">
      <c r="A20" s="752" t="s">
        <v>932</v>
      </c>
    </row>
    <row r="21" ht="15.75">
      <c r="A21" s="752" t="s">
        <v>933</v>
      </c>
    </row>
    <row r="22" ht="15.75">
      <c r="A22" s="752" t="s">
        <v>934</v>
      </c>
    </row>
    <row r="23" ht="15.75">
      <c r="A23" s="752" t="s">
        <v>935</v>
      </c>
    </row>
    <row r="24" ht="15.75">
      <c r="A24" s="752" t="s">
        <v>936</v>
      </c>
    </row>
    <row r="25" ht="15.75">
      <c r="A25" s="752" t="s">
        <v>937</v>
      </c>
    </row>
    <row r="26" ht="15.75">
      <c r="A26" s="752" t="s">
        <v>938</v>
      </c>
    </row>
    <row r="27" ht="15.75">
      <c r="A27" s="752" t="s">
        <v>939</v>
      </c>
    </row>
    <row r="28" ht="15.75">
      <c r="A28" s="752" t="s">
        <v>940</v>
      </c>
    </row>
    <row r="29" ht="15.75">
      <c r="A29" s="752" t="s">
        <v>941</v>
      </c>
    </row>
    <row r="30" ht="15.75">
      <c r="A30" s="752" t="s">
        <v>942</v>
      </c>
    </row>
    <row r="33" ht="15.75">
      <c r="A33" s="570" t="s">
        <v>781</v>
      </c>
    </row>
    <row r="34" ht="15.75">
      <c r="A34" s="113" t="s">
        <v>782</v>
      </c>
    </row>
    <row r="35" ht="15.75">
      <c r="A35" s="113" t="s">
        <v>783</v>
      </c>
    </row>
    <row r="37" ht="15.75">
      <c r="A37" s="570" t="s">
        <v>778</v>
      </c>
    </row>
    <row r="38" ht="15.75">
      <c r="A38" s="551" t="s">
        <v>779</v>
      </c>
    </row>
    <row r="40" ht="15.75">
      <c r="A40" s="389" t="s">
        <v>751</v>
      </c>
    </row>
    <row r="41" ht="15.75">
      <c r="A41" s="551" t="s">
        <v>752</v>
      </c>
    </row>
    <row r="42" ht="15.75">
      <c r="A42" s="551" t="s">
        <v>753</v>
      </c>
    </row>
    <row r="43" ht="31.5">
      <c r="A43" s="550" t="s">
        <v>754</v>
      </c>
    </row>
    <row r="44" ht="15.75">
      <c r="A44" s="551" t="s">
        <v>755</v>
      </c>
    </row>
    <row r="45" ht="15.75">
      <c r="A45" s="551" t="s">
        <v>756</v>
      </c>
    </row>
    <row r="46" ht="15.75">
      <c r="A46" s="551" t="s">
        <v>757</v>
      </c>
    </row>
    <row r="47" ht="15.75">
      <c r="A47" s="551" t="s">
        <v>758</v>
      </c>
    </row>
    <row r="48" ht="15.75">
      <c r="A48" s="551" t="s">
        <v>759</v>
      </c>
    </row>
    <row r="49" ht="15.75">
      <c r="A49" s="551" t="s">
        <v>760</v>
      </c>
    </row>
    <row r="50" ht="15.75">
      <c r="A50" s="551" t="s">
        <v>761</v>
      </c>
    </row>
    <row r="51" ht="15.75">
      <c r="A51" s="551" t="s">
        <v>762</v>
      </c>
    </row>
    <row r="52" ht="15.75">
      <c r="A52" s="551" t="s">
        <v>763</v>
      </c>
    </row>
    <row r="53" ht="15.75">
      <c r="A53" s="551" t="s">
        <v>764</v>
      </c>
    </row>
    <row r="54" ht="15.75">
      <c r="A54" s="551" t="s">
        <v>765</v>
      </c>
    </row>
    <row r="55" ht="15.75">
      <c r="A55" s="551" t="s">
        <v>766</v>
      </c>
    </row>
    <row r="56" ht="15.75">
      <c r="A56" s="551" t="s">
        <v>767</v>
      </c>
    </row>
    <row r="57" ht="15.75">
      <c r="A57" s="551" t="s">
        <v>768</v>
      </c>
    </row>
    <row r="58" ht="15.75">
      <c r="A58" s="551" t="s">
        <v>769</v>
      </c>
    </row>
    <row r="59" ht="15.75">
      <c r="A59" s="551" t="s">
        <v>770</v>
      </c>
    </row>
    <row r="60" ht="15.75">
      <c r="A60" s="551" t="s">
        <v>771</v>
      </c>
    </row>
    <row r="61" ht="15.75">
      <c r="A61" s="551" t="s">
        <v>772</v>
      </c>
    </row>
    <row r="62" ht="15.75">
      <c r="A62" s="551" t="s">
        <v>773</v>
      </c>
    </row>
    <row r="63" ht="15.75">
      <c r="A63" s="113" t="s">
        <v>777</v>
      </c>
    </row>
    <row r="65" ht="15.75">
      <c r="A65" s="389" t="s">
        <v>638</v>
      </c>
    </row>
    <row r="66" ht="36" customHeight="1">
      <c r="A66" s="216" t="s">
        <v>639</v>
      </c>
    </row>
    <row r="68" ht="15.75">
      <c r="A68" s="389" t="s">
        <v>634</v>
      </c>
    </row>
    <row r="69" ht="15.75">
      <c r="A69" s="113" t="s">
        <v>635</v>
      </c>
    </row>
    <row r="70" ht="15.75">
      <c r="A70" s="113" t="s">
        <v>636</v>
      </c>
    </row>
    <row r="71" ht="15.75">
      <c r="A71" s="113" t="s">
        <v>637</v>
      </c>
    </row>
    <row r="73" ht="15.75">
      <c r="A73" s="389" t="s">
        <v>623</v>
      </c>
    </row>
    <row r="74" ht="15.75">
      <c r="A74" s="113" t="s">
        <v>633</v>
      </c>
    </row>
    <row r="76" ht="15.75">
      <c r="A76" s="388" t="s">
        <v>386</v>
      </c>
    </row>
    <row r="77" ht="15.75">
      <c r="A77" s="113" t="s">
        <v>387</v>
      </c>
    </row>
    <row r="78" ht="15.75">
      <c r="A78" s="113" t="s">
        <v>388</v>
      </c>
    </row>
    <row r="79" ht="15.75">
      <c r="A79" s="113" t="s">
        <v>409</v>
      </c>
    </row>
    <row r="80" ht="15.75">
      <c r="A80" s="113" t="s">
        <v>410</v>
      </c>
    </row>
    <row r="81" ht="15.75">
      <c r="A81" s="113" t="s">
        <v>411</v>
      </c>
    </row>
    <row r="82" ht="15.75">
      <c r="A82" s="113" t="s">
        <v>621</v>
      </c>
    </row>
    <row r="84" ht="15.75">
      <c r="A84" s="388" t="s">
        <v>326</v>
      </c>
    </row>
    <row r="85" ht="15.75">
      <c r="A85" s="113" t="s">
        <v>327</v>
      </c>
    </row>
    <row r="86" ht="15.75">
      <c r="A86" s="113" t="s">
        <v>328</v>
      </c>
    </row>
    <row r="87" ht="15.75">
      <c r="A87" s="113" t="s">
        <v>329</v>
      </c>
    </row>
    <row r="88" ht="15.75">
      <c r="A88" s="113" t="s">
        <v>330</v>
      </c>
    </row>
    <row r="89" ht="15.75">
      <c r="A89" s="113" t="s">
        <v>331</v>
      </c>
    </row>
    <row r="90" ht="15.75">
      <c r="A90" s="113" t="s">
        <v>332</v>
      </c>
    </row>
    <row r="91" ht="15.75">
      <c r="A91" s="113" t="s">
        <v>333</v>
      </c>
    </row>
    <row r="92" ht="15.75">
      <c r="A92" s="113" t="s">
        <v>335</v>
      </c>
    </row>
    <row r="93" ht="15.75">
      <c r="A93" s="113" t="s">
        <v>336</v>
      </c>
    </row>
    <row r="94" ht="15.75">
      <c r="A94" s="113" t="s">
        <v>352</v>
      </c>
    </row>
    <row r="95" ht="15.75">
      <c r="A95" s="113" t="s">
        <v>353</v>
      </c>
    </row>
    <row r="96" ht="15.75">
      <c r="A96" s="113" t="s">
        <v>354</v>
      </c>
    </row>
    <row r="97" ht="15.75">
      <c r="A97" s="113" t="s">
        <v>355</v>
      </c>
    </row>
    <row r="98" ht="15.75">
      <c r="A98" s="113" t="s">
        <v>369</v>
      </c>
    </row>
    <row r="99" ht="15.75">
      <c r="A99" s="113" t="s">
        <v>370</v>
      </c>
    </row>
    <row r="100" ht="15.75">
      <c r="A100" s="113" t="s">
        <v>382</v>
      </c>
    </row>
    <row r="101" ht="15.75">
      <c r="A101" s="366" t="s">
        <v>383</v>
      </c>
    </row>
    <row r="103" ht="15.75">
      <c r="A103" s="388" t="s">
        <v>321</v>
      </c>
    </row>
    <row r="104" ht="15.75">
      <c r="A104" s="113" t="s">
        <v>322</v>
      </c>
    </row>
    <row r="106" ht="15.75">
      <c r="A106" s="388" t="s">
        <v>319</v>
      </c>
    </row>
    <row r="107" ht="15.75">
      <c r="A107" s="113" t="s">
        <v>320</v>
      </c>
    </row>
    <row r="109" ht="15.75">
      <c r="A109" s="388" t="s">
        <v>315</v>
      </c>
    </row>
    <row r="110" ht="15.75">
      <c r="A110" s="113" t="s">
        <v>316</v>
      </c>
    </row>
    <row r="111" ht="15.75">
      <c r="A111" s="113" t="s">
        <v>317</v>
      </c>
    </row>
    <row r="112" ht="15.75">
      <c r="A112" s="113" t="s">
        <v>318</v>
      </c>
    </row>
    <row r="114" ht="15.75">
      <c r="A114" s="388" t="s">
        <v>311</v>
      </c>
    </row>
    <row r="115" ht="15.75">
      <c r="A115" s="113" t="s">
        <v>312</v>
      </c>
    </row>
    <row r="116" ht="15.75">
      <c r="A116" s="113" t="s">
        <v>313</v>
      </c>
    </row>
    <row r="118" ht="15.75">
      <c r="A118" s="388" t="s">
        <v>226</v>
      </c>
    </row>
    <row r="119" ht="15.75">
      <c r="A119" s="113" t="s">
        <v>198</v>
      </c>
    </row>
    <row r="120" ht="31.5">
      <c r="A120" s="216" t="s">
        <v>199</v>
      </c>
    </row>
    <row r="121" ht="15.75">
      <c r="A121" s="113" t="s">
        <v>212</v>
      </c>
    </row>
    <row r="122" ht="15.75">
      <c r="A122" s="113" t="s">
        <v>213</v>
      </c>
    </row>
    <row r="123" ht="15.75">
      <c r="A123" s="113" t="s">
        <v>214</v>
      </c>
    </row>
    <row r="124" ht="15.75">
      <c r="A124" s="113" t="s">
        <v>215</v>
      </c>
    </row>
    <row r="125" ht="31.5">
      <c r="A125" s="216" t="s">
        <v>207</v>
      </c>
    </row>
    <row r="126" ht="31.5">
      <c r="A126" s="216" t="s">
        <v>216</v>
      </c>
    </row>
    <row r="127" ht="31.5">
      <c r="A127" s="216" t="s">
        <v>217</v>
      </c>
    </row>
    <row r="128" ht="15.75">
      <c r="A128" s="216" t="s">
        <v>218</v>
      </c>
    </row>
    <row r="129" ht="31.5">
      <c r="A129" s="216" t="s">
        <v>219</v>
      </c>
    </row>
    <row r="130" ht="15.75">
      <c r="A130" s="113" t="s">
        <v>220</v>
      </c>
    </row>
    <row r="131" ht="15.75">
      <c r="A131" s="113" t="s">
        <v>221</v>
      </c>
    </row>
    <row r="132" ht="15.75">
      <c r="A132" s="113" t="s">
        <v>222</v>
      </c>
    </row>
    <row r="133" ht="15.75">
      <c r="A133" s="113" t="s">
        <v>223</v>
      </c>
    </row>
    <row r="134" ht="31.5">
      <c r="A134" s="216" t="s">
        <v>224</v>
      </c>
    </row>
    <row r="135" ht="15.75">
      <c r="A135" s="216" t="s">
        <v>200</v>
      </c>
    </row>
    <row r="136" ht="31.5">
      <c r="A136" s="216" t="s">
        <v>208</v>
      </c>
    </row>
    <row r="137" ht="15.75">
      <c r="A137" s="216" t="s">
        <v>201</v>
      </c>
    </row>
    <row r="138" ht="15.75">
      <c r="A138" s="216" t="s">
        <v>202</v>
      </c>
    </row>
    <row r="139" ht="15.75">
      <c r="A139" s="216" t="s">
        <v>203</v>
      </c>
    </row>
    <row r="140" ht="31.5">
      <c r="A140" s="216" t="s">
        <v>204</v>
      </c>
    </row>
    <row r="141" ht="31.5">
      <c r="A141" s="216" t="s">
        <v>209</v>
      </c>
    </row>
    <row r="142" ht="31.5">
      <c r="A142" s="216" t="s">
        <v>205</v>
      </c>
    </row>
    <row r="143" ht="31.5">
      <c r="A143" s="216" t="s">
        <v>210</v>
      </c>
    </row>
    <row r="144" ht="15.75">
      <c r="A144" s="216" t="s">
        <v>211</v>
      </c>
    </row>
    <row r="145" ht="15.75">
      <c r="A145" s="216"/>
    </row>
    <row r="146" ht="15.75">
      <c r="A146" s="388" t="s">
        <v>138</v>
      </c>
    </row>
    <row r="147" ht="47.25">
      <c r="A147" s="216" t="s">
        <v>169</v>
      </c>
    </row>
    <row r="148" ht="15.75">
      <c r="A148" s="113" t="s">
        <v>139</v>
      </c>
    </row>
    <row r="149" ht="15.75">
      <c r="A149" s="113" t="s">
        <v>143</v>
      </c>
    </row>
    <row r="150" ht="15.75">
      <c r="A150" s="113" t="s">
        <v>144</v>
      </c>
    </row>
    <row r="151" ht="15.75">
      <c r="A151" s="113" t="s">
        <v>140</v>
      </c>
    </row>
    <row r="152" ht="15.75">
      <c r="A152" s="113" t="s">
        <v>141</v>
      </c>
    </row>
    <row r="153" ht="15.75">
      <c r="A153" s="113" t="s">
        <v>142</v>
      </c>
    </row>
    <row r="154" ht="15.75">
      <c r="A154" s="216" t="s">
        <v>237</v>
      </c>
    </row>
    <row r="155" ht="15.75">
      <c r="A155" s="113" t="s">
        <v>145</v>
      </c>
    </row>
    <row r="156" ht="15.75">
      <c r="A156" s="113" t="s">
        <v>146</v>
      </c>
    </row>
    <row r="157" ht="15.75">
      <c r="A157" s="113" t="s">
        <v>170</v>
      </c>
    </row>
    <row r="158" ht="15.75">
      <c r="A158" s="113" t="s">
        <v>160</v>
      </c>
    </row>
    <row r="159" ht="15.75">
      <c r="A159" s="113" t="s">
        <v>171</v>
      </c>
    </row>
    <row r="160" ht="15.75">
      <c r="A160" s="113" t="s">
        <v>147</v>
      </c>
    </row>
    <row r="161" ht="15.75">
      <c r="A161" s="113" t="s">
        <v>238</v>
      </c>
    </row>
    <row r="162" ht="15.75">
      <c r="A162" s="113" t="s">
        <v>148</v>
      </c>
    </row>
    <row r="163" ht="15.75">
      <c r="A163" s="113" t="s">
        <v>161</v>
      </c>
    </row>
    <row r="164" ht="31.5">
      <c r="A164" s="216" t="s">
        <v>162</v>
      </c>
    </row>
    <row r="165" ht="15.75">
      <c r="A165" s="113" t="s">
        <v>163</v>
      </c>
    </row>
    <row r="166" ht="15.75">
      <c r="A166" s="113" t="s">
        <v>172</v>
      </c>
    </row>
    <row r="167" ht="15.75">
      <c r="A167" s="113" t="s">
        <v>206</v>
      </c>
    </row>
    <row r="168" ht="15.75">
      <c r="A168" s="113" t="s">
        <v>236</v>
      </c>
    </row>
    <row r="169" ht="15.75">
      <c r="A169" s="113" t="s">
        <v>174</v>
      </c>
    </row>
    <row r="170" ht="15.75">
      <c r="A170" s="113" t="s">
        <v>235</v>
      </c>
    </row>
    <row r="171" ht="15.75">
      <c r="A171" s="113" t="s">
        <v>175</v>
      </c>
    </row>
    <row r="172" ht="15.75">
      <c r="A172" s="113" t="s">
        <v>180</v>
      </c>
    </row>
    <row r="173" ht="15.75">
      <c r="A173" s="113" t="s">
        <v>181</v>
      </c>
    </row>
    <row r="174" ht="15.75">
      <c r="A174" s="113" t="s">
        <v>189</v>
      </c>
    </row>
    <row r="175" ht="15.75">
      <c r="A175"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9" customWidth="1"/>
    <col min="2" max="2" width="16" style="369" bestFit="1" customWidth="1"/>
    <col min="3" max="16384" width="8.796875" style="369" customWidth="1"/>
  </cols>
  <sheetData>
    <row r="1" ht="16.5">
      <c r="J1" s="579" t="s">
        <v>795</v>
      </c>
    </row>
    <row r="2" spans="1:10" ht="31.5" customHeight="1">
      <c r="A2" s="774" t="s">
        <v>394</v>
      </c>
      <c r="B2" s="775"/>
      <c r="C2" s="775"/>
      <c r="D2" s="775"/>
      <c r="E2" s="775"/>
      <c r="F2" s="775"/>
      <c r="J2" s="579" t="s">
        <v>796</v>
      </c>
    </row>
    <row r="3" ht="16.5">
      <c r="J3" s="579" t="s">
        <v>797</v>
      </c>
    </row>
    <row r="4" spans="1:10" ht="16.5">
      <c r="A4" s="1" t="s">
        <v>807</v>
      </c>
      <c r="B4" s="580"/>
      <c r="J4" s="579" t="s">
        <v>798</v>
      </c>
    </row>
    <row r="5" spans="1:10" ht="16.5">
      <c r="A5" s="1"/>
      <c r="B5" s="581"/>
      <c r="J5" s="579" t="s">
        <v>799</v>
      </c>
    </row>
    <row r="6" spans="1:10" ht="16.5">
      <c r="A6" s="1" t="s">
        <v>808</v>
      </c>
      <c r="B6" s="580"/>
      <c r="J6" s="579" t="s">
        <v>800</v>
      </c>
    </row>
    <row r="7" spans="4:10" ht="16.5">
      <c r="D7" s="370"/>
      <c r="J7" s="579" t="s">
        <v>801</v>
      </c>
    </row>
    <row r="8" spans="1:10" ht="16.5">
      <c r="A8" s="215" t="s">
        <v>389</v>
      </c>
      <c r="B8" s="371" t="s">
        <v>954</v>
      </c>
      <c r="C8" s="372"/>
      <c r="D8" s="215" t="s">
        <v>794</v>
      </c>
      <c r="J8" s="579" t="s">
        <v>802</v>
      </c>
    </row>
    <row r="9" spans="1:10" ht="16.5">
      <c r="A9" s="215"/>
      <c r="B9" s="373"/>
      <c r="C9" s="374"/>
      <c r="D9" s="582" t="str">
        <f>IF(B8="","",CONCATENATE("Latest date for notice to be published in your newspaper: ",G19," ",G23,", ",G24))</f>
        <v>Latest date for notice to be published in your newspaper: July 24, 2012</v>
      </c>
      <c r="J9" s="579" t="s">
        <v>803</v>
      </c>
    </row>
    <row r="10" spans="1:10" ht="16.5">
      <c r="A10" s="215" t="s">
        <v>390</v>
      </c>
      <c r="B10" s="371" t="s">
        <v>955</v>
      </c>
      <c r="C10" s="375"/>
      <c r="D10" s="215"/>
      <c r="J10" s="579" t="s">
        <v>804</v>
      </c>
    </row>
    <row r="11" spans="1:10" ht="16.5">
      <c r="A11" s="215"/>
      <c r="B11" s="215"/>
      <c r="C11" s="215"/>
      <c r="D11" s="215"/>
      <c r="J11" s="579" t="s">
        <v>805</v>
      </c>
    </row>
    <row r="12" spans="1:10" ht="16.5">
      <c r="A12" s="215" t="s">
        <v>391</v>
      </c>
      <c r="B12" s="376" t="s">
        <v>956</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957</v>
      </c>
      <c r="C15" s="376"/>
      <c r="D15" s="376"/>
      <c r="E15" s="377"/>
    </row>
    <row r="18" spans="1:5" ht="15.75">
      <c r="A18" s="776" t="s">
        <v>395</v>
      </c>
      <c r="B18" s="776"/>
      <c r="C18" s="215"/>
      <c r="D18" s="215"/>
      <c r="E18" s="215"/>
    </row>
    <row r="19" spans="1:7" ht="16.5">
      <c r="A19" s="215"/>
      <c r="B19" s="215"/>
      <c r="C19" s="215"/>
      <c r="D19" s="215"/>
      <c r="E19" s="215"/>
      <c r="G19" s="579" t="str">
        <f ca="1">IF(B8="","",INDIRECT(G20))</f>
        <v>July</v>
      </c>
    </row>
    <row r="20" spans="1:7" ht="15.75">
      <c r="A20" s="215" t="s">
        <v>389</v>
      </c>
      <c r="B20" s="373" t="s">
        <v>393</v>
      </c>
      <c r="C20" s="215"/>
      <c r="D20" s="215"/>
      <c r="E20" s="215"/>
      <c r="G20" s="583" t="str">
        <f>IF(B8="","",CONCATENATE("J",G22))</f>
        <v>J7</v>
      </c>
    </row>
    <row r="21" spans="1:7" ht="15.75">
      <c r="A21" s="215"/>
      <c r="B21" s="215"/>
      <c r="C21" s="215"/>
      <c r="D21" s="215"/>
      <c r="E21" s="215"/>
      <c r="G21" s="584">
        <f>B8-10</f>
        <v>41114</v>
      </c>
    </row>
    <row r="22" spans="1:7" ht="15.75">
      <c r="A22" s="215" t="s">
        <v>390</v>
      </c>
      <c r="B22" s="215" t="s">
        <v>396</v>
      </c>
      <c r="C22" s="215"/>
      <c r="D22" s="215"/>
      <c r="E22" s="215"/>
      <c r="G22" s="585">
        <f>IF(B8="","",MONTH(G21))</f>
        <v>7</v>
      </c>
    </row>
    <row r="23" spans="1:7" ht="15.75">
      <c r="A23" s="215"/>
      <c r="B23" s="215"/>
      <c r="C23" s="215"/>
      <c r="D23" s="215"/>
      <c r="E23" s="215"/>
      <c r="G23" s="586">
        <f>IF(B8="","",DAY(G21))</f>
        <v>24</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8" t="s">
        <v>22</v>
      </c>
      <c r="B1" s="788"/>
      <c r="C1" s="788"/>
      <c r="D1" s="788"/>
      <c r="E1" s="788"/>
      <c r="F1" s="788"/>
      <c r="G1" s="65">
        <f>inputPrYr!D9</f>
        <v>2013</v>
      </c>
    </row>
    <row r="2" spans="2:6" s="65" customFormat="1" ht="15.75">
      <c r="B2" s="66"/>
      <c r="C2" s="66"/>
      <c r="D2" s="66"/>
      <c r="E2" s="66"/>
      <c r="F2" s="67"/>
    </row>
    <row r="3" spans="1:6" s="65" customFormat="1" ht="15.75">
      <c r="A3" s="797" t="str">
        <f>CONCATENATE("To the Clerk of ",inputPrYr!D4,", State of Kansas")</f>
        <v>To the Clerk of Rice, State of Kansas</v>
      </c>
      <c r="B3" s="784"/>
      <c r="C3" s="784"/>
      <c r="D3" s="784"/>
      <c r="E3" s="784"/>
      <c r="F3" s="784"/>
    </row>
    <row r="4" spans="1:6" s="65" customFormat="1" ht="15.75">
      <c r="A4" s="797" t="s">
        <v>104</v>
      </c>
      <c r="B4" s="799"/>
      <c r="C4" s="799"/>
      <c r="D4" s="799"/>
      <c r="E4" s="799"/>
      <c r="F4" s="799"/>
    </row>
    <row r="5" spans="1:6" s="65" customFormat="1" ht="15.75">
      <c r="A5" s="800" t="str">
        <f>inputPrYr!D3</f>
        <v>Valley Township</v>
      </c>
      <c r="B5" s="799"/>
      <c r="C5" s="799"/>
      <c r="D5" s="799"/>
      <c r="E5" s="799"/>
      <c r="F5" s="799"/>
    </row>
    <row r="6" spans="1:6" s="65" customFormat="1" ht="15.75">
      <c r="A6" s="795" t="s">
        <v>102</v>
      </c>
      <c r="B6" s="796"/>
      <c r="C6" s="796"/>
      <c r="D6" s="796"/>
      <c r="E6" s="796"/>
      <c r="F6" s="796"/>
    </row>
    <row r="7" spans="1:6" s="65" customFormat="1" ht="15.75" customHeight="1">
      <c r="A7" s="797" t="s">
        <v>103</v>
      </c>
      <c r="B7" s="798"/>
      <c r="C7" s="798"/>
      <c r="D7" s="798"/>
      <c r="E7" s="798"/>
      <c r="F7" s="798"/>
    </row>
    <row r="8" spans="1:6" s="65" customFormat="1" ht="15.75" customHeight="1">
      <c r="A8" s="797" t="str">
        <f>CONCATENATE("maximum expenditures for the various funds for the year ",G1,"; and (3) the")</f>
        <v>maximum expenditures for the various funds for the year 2013; and (3) the</v>
      </c>
      <c r="B8" s="799"/>
      <c r="C8" s="799"/>
      <c r="D8" s="799"/>
      <c r="E8" s="799"/>
      <c r="F8" s="799"/>
    </row>
    <row r="9" spans="1:6" s="65" customFormat="1" ht="15.75" customHeight="1">
      <c r="A9" s="797" t="str">
        <f>CONCATENATE("Amount(s) of ",G1-1," Ad Valorem Tax are within statutory limitations for the ",G1," Budget.")</f>
        <v>Amount(s) of 2012 Ad Valorem Tax are within statutory limitations for the 2013 Budget.</v>
      </c>
      <c r="B9" s="799"/>
      <c r="C9" s="799"/>
      <c r="D9" s="799"/>
      <c r="E9" s="799"/>
      <c r="F9" s="799"/>
    </row>
    <row r="10" spans="4:6" s="65" customFormat="1" ht="15.75" customHeight="1">
      <c r="D10" s="70"/>
      <c r="E10" s="70"/>
      <c r="F10" s="70"/>
    </row>
    <row r="11" spans="3:6" s="65" customFormat="1" ht="15.75">
      <c r="C11" s="71"/>
      <c r="D11" s="792" t="str">
        <f>CONCATENATE("",G1," Adopted Budget")</f>
        <v>2013 Adopted Budget</v>
      </c>
      <c r="E11" s="793"/>
      <c r="F11" s="794"/>
    </row>
    <row r="12" spans="1:6" s="65" customFormat="1" ht="15.75">
      <c r="A12" s="72"/>
      <c r="C12" s="70"/>
      <c r="D12" s="73" t="s">
        <v>247</v>
      </c>
      <c r="E12" s="789" t="str">
        <f>CONCATENATE("Amount of ",G1-1," Ad Valorem Tax")</f>
        <v>Amount of 2012 Ad Valorem Tax</v>
      </c>
      <c r="F12" s="74" t="s">
        <v>248</v>
      </c>
    </row>
    <row r="13" spans="3:6" s="65" customFormat="1" ht="15.75">
      <c r="C13" s="74" t="s">
        <v>249</v>
      </c>
      <c r="D13" s="501" t="s">
        <v>177</v>
      </c>
      <c r="E13" s="790"/>
      <c r="F13" s="76" t="s">
        <v>250</v>
      </c>
    </row>
    <row r="14" spans="1:6" s="65" customFormat="1" ht="15.75">
      <c r="A14" s="77" t="s">
        <v>251</v>
      </c>
      <c r="B14" s="78"/>
      <c r="C14" s="79" t="s">
        <v>252</v>
      </c>
      <c r="D14" s="502" t="s">
        <v>730</v>
      </c>
      <c r="E14" s="791"/>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t="str">
        <f>IF(gen!C61&gt;0,gen!C61,"  ")</f>
        <v>  </v>
      </c>
      <c r="D21" s="588">
        <f>IF(gen!$E$50&lt;&gt;0,gen!$E$50,"  ")</f>
        <v>15150</v>
      </c>
      <c r="E21" s="588">
        <f>IF(gen!$E$57&lt;&gt;0,gen!$E$57,0)</f>
        <v>8624</v>
      </c>
      <c r="F21" s="589" t="str">
        <f>IF(AND(gen!E57=0,$B$47&gt;=0)," ",IF(AND(E21&gt;0,$B$47=0)," ",IF(AND(E21&gt;0,$B$47&gt;0),ROUND(E21/$B$47*1000,3))))</f>
        <v> </v>
      </c>
    </row>
    <row r="22" spans="1:6" s="65" customFormat="1" ht="15.7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f>IF(road!$E$43&lt;&gt;0,road!$E$43,"  ")</f>
        <v>85740</v>
      </c>
      <c r="E24" s="588">
        <f>IF(road!$E$50&lt;&gt;0,road!$E$50,"  ")</f>
        <v>43390</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100890</v>
      </c>
      <c r="E39" s="591">
        <f>SUM(E21:E38)</f>
        <v>52014</v>
      </c>
      <c r="F39" s="592">
        <f>IF(SUM(F21:F38)&gt;0,SUM(F21:F38),"")</f>
      </c>
    </row>
    <row r="40" spans="1:3" s="65" customFormat="1" ht="16.5" thickTop="1">
      <c r="A40" s="85" t="s">
        <v>118</v>
      </c>
      <c r="B40" s="81"/>
      <c r="C40" s="96">
        <f>summ!C54</f>
        <v>0</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77" t="s">
        <v>76</v>
      </c>
      <c r="C43" s="778"/>
      <c r="D43" s="106"/>
      <c r="F43" s="72" t="s">
        <v>260</v>
      </c>
    </row>
    <row r="44" spans="1:6" s="65" customFormat="1" ht="15.75">
      <c r="A44" s="80" t="str">
        <f>inputPrYr!D3</f>
        <v>Valley Township</v>
      </c>
      <c r="B44" s="779"/>
      <c r="C44" s="780"/>
      <c r="D44" s="107"/>
      <c r="F44" s="72"/>
    </row>
    <row r="45" spans="1:6" s="65" customFormat="1" ht="15.75">
      <c r="A45" s="80" t="str">
        <f>inputPrYr!D6</f>
        <v>Alden</v>
      </c>
      <c r="B45" s="779"/>
      <c r="C45" s="787"/>
      <c r="D45" s="107"/>
      <c r="F45" s="72"/>
    </row>
    <row r="46" spans="1:6" s="65" customFormat="1" ht="15.75">
      <c r="A46" s="80">
        <f>inputPrYr!D7</f>
        <v>0</v>
      </c>
      <c r="B46" s="779"/>
      <c r="C46" s="787"/>
      <c r="D46" s="107"/>
      <c r="F46" s="72"/>
    </row>
    <row r="47" spans="1:6" s="65" customFormat="1" ht="15.75">
      <c r="A47" s="80" t="s">
        <v>184</v>
      </c>
      <c r="B47" s="785">
        <f>SUM(B44:C46)</f>
        <v>0</v>
      </c>
      <c r="C47" s="786"/>
      <c r="D47" s="107"/>
      <c r="F47" s="72"/>
    </row>
    <row r="48" spans="1:6" s="65" customFormat="1" ht="15.75">
      <c r="A48" s="108"/>
      <c r="B48" s="781" t="str">
        <f>CONCATENATE("Nov. 1, ",G1-1," Valuation")</f>
        <v>Nov. 1, 2012 Valuation</v>
      </c>
      <c r="C48" s="782"/>
      <c r="D48" s="106"/>
      <c r="F48" s="72"/>
    </row>
    <row r="49" spans="1:6" s="65" customFormat="1" ht="15.75">
      <c r="A49" s="108" t="s">
        <v>261</v>
      </c>
      <c r="D49" s="71"/>
      <c r="F49" s="72"/>
    </row>
    <row r="50" spans="1:6" s="65" customFormat="1" ht="15.75">
      <c r="A50" s="110"/>
      <c r="D50" s="106"/>
      <c r="E50" s="71"/>
      <c r="F50" s="71"/>
    </row>
    <row r="51" spans="1:2" s="65" customFormat="1" ht="15.75">
      <c r="A51" s="111"/>
      <c r="B51" s="70"/>
    </row>
    <row r="52" spans="1:6" s="65" customFormat="1" ht="15.75">
      <c r="A52" s="108" t="s">
        <v>97</v>
      </c>
      <c r="D52" s="71" t="s">
        <v>810</v>
      </c>
      <c r="E52" s="71"/>
      <c r="F52" s="71"/>
    </row>
    <row r="53" spans="1:6" s="65" customFormat="1" ht="15.75">
      <c r="A53" s="110"/>
      <c r="C53" s="72"/>
      <c r="D53" s="71"/>
      <c r="E53" s="71"/>
      <c r="F53" s="71"/>
    </row>
    <row r="54" spans="1:6" s="65" customFormat="1" ht="15.75">
      <c r="A54" s="111"/>
      <c r="B54" s="72"/>
      <c r="D54" s="71" t="s">
        <v>810</v>
      </c>
      <c r="E54" s="70"/>
      <c r="F54" s="70"/>
    </row>
    <row r="55" spans="1:7" ht="15.75">
      <c r="A55" s="108" t="s">
        <v>809</v>
      </c>
      <c r="B55" s="70"/>
      <c r="C55" s="65"/>
      <c r="D55" s="71"/>
      <c r="E55" s="71"/>
      <c r="F55" s="71"/>
      <c r="G55" s="112"/>
    </row>
    <row r="56" spans="1:7" ht="15.75">
      <c r="A56" s="110"/>
      <c r="B56" s="70"/>
      <c r="C56" s="65"/>
      <c r="D56" s="71" t="s">
        <v>810</v>
      </c>
      <c r="E56" s="70"/>
      <c r="F56" s="70"/>
      <c r="G56" s="112"/>
    </row>
    <row r="57" spans="1:7" ht="15.75">
      <c r="A57" s="70"/>
      <c r="B57" s="65"/>
      <c r="C57" s="65"/>
      <c r="D57" s="71"/>
      <c r="E57" s="71"/>
      <c r="F57" s="71"/>
      <c r="G57" s="112"/>
    </row>
    <row r="58" spans="1:7" ht="15.75">
      <c r="A58" s="487" t="s">
        <v>101</v>
      </c>
      <c r="B58" s="116">
        <f>G1-1</f>
        <v>2012</v>
      </c>
      <c r="C58" s="65"/>
      <c r="D58" s="71" t="s">
        <v>810</v>
      </c>
      <c r="E58" s="70"/>
      <c r="F58" s="70"/>
      <c r="G58" s="112"/>
    </row>
    <row r="59" spans="1:7" ht="15.75">
      <c r="A59" s="65"/>
      <c r="B59" s="65"/>
      <c r="C59" s="65"/>
      <c r="D59" s="71"/>
      <c r="E59" s="108"/>
      <c r="F59" s="71"/>
      <c r="G59" s="112"/>
    </row>
    <row r="60" spans="1:7" ht="15.75">
      <c r="A60" s="486"/>
      <c r="B60" s="65"/>
      <c r="C60" s="65"/>
      <c r="D60" s="71" t="s">
        <v>810</v>
      </c>
      <c r="E60" s="71"/>
      <c r="F60" s="71"/>
      <c r="G60" s="112"/>
    </row>
    <row r="61" spans="1:6" ht="15.75">
      <c r="A61" s="68" t="s">
        <v>263</v>
      </c>
      <c r="B61" s="65"/>
      <c r="C61" s="65"/>
      <c r="D61" s="783" t="s">
        <v>262</v>
      </c>
      <c r="E61" s="784"/>
      <c r="F61" s="78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Valley Township</v>
      </c>
      <c r="D1" s="65"/>
      <c r="E1" s="65"/>
      <c r="F1" s="65"/>
      <c r="G1" s="65"/>
      <c r="H1" s="65"/>
      <c r="I1" s="65"/>
      <c r="J1" s="65">
        <f>inputPrYr!D9</f>
        <v>2013</v>
      </c>
    </row>
    <row r="2" spans="1:10" ht="15.75">
      <c r="A2" s="65"/>
      <c r="B2" s="65"/>
      <c r="C2" s="65"/>
      <c r="D2" s="65"/>
      <c r="E2" s="65"/>
      <c r="F2" s="65"/>
      <c r="G2" s="65"/>
      <c r="H2" s="65"/>
      <c r="I2" s="65"/>
      <c r="J2" s="65"/>
    </row>
    <row r="3" spans="1:10" ht="15.75">
      <c r="A3" s="802" t="str">
        <f>CONCATENATE("Computation to Determine Limit for ",J1,"")</f>
        <v>Computation to Determine Limit for 2013</v>
      </c>
      <c r="B3" s="788"/>
      <c r="C3" s="788"/>
      <c r="D3" s="788"/>
      <c r="E3" s="788"/>
      <c r="F3" s="788"/>
      <c r="G3" s="788"/>
      <c r="H3" s="788"/>
      <c r="I3" s="788"/>
      <c r="J3" s="788"/>
    </row>
    <row r="4" spans="1:10" ht="15.75">
      <c r="A4" s="65"/>
      <c r="B4" s="65"/>
      <c r="C4" s="65"/>
      <c r="D4" s="65"/>
      <c r="E4" s="788"/>
      <c r="F4" s="788"/>
      <c r="G4" s="788"/>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70018</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70018</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3761</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74941</v>
      </c>
      <c r="F14" s="265"/>
      <c r="G14" s="190"/>
      <c r="H14" s="190"/>
      <c r="I14" s="269"/>
      <c r="J14" s="190"/>
    </row>
    <row r="15" spans="1:10" ht="15.75">
      <c r="A15" s="264"/>
      <c r="B15" s="65" t="s">
        <v>40</v>
      </c>
      <c r="C15" s="65" t="str">
        <f>CONCATENATE("Personal Property ",J1-2,"")</f>
        <v>Personal Property 2011</v>
      </c>
      <c r="D15" s="264" t="s">
        <v>35</v>
      </c>
      <c r="E15" s="268">
        <f>inputOth!E31</f>
        <v>77627</v>
      </c>
      <c r="F15" s="265"/>
      <c r="G15" s="269"/>
      <c r="H15" s="269"/>
      <c r="I15" s="190"/>
      <c r="J15" s="190"/>
    </row>
    <row r="16" spans="1:10" ht="15.75">
      <c r="A16" s="264"/>
      <c r="B16" s="65" t="s">
        <v>41</v>
      </c>
      <c r="C16" s="65" t="s">
        <v>60</v>
      </c>
      <c r="D16" s="65"/>
      <c r="E16" s="190"/>
      <c r="F16" s="190" t="s">
        <v>279</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297</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4058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5249736</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5245678</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0.000773589229075822</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54</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70072</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70072</v>
      </c>
    </row>
    <row r="35" spans="1:10" ht="16.5" thickTop="1">
      <c r="A35" s="65"/>
      <c r="B35" s="65"/>
      <c r="C35" s="65"/>
      <c r="D35" s="65"/>
      <c r="E35" s="65"/>
      <c r="F35" s="65"/>
      <c r="G35" s="65"/>
      <c r="H35" s="65"/>
      <c r="I35" s="65"/>
      <c r="J35" s="65"/>
    </row>
    <row r="36" spans="1:10" s="274" customFormat="1" ht="18.75">
      <c r="A36" s="801" t="str">
        <f>CONCATENATE("If the ",J1," budget includes tax levies exceeding the total on line 14, you must")</f>
        <v>If the 2013 budget includes tax levies exceeding the total on line 14, you must</v>
      </c>
      <c r="B36" s="801"/>
      <c r="C36" s="801"/>
      <c r="D36" s="801"/>
      <c r="E36" s="801"/>
      <c r="F36" s="801"/>
      <c r="G36" s="801"/>
      <c r="H36" s="801"/>
      <c r="I36" s="801"/>
      <c r="J36" s="801"/>
    </row>
    <row r="37" spans="1:10" s="274" customFormat="1" ht="18.75">
      <c r="A37" s="801" t="s">
        <v>65</v>
      </c>
      <c r="B37" s="801"/>
      <c r="C37" s="801"/>
      <c r="D37" s="801"/>
      <c r="E37" s="801"/>
      <c r="F37" s="801"/>
      <c r="G37" s="801"/>
      <c r="H37" s="801"/>
      <c r="I37" s="801"/>
      <c r="J37" s="80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Valley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3" t="s">
        <v>787</v>
      </c>
      <c r="C6" s="784"/>
      <c r="D6" s="784"/>
      <c r="E6" s="784"/>
      <c r="F6" s="784"/>
      <c r="G6" s="784"/>
      <c r="H6" s="784"/>
      <c r="I6" s="784"/>
      <c r="J6" s="784"/>
      <c r="K6" s="784"/>
    </row>
    <row r="7" spans="1:11" ht="16.5">
      <c r="A7" s="65"/>
      <c r="B7" s="788"/>
      <c r="C7" s="804"/>
      <c r="D7" s="804"/>
      <c r="E7" s="804"/>
      <c r="F7" s="804"/>
      <c r="G7" s="804"/>
      <c r="H7" s="804"/>
      <c r="I7" s="804"/>
      <c r="J7" s="804"/>
      <c r="K7" s="804"/>
    </row>
    <row r="8" spans="1:11" ht="15.75">
      <c r="A8" s="65"/>
      <c r="B8" s="65"/>
      <c r="C8" s="228"/>
      <c r="D8" s="228"/>
      <c r="E8" s="228"/>
      <c r="F8" s="228"/>
      <c r="G8" s="229"/>
      <c r="H8" s="66"/>
      <c r="I8" s="66"/>
      <c r="J8" s="65"/>
      <c r="K8" s="65"/>
    </row>
    <row r="9" spans="1:11" ht="21" customHeight="1">
      <c r="A9" s="65"/>
      <c r="B9" s="250" t="s">
        <v>788</v>
      </c>
      <c r="C9" s="230"/>
      <c r="D9" s="573" t="s">
        <v>789</v>
      </c>
      <c r="E9" s="805" t="str">
        <f>CONCATENATE("Budget Tax Levy Rate for ",K1-1,"")</f>
        <v>Budget Tax Levy Rate for 2012</v>
      </c>
      <c r="F9" s="83"/>
      <c r="G9" s="807" t="str">
        <f>CONCATENATE("Allocation for Year ",K1,"")</f>
        <v>Allocation for Year 2013</v>
      </c>
      <c r="H9" s="808"/>
      <c r="I9" s="808"/>
      <c r="J9" s="809"/>
      <c r="K9" s="211"/>
    </row>
    <row r="10" spans="1:11" ht="15.75">
      <c r="A10" s="65"/>
      <c r="B10" s="572" t="str">
        <f>CONCATENATE("for ",K1-1,"")</f>
        <v>for 2012</v>
      </c>
      <c r="C10" s="232"/>
      <c r="D10" s="120" t="str">
        <f>CONCATENATE("Amount for ",K1,"")</f>
        <v>Amount for 2013</v>
      </c>
      <c r="E10" s="806"/>
      <c r="F10" s="79"/>
      <c r="G10" s="79" t="s">
        <v>30</v>
      </c>
      <c r="H10" s="79"/>
      <c r="I10" s="79" t="s">
        <v>31</v>
      </c>
      <c r="J10" s="83" t="s">
        <v>73</v>
      </c>
      <c r="K10" s="211"/>
    </row>
    <row r="11" spans="1:11" ht="15.75">
      <c r="A11" s="65"/>
      <c r="B11" s="90" t="str">
        <f>inputPrYr!B20</f>
        <v>General</v>
      </c>
      <c r="C11" s="233"/>
      <c r="D11" s="90">
        <f>IF(inputPrYr!E20&gt;0,inputPrYr!E20,"  ")</f>
        <v>11075</v>
      </c>
      <c r="E11" s="234">
        <f>IF(inputOth!D37&gt;0,inputOth!D37,"  ")</f>
        <v>1.733</v>
      </c>
      <c r="F11" s="235"/>
      <c r="G11" s="90">
        <f>IF(inputPrYr!E20=0,0,G25-SUM(G12:G22))</f>
        <v>316</v>
      </c>
      <c r="H11" s="236"/>
      <c r="I11" s="90">
        <f>IF(inputPrYr!E20=0,0,I27-SUM(I12:I22))</f>
        <v>5</v>
      </c>
      <c r="J11" s="90">
        <f>IF(inputPrYr!E20=0,0,J29-SUM(J12:J22))</f>
        <v>44</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58943</v>
      </c>
      <c r="E14" s="234">
        <f>IF(inputOth!D40&gt;0,inputOth!D40,"  ")</f>
        <v>10.248</v>
      </c>
      <c r="F14" s="235"/>
      <c r="G14" s="90">
        <f>IF(inputPrYr!E23=0,0,ROUND(D14*$G$31,0))</f>
        <v>1681</v>
      </c>
      <c r="H14" s="236"/>
      <c r="I14" s="90">
        <f>IF(inputPrYr!$E$23=0,0,ROUND($D$14*$I$33,0))</f>
        <v>28</v>
      </c>
      <c r="J14" s="90">
        <f>IF(inputPrYr!E23=0,0,ROUND($D14*$J$35,0))</f>
        <v>237</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70018</v>
      </c>
      <c r="E23" s="239">
        <f>SUM(E11:E22)</f>
        <v>11.981</v>
      </c>
      <c r="F23" s="240"/>
      <c r="G23" s="238">
        <f t="shared" si="0"/>
        <v>1997</v>
      </c>
      <c r="H23" s="238"/>
      <c r="I23" s="238">
        <f t="shared" si="0"/>
        <v>33</v>
      </c>
      <c r="J23" s="238">
        <f t="shared" si="0"/>
        <v>281</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1997</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33</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281</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0.028521237396098145</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0.00047130737810277356</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0.0040132537347539205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Valley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8" t="s">
        <v>119</v>
      </c>
      <c r="B5" s="788"/>
      <c r="C5" s="788"/>
      <c r="D5" s="788"/>
      <c r="E5" s="788"/>
      <c r="F5" s="788"/>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18685</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18685</v>
      </c>
      <c r="D27" s="262">
        <f>SUM(D10:D26)</f>
        <v>0</v>
      </c>
      <c r="E27" s="262">
        <f>SUM(E10:E26)</f>
        <v>0</v>
      </c>
      <c r="F27" s="192"/>
    </row>
    <row r="28" spans="1:6" ht="15.75">
      <c r="A28" s="192"/>
      <c r="B28" s="88" t="s">
        <v>628</v>
      </c>
      <c r="C28" s="65"/>
      <c r="D28" s="180"/>
      <c r="E28" s="180"/>
      <c r="F28" s="192"/>
    </row>
    <row r="29" spans="1:6" ht="15.75">
      <c r="A29" s="192"/>
      <c r="B29" s="88" t="s">
        <v>127</v>
      </c>
      <c r="C29" s="182">
        <f>C27</f>
        <v>18685</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2012-07-30T13:05:20Z</cp:lastPrinted>
  <dcterms:created xsi:type="dcterms:W3CDTF">1998-08-26T16:30:41Z</dcterms:created>
  <dcterms:modified xsi:type="dcterms:W3CDTF">2012-07-30T13:32:28Z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