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<sst xmlns="http://schemas.openxmlformats.org/spreadsheetml/2006/main" count="1499" uniqueCount="842">
  <si>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</si>
  <si>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</si>
  <si>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</si>
  <si>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</si>
  <si>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</si>
  <si>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</si>
  <si>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</si>
  <si>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</si>
  <si>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</si>
  <si>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</si>
  <si>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</si>
  <si>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</si>
  <si>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</si>
  <si>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</si>
  <si>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</si>
  <si>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</si>
  <si>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</si>
  <si>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</si>
  <si>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</si>
  <si>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</si>
  <si>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</si>
  <si>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</si>
  <si>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</si>
  <si>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</si>
  <si>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</si>
  <si>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</si>
  <si>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</si>
  <si>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</si>
  <si>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</si>
  <si>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</si>
  <si>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</si>
  <si>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</si>
  <si>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</si>
  <si>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</si>
  <si>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</si>
  <si>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</si>
  <si>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</si>
  <si>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</si>
  <si>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</si>
  <si>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</si>
  <si>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</si>
  <si>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</si>
  <si>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</si>
  <si>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</si>
  <si>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</si>
  <si>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</si>
  <si>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</si>
  <si>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</si>
  <si>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</si>
  <si>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</si>
  <si>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</si>
  <si>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</si>
  <si>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</si>
  <si>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</si>
  <si>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</si>
  <si>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</si>
  <si>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</si>
  <si>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</si>
  <si>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</si>
  <si>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</si>
  <si>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</si>
  <si>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</si>
  <si>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</si>
  <si>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</si>
  <si>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</si>
  <si>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</si>
  <si>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</si>
  <si>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</si>
  <si>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</si>
  <si>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</si>
  <si>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</si>
  <si>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</si>
  <si>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</si>
  <si>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</si>
  <si>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</si>
  <si>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</si>
  <si>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</si>
  <si>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</si>
  <si>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</si>
  <si>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</si>
  <si>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</si>
  <si>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</si>
  <si>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</si>
  <si>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</si>
  <si>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</si>
  <si>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</si>
  <si>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</si>
  <si>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</si>
  <si>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</si>
  <si>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</si>
  <si>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</si>
  <si>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</si>
  <si>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</si>
  <si>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</si>
  <si>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</si>
  <si>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</si>
  <si>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</si>
  <si>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</si>
  <si>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</si>
  <si>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</si>
  <si>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</si>
  <si>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</si>
  <si>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</si>
  <si>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</si>
  <si>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</si>
  <si>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</si>
  <si>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</si>
  <si>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</si>
  <si>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</si>
  <si>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</si>
  <si>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</si>
  <si>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</si>
  <si>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</si>
  <si>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</si>
  <si>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</si>
  <si>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</si>
  <si>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</si>
  <si>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</si>
  <si>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</si>
  <si>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</si>
  <si>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</si>
  <si>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</si>
  <si>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</si>
  <si>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</si>
  <si>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</si>
  <si>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</si>
  <si>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</si>
  <si>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</si>
  <si>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</si>
  <si>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</si>
  <si>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</si>
  <si>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</si>
  <si>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</si>
  <si>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</si>
  <si>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</si>
  <si>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</si>
  <si>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</si>
  <si>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</si>
  <si>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</si>
  <si>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</si>
  <si>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</si>
  <si>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</si>
  <si>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</si>
  <si>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</si>
  <si>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</si>
  <si>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</si>
  <si>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</si>
  <si>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</si>
  <si>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</si>
  <si>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</si>
  <si>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</si>
  <si>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</si>
  <si>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</si>
  <si>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</si>
  <si>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</si>
  <si>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</si>
  <si>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</si>
  <si>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</si>
  <si>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</si>
  <si>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</si>
  <si>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</si>
  <si>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</si>
  <si>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</si>
  <si>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</si>
  <si>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</si>
  <si>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</si>
  <si>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</si>
  <si>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</si>
  <si>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</si>
  <si>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</si>
  <si>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</si>
  <si>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</si>
  <si>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</si>
  <si>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</si>
  <si>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</si>
  <si>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</si>
  <si>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</si>
  <si>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</si>
  <si>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</si>
  <si>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</si>
  <si>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</si>
  <si>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</si>
  <si>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</si>
  <si>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</si>
  <si>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</si>
  <si>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</si>
  <si>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</si>
  <si>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</si>
  <si>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</si>
  <si>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</si>
  <si>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</si>
  <si>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</si>
  <si>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</si>
  <si>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</si>
  <si>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</si>
  <si>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</si>
  <si>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</si>
  <si>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</si>
  <si>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</si>
  <si>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</si>
  <si>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</si>
  <si>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</si>
  <si>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</si>
  <si>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</si>
  <si>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</si>
  <si>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</si>
  <si>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</si>
  <si>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</si>
  <si>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</si>
  <si>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</si>
  <si>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</si>
  <si>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</si>
  <si>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</si>
  <si>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</si>
  <si>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</si>
  <si>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</si>
  <si>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</si>
  <si>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</si>
  <si>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</si>
  <si>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</si>
  <si>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</si>
  <si>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</si>
  <si>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</si>
  <si>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</si>
  <si>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</si>
  <si>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</si>
  <si>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</si>
  <si>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</si>
  <si>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</si>
  <si>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</si>
  <si>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</si>
  <si>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</si>
  <si>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</si>
  <si>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</si>
  <si>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</si>
  <si>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</si>
  <si>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</si>
  <si>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</si>
  <si>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</si>
  <si>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</si>
  <si>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</si>
  <si>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</si>
  <si>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</si>
  <si>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</si>
  <si>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</si>
  <si>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</si>
  <si>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</si>
  <si>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</si>
  <si>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</si>
  <si>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</si>
  <si>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</si>
  <si>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</si>
  <si>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</si>
  <si>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</si>
  <si>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</si>
  <si>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</si>
  <si>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</si>
  <si>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</si>
  <si>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</si>
  <si>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</si>
  <si>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</si>
  <si>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</si>
  <si>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</si>
  <si>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</si>
  <si>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</si>
  <si>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</si>
  <si>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</si>
  <si>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</si>
  <si>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</si>
  <si>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</si>
  <si>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</si>
  <si>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</si>
  <si>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</si>
  <si>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</si>
  <si>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</si>
  <si>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</si>
  <si>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</si>
  <si>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</si>
  <si>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</si>
  <si>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</si>
  <si>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</si>
  <si>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</si>
  <si>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</si>
  <si>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</si>
  <si>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</si>
  <si>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</si>
  <si>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</si>
  <si>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</si>
  <si>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</si>
  <si>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</si>
  <si>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</si>
  <si>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</si>
  <si>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</si>
  <si>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</si>
  <si>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</si>
  <si>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</si>
  <si>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</si>
  <si>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</si>
  <si>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</si>
  <si>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</si>
  <si>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</si>
  <si>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</si>
  <si>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</si>
  <si>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</si>
  <si>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</si>
  <si>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</si>
  <si>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</si>
  <si>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</si>
  <si>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</si>
  <si>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</si>
  <si>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</si>
  <si>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</si>
  <si>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</si>
  <si>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</si>
  <si>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</si>
  <si>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</si>
  <si>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</si>
  <si>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</si>
  <si>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</si>
  <si>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</si>
  <si>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</si>
  <si>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</si>
  <si>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</si>
  <si>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</si>
  <si>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</si>
  <si>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</si>
  <si>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</si>
  <si>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</si>
  <si>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</si>
  <si>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</si>
  <si>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</si>
  <si>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</si>
  <si>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</si>
  <si>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</si>
  <si>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</si>
  <si>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</si>
  <si>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</si>
  <si>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</si>
  <si>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</si>
  <si>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</si>
  <si>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</si>
  <si>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</si>
  <si>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</si>
  <si>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</si>
  <si>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</si>
  <si>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</si>
  <si>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</si>
  <si>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</si>
  <si>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</si>
  <si>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</si>
  <si>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</si>
  <si>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</si>
  <si>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</si>
  <si>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</si>
  <si>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</si>
  <si>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</si>
  <si>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</si>
  <si>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</si>
  <si>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</si>
  <si>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</si>
  <si>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</si>
  <si>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</si>
  <si>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</si>
  <si>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</si>
  <si>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</si>
  <si>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</si>
  <si>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</si>
  <si>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</si>
  <si>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</si>
  <si>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</si>
  <si>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</si>
  <si>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</si>
  <si>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</si>
  <si>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</si>
  <si>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</si>
  <si>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</si>
  <si>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</si>
  <si>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</si>
  <si>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</si>
  <si>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</si>
  <si>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</si>
  <si>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</si>
  <si>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</si>
  <si>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</si>
  <si>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</si>
  <si>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</si>
  <si>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</si>
  <si>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</si>
  <si>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</si>
  <si>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</si>
  <si>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</si>
  <si>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</si>
  <si>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</si>
  <si>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</si>
  <si>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</si>
  <si>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</si>
  <si>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</si>
  <si>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</si>
  <si>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</si>
  <si>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</si>
  <si>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</si>
  <si>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</si>
  <si>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</si>
  <si>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</si>
  <si>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</si>
  <si>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</si>
  <si>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</si>
  <si>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</si>
  <si>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</si>
  <si>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</si>
  <si>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</si>
  <si>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</si>
  <si>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</si>
  <si>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</si>
  <si>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</si>
  <si>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</si>
  <si>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</si>
  <si>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</si>
  <si>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</si>
  <si>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</si>
  <si>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</si>
  <si>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</si>
  <si>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</si>
  <si>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</si>
  <si>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</si>
  <si>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</si>
  <si>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</si>
  <si>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</si>
  <si>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</si>
  <si>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</si>
  <si>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</si>
  <si>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</si>
  <si>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</si>
  <si>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</si>
  <si>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</si>
  <si>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</si>
  <si>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</si>
  <si>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</si>
  <si>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</si>
  <si>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</si>
  <si>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</si>
  <si>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</si>
  <si>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</si>
  <si>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</si>
  <si>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</si>
  <si>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</si>
  <si>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</si>
  <si>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</si>
  <si>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</si>
  <si>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</si>
  <si>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</si>
  <si>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</si>
  <si>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</si>
  <si>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</si>
  <si>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</si>
  <si>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</si>
  <si>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</si>
  <si>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</si>
  <si>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</si>
  <si>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</si>
  <si>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</si>
  <si>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</si>
  <si>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</si>
  <si>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</si>
  <si>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</si>
  <si>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</si>
  <si>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</si>
  <si>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</si>
  <si>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</si>
  <si>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</si>
  <si>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</si>
  <si>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</si>
  <si>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</si>
  <si>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</si>
  <si>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</si>
  <si>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</si>
  <si>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</si>
  <si>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</si>
  <si>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</si>
  <si>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</si>
  <si>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</si>
  <si>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</si>
  <si>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</si>
  <si>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</si>
  <si>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</si>
  <si>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</si>
  <si>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</si>
  <si>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</si>
  <si>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</si>
  <si>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</si>
  <si>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</si>
  <si>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</si>
  <si>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</si>
  <si>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</si>
  <si>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</si>
  <si>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</si>
  <si>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</si>
  <si>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</si>
  <si>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</si>
  <si>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</si>
  <si>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</si>
  <si>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</si>
  <si>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</si>
  <si>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</si>
  <si>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</si>
  <si>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</si>
  <si>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</si>
  <si>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</si>
  <si>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</si>
  <si>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</si>
  <si>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</si>
  <si>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</si>
  <si>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</si>
  <si>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</si>
  <si>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</si>
  <si>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</si>
  <si>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</si>
  <si>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</si>
  <si>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</si>
  <si>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</si>
  <si>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</si>
  <si>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</si>
  <si>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</si>
  <si>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</si>
  <si>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</si>
  <si>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</si>
  <si>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</si>
  <si>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</si>
  <si>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</si>
  <si>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</si>
  <si>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</si>
  <si>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</si>
  <si>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</si>
  <si>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</si>
  <si>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</si>
  <si>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</si>
  <si>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</si>
  <si>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</si>
  <si>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</si>
  <si>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</si>
  <si>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</si>
  <si>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</si>
  <si>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</si>
  <si>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</si>
  <si>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</si>
  <si>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</si>
  <si>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</si>
  <si>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</si>
  <si>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</si>
  <si>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</si>
  <si>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</si>
  <si>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</si>
  <si>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</si>
  <si>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</si>
  <si>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</si>
  <si>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</si>
  <si>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</si>
  <si>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</si>
  <si>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</si>
  <si>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</si>
  <si>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</si>
  <si>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</si>
  <si>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</si>
  <si>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</si>
  <si>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</si>
  <si>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</si>
  <si>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</si>
  <si>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</si>
  <si>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</si>
  <si>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</si>
  <si>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</si>
  <si>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</si>
  <si>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</si>
  <si>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</si>
  <si>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</si>
  <si>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</si>
  <si>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</si>
  <si>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</si>
  <si>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</si>
  <si>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</si>
  <si>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</si>
  <si>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</si>
  <si>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</si>
  <si>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</si>
  <si>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</si>
  <si>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</si>
  <si>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</si>
  <si>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</si>
  <si>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</si>
  <si>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</si>
  <si>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</si>
  <si>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</si>
  <si>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</si>
  <si>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</si>
  <si>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</si>
  <si>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</si>
  <si>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</si>
  <si>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</si>
  <si>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</si>
  <si>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</si>
  <si>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</si>
  <si>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</si>
  <si>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</si>
  <si>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</si>
  <si>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</si>
  <si>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</si>
  <si>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</si>
  <si>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</si>
  <si>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</si>
  <si>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</si>
  <si>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</si>
  <si>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</si>
  <si>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</si>
  <si>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</si>
  <si>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</si>
  <si>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</si>
  <si>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</si>
  <si>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</si>
  <si>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</si>
  <si>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</si>
  <si>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</si>
  <si>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</si>
  <si>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</si>
  <si>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</si>
  <si>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</si>
  <si>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</si>
  <si>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</si>
  <si>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</si>
  <si>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</si>
  <si>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</si>
  <si>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</si>
  <si>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</si>
  <si>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</si>
  <si>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</si>
  <si>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</si>
  <si>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</si>
  <si>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</si>
  <si>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</si>
  <si>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</si>
  <si>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</si>
  <si>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</si>
  <si>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</si>
  <si>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</si>
  <si>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</si>
  <si>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</si>
  <si>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</si>
  <si>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</si>
  <si>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</si>
  <si>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</si>
  <si>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</si>
  <si>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</si>
  <si>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</si>
  <si>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</si>
  <si>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</si>
  <si>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</si>
  <si>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</si>
  <si>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</si>
  <si>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</si>
  <si>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</si>
  <si>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</si>
  <si>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</si>
  <si>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</si>
  <si>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</si>
  <si>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</si>
  <si>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</si>
  <si>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</si>
  <si>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</si>
  <si>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</si>
  <si>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</si>
  <si>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</si>
  <si>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</si>
  <si>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</si>
  <si>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</si>
  <si>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</si>
  <si>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</si>
  <si>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</si>
  <si>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</si>
  <si>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</si>
  <si>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</si>
  <si>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</si>
  <si>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</si>
  <si>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</si>
  <si>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</si>
  <si>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</si>
  <si>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</si>
  <si>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</si>
  <si>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</si>
  <si>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</si>
  <si>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</si>
  <si>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</si>
  <si>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</si>
  <si>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</si>
  <si>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</si>
  <si>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</si>
  <si>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</si>
  <si>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</si>
  <si>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</si>
  <si>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</si>
  <si>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</si>
  <si>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</si>
  <si>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</si>
  <si>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</si>
  <si>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</si>
  <si>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</si>
  <si>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</si>
  <si>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</si>
  <si>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</si>
  <si>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</si>
  <si>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</si>
  <si>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</si>
  <si>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</si>
  <si>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</si>
  <si>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</si>
  <si>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</si>
  <si>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</si>
  <si>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</si>
  <si>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</si>
  <si>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</si>
  <si>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</si>
  <si>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</si>
  <si>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</si>
  <si>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</si>
  <si>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</si>
  <si>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</si>
  <si>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</si>
  <si>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</si>
  <si>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</si>
  <si>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</si>
  <si>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</si>
  <si>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</si>
  <si>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</si>
  <si>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</si>
  <si>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</si>
  <si>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</si>
  <si>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</si>
  <si>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</si>
  <si>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</si>
  <si>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</si>
  <si>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</si>
  <si>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</si>
  <si>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</si>
  <si>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</si>
  <si>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</si>
  <si>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</si>
  <si>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</si>
  <si>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</si>
  <si>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</si>
  <si>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</si>
  <si>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</si>
  <si>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</si>
  <si>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</si>
  <si>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</si>
  <si>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</si>
  <si>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</si>
  <si>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</si>
  <si>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</si>
  <si>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</si>
  <si>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</si>
  <si>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</si>
  <si>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</si>
  <si>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</si>
  <si>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</si>
  <si>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</si>
  <si>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</si>
  <si>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</si>
  <si>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</si>
  <si>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</si>
  <si>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</si>
  <si>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</si>
  <si>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</si>
  <si>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</si>
  <si>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</si>
  <si>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</si>
  <si>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</si>
  <si>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</si>
  <si>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</si>
  <si>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</si>
  <si>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</si>
  <si>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</si>
  <si>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</si>
  <si>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</si>
  <si>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</si>
  <si>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</si>
  <si>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</si>
  <si>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</si>
  <si>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</si>
  <si>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</si>
  <si>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</si>
  <si>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</si>
  <si>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</si>
  <si>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</si>
  <si>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</si>
  <si>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</si>
  <si>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</si>
  <si>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</si>
  <si>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</si>
  <si>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</si>
  <si>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</si>
  <si>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</si>
  <si>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</si>
  <si>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</si>
  <si>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</si>
  <si>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</si>
  <si>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</si>
  <si>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</si>
  <si>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</si>
  <si>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</si>
  <si>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</si>
  <si>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</si>
  <si>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</si>
  <si>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</si>
  <si>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</si>
  <si>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</si>
  <si>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</si>
  <si>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</si>
  <si>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</si>
  <si>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</si>
  <si>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</si>
  <si>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</si>
  <si>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</si>
  <si>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</si>
  <si>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</si>
  <si>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</si>
  <si>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</si>
  <si>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</si>
  <si>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</si>
  <si>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</si>
  <si>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</si>
  <si>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</si>
  <si>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</si>
  <si>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</si>
  <si>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</si>
  <si>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</si>
  <si>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</si>
  <si>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West Cherry Township</t>
  </si>
  <si>
    <t>Hall</t>
  </si>
  <si>
    <t>80-115</t>
  </si>
  <si>
    <t>Publication</t>
  </si>
  <si>
    <t>Operations</t>
  </si>
  <si>
    <t>August 9, 2012</t>
  </si>
  <si>
    <t>6:30 PM</t>
  </si>
  <si>
    <t>West Cherry 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</si>
</sst>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187" fontId="36" fillId="34" borderId="0" xfId="0" applyNumberFormat="1" applyFont="1" applyFill="1" applyAlignment="1">
      <alignment/>
    </xf>
    <xf numFmtId="0" fontId="37" fillId="34" borderId="30" xfId="0" applyFont="1" applyFill="1" applyBorder="1" applyAlignment="1">
      <alignment horizontal="center" vertical="center"/>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5" fontId="36" fillId="34" borderId="12"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West Cherry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D35" sqref="D35"/>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West Cherry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4250.66</v>
      </c>
      <c r="D6" s="414">
        <f>C47</f>
        <v>4307.66</v>
      </c>
      <c r="E6" s="267">
        <f>D47</f>
        <v>3142.66</v>
      </c>
    </row>
    <row r="7" spans="2:5" ht="15.75">
      <c r="B7" s="82" t="s">
        <v>467</v>
      </c>
      <c r="C7" s="414"/>
      <c r="D7" s="414"/>
      <c r="E7" s="328"/>
    </row>
    <row r="8" spans="2:5" ht="15.75">
      <c r="B8" s="82" t="s">
        <v>682</v>
      </c>
      <c r="C8" s="326">
        <v>1472</v>
      </c>
      <c r="D8" s="414">
        <f>inputPrYr!E20</f>
        <v>1509</v>
      </c>
      <c r="E8" s="328" t="s">
        <v>661</v>
      </c>
    </row>
    <row r="9" spans="2:5" ht="15.75">
      <c r="B9" s="82" t="s">
        <v>683</v>
      </c>
      <c r="C9" s="326">
        <v>31</v>
      </c>
      <c r="D9" s="326">
        <v>0</v>
      </c>
      <c r="E9" s="175">
        <v>0</v>
      </c>
    </row>
    <row r="10" spans="2:5" ht="15.75">
      <c r="B10" s="82" t="s">
        <v>684</v>
      </c>
      <c r="C10" s="326">
        <v>99</v>
      </c>
      <c r="D10" s="326">
        <v>111</v>
      </c>
      <c r="E10" s="267">
        <f>mvalloc!G12</f>
        <v>133</v>
      </c>
    </row>
    <row r="11" spans="2:5" ht="15.75">
      <c r="B11" s="82" t="s">
        <v>685</v>
      </c>
      <c r="C11" s="326">
        <v>2</v>
      </c>
      <c r="D11" s="326">
        <v>2</v>
      </c>
      <c r="E11" s="267">
        <f>mvalloc!I12</f>
        <v>3</v>
      </c>
    </row>
    <row r="12" spans="2:5" ht="15.75">
      <c r="B12" s="329" t="s">
        <v>416</v>
      </c>
      <c r="C12" s="326">
        <v>10</v>
      </c>
      <c r="D12" s="326">
        <v>13</v>
      </c>
      <c r="E12" s="267">
        <f>mvalloc!J12</f>
        <v>9</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c r="D22" s="326"/>
      <c r="E22" s="175"/>
    </row>
    <row r="23" spans="2:5" ht="15.75">
      <c r="B23" s="332" t="s">
        <v>634</v>
      </c>
      <c r="C23" s="326"/>
      <c r="D23" s="326"/>
      <c r="E23" s="175"/>
    </row>
    <row r="24" spans="2:5" ht="15.75">
      <c r="B24" s="332" t="s">
        <v>635</v>
      </c>
      <c r="C24" s="416">
        <f>IF(C25*0.1&lt;C23,"Exceed 10% Rule","")</f>
      </c>
      <c r="D24" s="416">
        <f>IF(D25*0.1&lt;D23,"Exceed 10% Rule","")</f>
      </c>
      <c r="E24" s="336">
        <f>IF(E25*0.1+E53&lt;E23,"Exceed 10% Rule","")</f>
      </c>
    </row>
    <row r="25" spans="2:5" ht="15.75">
      <c r="B25" s="334" t="s">
        <v>689</v>
      </c>
      <c r="C25" s="417">
        <f>SUM(C8:C23)</f>
        <v>1614</v>
      </c>
      <c r="D25" s="417">
        <f>SUM(D8:D23)</f>
        <v>1635</v>
      </c>
      <c r="E25" s="335">
        <f>SUM(E8:E23)</f>
        <v>145</v>
      </c>
    </row>
    <row r="26" spans="2:5" ht="15.75">
      <c r="B26" s="100" t="s">
        <v>690</v>
      </c>
      <c r="C26" s="417">
        <f>C25+C6</f>
        <v>5864.66</v>
      </c>
      <c r="D26" s="417">
        <f>D25+D6</f>
        <v>5942.66</v>
      </c>
      <c r="E26" s="335">
        <f>E25+E6</f>
        <v>3287.66</v>
      </c>
    </row>
    <row r="27" spans="2:5" ht="15.75">
      <c r="B27" s="82" t="s">
        <v>691</v>
      </c>
      <c r="C27" s="414"/>
      <c r="D27" s="414"/>
      <c r="E27" s="267"/>
    </row>
    <row r="28" spans="2:5" ht="15.75">
      <c r="B28" s="330"/>
      <c r="C28" s="326"/>
      <c r="D28" s="326"/>
      <c r="E28" s="175"/>
    </row>
    <row r="29" spans="2:5" ht="15.75">
      <c r="B29" s="331" t="s">
        <v>448</v>
      </c>
      <c r="C29" s="326">
        <v>450</v>
      </c>
      <c r="D29" s="326">
        <v>450</v>
      </c>
      <c r="E29" s="175">
        <v>450</v>
      </c>
    </row>
    <row r="30" spans="2:5" ht="15.75">
      <c r="B30" s="331" t="s">
        <v>472</v>
      </c>
      <c r="C30" s="326"/>
      <c r="D30" s="326"/>
      <c r="E30" s="175"/>
    </row>
    <row r="31" spans="2:5" ht="15.75">
      <c r="B31" s="331" t="s">
        <v>449</v>
      </c>
      <c r="C31" s="326"/>
      <c r="D31" s="326"/>
      <c r="E31" s="175"/>
    </row>
    <row r="32" spans="2:5" ht="15.75">
      <c r="B32" s="331" t="s">
        <v>702</v>
      </c>
      <c r="C32" s="326"/>
      <c r="D32" s="326"/>
      <c r="E32" s="175"/>
    </row>
    <row r="33" spans="2:5" ht="15.75">
      <c r="B33" s="330" t="s">
        <v>450</v>
      </c>
      <c r="C33" s="326"/>
      <c r="D33" s="326">
        <v>0</v>
      </c>
      <c r="E33" s="175">
        <v>1172</v>
      </c>
    </row>
    <row r="34" spans="2:5" ht="15.75">
      <c r="B34" s="330" t="s">
        <v>473</v>
      </c>
      <c r="C34" s="326"/>
      <c r="D34" s="326">
        <v>1500</v>
      </c>
      <c r="E34" s="175">
        <v>2000</v>
      </c>
    </row>
    <row r="35" spans="2:5" ht="15.75">
      <c r="B35" s="331" t="s">
        <v>475</v>
      </c>
      <c r="C35" s="326">
        <v>250</v>
      </c>
      <c r="D35" s="326">
        <v>250</v>
      </c>
      <c r="E35" s="175">
        <v>500</v>
      </c>
    </row>
    <row r="36" spans="2:5" ht="15.75">
      <c r="B36" s="331" t="s">
        <v>837</v>
      </c>
      <c r="C36" s="326">
        <v>57</v>
      </c>
      <c r="D36" s="326">
        <v>100</v>
      </c>
      <c r="E36" s="175">
        <v>100</v>
      </c>
    </row>
    <row r="37" spans="2:5" ht="15.75">
      <c r="B37" s="330" t="s">
        <v>838</v>
      </c>
      <c r="C37" s="326">
        <v>800</v>
      </c>
      <c r="D37" s="326">
        <v>500</v>
      </c>
      <c r="E37" s="175">
        <v>500</v>
      </c>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41"/>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3142.66</v>
      </c>
      <c r="H42" s="538" t="str">
        <f>CONCATENATE("",E1-1," Ending Cash Balance (est.)")</f>
        <v>2012 Ending Cash Balance (est.)</v>
      </c>
      <c r="I42" s="539"/>
      <c r="J42" s="86"/>
    </row>
    <row r="43" spans="2:10" ht="15.75">
      <c r="B43" s="329" t="s">
        <v>636</v>
      </c>
      <c r="C43" s="326"/>
      <c r="D43" s="326"/>
      <c r="E43" s="186">
        <f>nhood!E6</f>
      </c>
      <c r="G43" s="537">
        <f>E25</f>
        <v>145</v>
      </c>
      <c r="H43" s="540" t="str">
        <f>CONCATENATE("",E1," Non-AV Receipts (est.)")</f>
        <v>2013 Non-AV Receipts (est.)</v>
      </c>
      <c r="I43" s="540"/>
      <c r="J43" s="86"/>
    </row>
    <row r="44" spans="2:10" ht="15.75">
      <c r="B44" s="329" t="s">
        <v>634</v>
      </c>
      <c r="C44" s="326"/>
      <c r="D44" s="326"/>
      <c r="E44" s="175"/>
      <c r="G44" s="541">
        <f>E53</f>
        <v>1448.3400000000001</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4736</v>
      </c>
      <c r="H45" s="540" t="str">
        <f>CONCATENATE("Total ",E1," Resources Available")</f>
        <v>Total 2013 Resources Available</v>
      </c>
      <c r="I45" s="539"/>
      <c r="J45" s="86"/>
    </row>
    <row r="46" spans="2:10" ht="15.75">
      <c r="B46" s="100" t="s">
        <v>692</v>
      </c>
      <c r="C46" s="417">
        <f>SUM(C28:C39,C41,C43:C44)</f>
        <v>1557</v>
      </c>
      <c r="D46" s="417">
        <f>SUM(D28:D39,D41,D43:D44)</f>
        <v>2800</v>
      </c>
      <c r="E46" s="335">
        <f>SUM(E28:E39,E43:E44,E41)</f>
        <v>4722</v>
      </c>
      <c r="G46" s="542"/>
      <c r="H46" s="540"/>
      <c r="I46" s="540"/>
      <c r="J46" s="86"/>
    </row>
    <row r="47" spans="2:10" ht="15.75">
      <c r="B47" s="82" t="s">
        <v>466</v>
      </c>
      <c r="C47" s="418">
        <f>C26-C46</f>
        <v>4307.66</v>
      </c>
      <c r="D47" s="418">
        <f>D26-D46</f>
        <v>3142.66</v>
      </c>
      <c r="E47" s="328" t="s">
        <v>661</v>
      </c>
      <c r="G47" s="541">
        <f>C46*0.05+C46</f>
        <v>1634.85</v>
      </c>
      <c r="H47" s="540" t="str">
        <f>CONCATENATE("Less ",E1-2," Expenditures + 5%")</f>
        <v>Less 2011 Expenditures + 5%</v>
      </c>
      <c r="I47" s="539"/>
      <c r="J47" s="86"/>
    </row>
    <row r="48" spans="2:10" ht="15.75">
      <c r="B48" s="121" t="str">
        <f>CONCATENATE("",E1-2,"/",E1-1," Budget Authority Amount:")</f>
        <v>2011/2012 Budget Authority Amount:</v>
      </c>
      <c r="C48" s="362">
        <f>inputOth!B83</f>
        <v>3475</v>
      </c>
      <c r="D48" s="69">
        <f>inputPrYr!D20</f>
        <v>4722</v>
      </c>
      <c r="E48" s="328" t="s">
        <v>661</v>
      </c>
      <c r="F48" s="337"/>
      <c r="G48" s="543">
        <f>G45-G47</f>
        <v>3101.15</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4722</v>
      </c>
      <c r="G50" s="547">
        <f>IF(inputOth!E11=0,"",ROUND(gen!E53/inputOth!E11*1000,3))</f>
        <v>0.303</v>
      </c>
      <c r="H50" s="548" t="str">
        <f>CONCATENATE("Projected ",E1-1," Mill Rate (est.)")</f>
        <v>Projected 2012 Mill Rate (est.)</v>
      </c>
      <c r="I50" s="549"/>
      <c r="J50" s="550"/>
    </row>
    <row r="51" spans="2:10" ht="15.75">
      <c r="B51" s="528" t="str">
        <f>CONCATENATE(C71,"       ",D71)</f>
        <v>       </v>
      </c>
      <c r="C51" s="531"/>
      <c r="D51" s="530" t="s">
        <v>694</v>
      </c>
      <c r="E51" s="186">
        <f>IF(E50-E26&gt;0,E50-E26,0)</f>
        <v>1434.3400000000001</v>
      </c>
      <c r="G51" s="551"/>
      <c r="H51" s="551"/>
      <c r="I51" s="551"/>
      <c r="J51" s="551"/>
    </row>
    <row r="52" spans="2:10" ht="15.75">
      <c r="B52" s="216"/>
      <c r="C52" s="529" t="s">
        <v>333</v>
      </c>
      <c r="D52" s="533">
        <f>inputOth!$E$77</f>
        <v>0.01</v>
      </c>
      <c r="E52" s="267">
        <f>ROUND(IF(D52&gt;0,(E51*D52),0),0)</f>
        <v>14</v>
      </c>
      <c r="G52" s="665" t="str">
        <f>CONCATENATE("Desired Carryover Into ",E1+1,"")</f>
        <v>Desired Carryover Into 2014</v>
      </c>
      <c r="H52" s="667"/>
      <c r="I52" s="667"/>
      <c r="J52" s="641"/>
    </row>
    <row r="53" spans="2:10" ht="15.75">
      <c r="B53" s="66"/>
      <c r="C53" s="663" t="str">
        <f>CONCATENATE("Amount of  ",$E$1-1," Ad Valorem Tax")</f>
        <v>Amount of  2012 Ad Valorem Tax</v>
      </c>
      <c r="D53" s="664"/>
      <c r="E53" s="186">
        <f>E51+E52</f>
        <v>1448.3400000000001</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West Cherry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0.01</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West Cherry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41"/>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0.01</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41"/>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0.01</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C43" sqref="C43"/>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v>0</v>
      </c>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inputPrYr!B26</f>
        <v>Hall</v>
      </c>
      <c r="C41" s="413" t="str">
        <f>C5</f>
        <v>Actual 2011</v>
      </c>
      <c r="D41" s="413" t="str">
        <f>D5</f>
        <v>Estimate 2012</v>
      </c>
      <c r="E41" s="81" t="str">
        <f>E5</f>
        <v>Year 2013</v>
      </c>
    </row>
    <row r="42" spans="2:5" ht="15.75">
      <c r="B42" s="82" t="s">
        <v>465</v>
      </c>
      <c r="C42" s="326">
        <v>3870</v>
      </c>
      <c r="D42" s="414">
        <f>C68</f>
        <v>3942</v>
      </c>
      <c r="E42" s="267">
        <f>D68</f>
        <v>3942</v>
      </c>
    </row>
    <row r="43" spans="2:5" ht="15.75">
      <c r="B43" s="82" t="s">
        <v>467</v>
      </c>
      <c r="C43" s="414"/>
      <c r="D43" s="414"/>
      <c r="E43" s="328"/>
    </row>
    <row r="44" spans="2:5" ht="15.75">
      <c r="B44" s="82" t="s">
        <v>682</v>
      </c>
      <c r="C44" s="326">
        <v>0</v>
      </c>
      <c r="D44" s="414">
        <f>inputPrYr!E26</f>
        <v>0</v>
      </c>
      <c r="E44" s="328" t="s">
        <v>661</v>
      </c>
    </row>
    <row r="45" spans="2:5" ht="15.75">
      <c r="B45" s="82" t="s">
        <v>683</v>
      </c>
      <c r="C45" s="326">
        <v>9</v>
      </c>
      <c r="D45" s="326">
        <v>0</v>
      </c>
      <c r="E45" s="175">
        <v>0</v>
      </c>
    </row>
    <row r="46" spans="2:5" ht="15.75">
      <c r="B46" s="82" t="s">
        <v>684</v>
      </c>
      <c r="C46" s="326">
        <v>57</v>
      </c>
      <c r="D46" s="326">
        <v>0</v>
      </c>
      <c r="E46" s="267">
        <f>mvalloc!G18</f>
        <v>0</v>
      </c>
    </row>
    <row r="47" spans="2:5" ht="15.75">
      <c r="B47" s="82" t="s">
        <v>685</v>
      </c>
      <c r="C47" s="326">
        <v>1</v>
      </c>
      <c r="D47" s="326">
        <v>0</v>
      </c>
      <c r="E47" s="267">
        <f>mvalloc!I18</f>
        <v>0</v>
      </c>
    </row>
    <row r="48" spans="2:5" ht="15.75">
      <c r="B48" s="82" t="s">
        <v>446</v>
      </c>
      <c r="C48" s="326">
        <v>5</v>
      </c>
      <c r="D48" s="326">
        <v>0</v>
      </c>
      <c r="E48" s="267">
        <f>mvalloc!J18</f>
        <v>0</v>
      </c>
    </row>
    <row r="49" spans="2:5" ht="15.75">
      <c r="B49" s="82" t="s">
        <v>510</v>
      </c>
      <c r="C49" s="326">
        <v>0</v>
      </c>
      <c r="D49" s="326">
        <v>0</v>
      </c>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72</v>
      </c>
      <c r="D56" s="417">
        <f>SUM(D44:D54)</f>
        <v>0</v>
      </c>
      <c r="E56" s="335">
        <f>SUM(E44:E54)</f>
        <v>0</v>
      </c>
    </row>
    <row r="57" spans="2:5" ht="15.75">
      <c r="B57" s="100" t="s">
        <v>690</v>
      </c>
      <c r="C57" s="417">
        <f>C56+C42</f>
        <v>3942</v>
      </c>
      <c r="D57" s="417">
        <f>D56+D42</f>
        <v>3942</v>
      </c>
      <c r="E57" s="335">
        <f>E56+E42</f>
        <v>3942</v>
      </c>
    </row>
    <row r="58" spans="2:5" ht="15.75">
      <c r="B58" s="82" t="s">
        <v>691</v>
      </c>
      <c r="C58" s="414"/>
      <c r="D58" s="414"/>
      <c r="E58" s="267"/>
    </row>
    <row r="59" spans="2:5" ht="15.75">
      <c r="B59" s="331"/>
      <c r="C59" s="326">
        <v>0</v>
      </c>
      <c r="D59" s="326">
        <v>0</v>
      </c>
      <c r="E59" s="175">
        <v>498</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498</v>
      </c>
    </row>
    <row r="68" spans="2:5" ht="15.75">
      <c r="B68" s="82" t="s">
        <v>466</v>
      </c>
      <c r="C68" s="418">
        <f>C57-C67</f>
        <v>3942</v>
      </c>
      <c r="D68" s="418">
        <f>D57-D67</f>
        <v>3942</v>
      </c>
      <c r="E68" s="328" t="s">
        <v>661</v>
      </c>
    </row>
    <row r="69" spans="2:6" ht="15.75">
      <c r="B69" s="121" t="str">
        <f>CONCATENATE("",$E$1-2,"/",$E$1-1," Budget Authority Amount:")</f>
        <v>2011/2012 Budget Authority Amount:</v>
      </c>
      <c r="C69" s="362">
        <f>inputOth!$B89</f>
        <v>0</v>
      </c>
      <c r="D69" s="85">
        <f>inputPrYr!$D26</f>
        <v>3190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498</v>
      </c>
    </row>
    <row r="72" spans="2:5" ht="15.75">
      <c r="B72" s="528" t="str">
        <f>CONCATENATE(C82,"     ",D82)</f>
        <v>     </v>
      </c>
      <c r="C72" s="531"/>
      <c r="D72" s="530" t="s">
        <v>694</v>
      </c>
      <c r="E72" s="186">
        <f>IF(E71-E57&gt;0,E71-E57,0)</f>
        <v>0</v>
      </c>
    </row>
    <row r="73" spans="2:5" ht="15.75">
      <c r="B73" s="216"/>
      <c r="C73" s="529" t="s">
        <v>333</v>
      </c>
      <c r="D73" s="533">
        <f>inputOth!$E$77</f>
        <v>0.01</v>
      </c>
      <c r="E73" s="267">
        <f>ROUND(IF(D73&gt;0,(E72*D73),0),0)</f>
        <v>0</v>
      </c>
    </row>
    <row r="74" spans="2:5" ht="15.75">
      <c r="B74" s="66"/>
      <c r="C74" s="663" t="str">
        <f>CONCATENATE("Amount of  ",$E$1-1," Ad Valorem Tax")</f>
        <v>Amount of  2012 Ad Valorem Tax</v>
      </c>
      <c r="D74" s="664"/>
      <c r="E74" s="186">
        <f>E72+E73</f>
        <v>0</v>
      </c>
    </row>
    <row r="75" spans="2:5" ht="15.75">
      <c r="B75" s="216" t="s">
        <v>675</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West Cherry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West Cherry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3">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c r="E6" s="66"/>
    </row>
    <row r="7" spans="1:5" ht="15.75">
      <c r="A7" s="163" t="s">
        <v>548</v>
      </c>
      <c r="B7" s="66"/>
      <c r="C7" s="66"/>
      <c r="D7" s="115"/>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4722</v>
      </c>
      <c r="E20" s="175">
        <v>1509</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t="s">
        <v>835</v>
      </c>
      <c r="C26" s="511" t="s">
        <v>836</v>
      </c>
      <c r="D26" s="175">
        <v>3190</v>
      </c>
      <c r="E26" s="175">
        <v>0</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1509</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7912</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0.306</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0.306</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1500</v>
      </c>
    </row>
    <row r="62" spans="1:5" ht="15.75">
      <c r="A62" s="192" t="str">
        <f>CONCATENATE("Assessed Valuation (",D9-2," budget column):")</f>
        <v>Assessed Valuation (2011 budget column):</v>
      </c>
      <c r="B62" s="168"/>
      <c r="C62" s="66"/>
      <c r="D62" s="66"/>
      <c r="E62" s="193">
        <v>4903603</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West Cherry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2">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33" t="s">
        <v>705</v>
      </c>
      <c r="B3" s="633"/>
      <c r="C3" s="633"/>
      <c r="D3" s="633"/>
      <c r="E3" s="633"/>
      <c r="F3" s="633"/>
      <c r="G3" s="633"/>
      <c r="H3" s="633"/>
    </row>
    <row r="4" spans="1:8" ht="15.75">
      <c r="A4" s="687" t="str">
        <f>inputPrYr!D3</f>
        <v>West Cherry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August 9, 2012 at 6:30 PM at West Cherry Township Hall for the purpose of hearing and</v>
      </c>
      <c r="B6" s="686"/>
      <c r="C6" s="686"/>
      <c r="D6" s="686"/>
      <c r="E6" s="686"/>
      <c r="F6" s="686"/>
      <c r="G6" s="686"/>
      <c r="H6" s="686"/>
    </row>
    <row r="7" spans="1:8" ht="15.75">
      <c r="A7" s="70" t="s">
        <v>824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30" t="str">
        <f>CONCATENATE("Amount of ",H1-1," Ad Valorem Tax")</f>
        <v>Amount of 2012 Ad Valorem Tax</v>
      </c>
      <c r="H14" s="76" t="s">
        <v>706</v>
      </c>
      <c r="I14" s="203"/>
    </row>
    <row r="15" spans="1:9" ht="15.75">
      <c r="A15" s="66"/>
      <c r="B15" s="78"/>
      <c r="C15" s="78" t="s">
        <v>707</v>
      </c>
      <c r="D15" s="78"/>
      <c r="E15" s="78" t="s">
        <v>707</v>
      </c>
      <c r="F15" s="524" t="s">
        <v>578</v>
      </c>
      <c r="G15" s="684"/>
      <c r="H15" s="78" t="s">
        <v>707</v>
      </c>
      <c r="I15" s="203"/>
    </row>
    <row r="16" spans="1:10" ht="15.75">
      <c r="A16" s="211" t="s">
        <v>657</v>
      </c>
      <c r="B16" s="81" t="s">
        <v>708</v>
      </c>
      <c r="C16" s="81" t="s">
        <v>709</v>
      </c>
      <c r="D16" s="81" t="s">
        <v>708</v>
      </c>
      <c r="E16" s="81" t="s">
        <v>709</v>
      </c>
      <c r="F16" s="523" t="s">
        <v>330</v>
      </c>
      <c r="G16" s="685"/>
      <c r="H16" s="81" t="s">
        <v>709</v>
      </c>
      <c r="I16" s="203"/>
      <c r="J16" s="581"/>
    </row>
    <row r="17" spans="1:10" ht="15.75">
      <c r="A17" s="92" t="str">
        <f>inputPrYr!B20</f>
        <v>General</v>
      </c>
      <c r="B17" s="92">
        <f>IF(gen!$C$46&lt;&gt;0,gen!$C$46,"  ")</f>
        <v>1557</v>
      </c>
      <c r="C17" s="95">
        <f>IF(inputPrYr!D48&gt;0,inputPrYr!D48,"  ")</f>
        <v>0.306</v>
      </c>
      <c r="D17" s="92">
        <f>IF(gen!$D$46&lt;&gt;0,gen!$D$46,"  ")</f>
        <v>2800</v>
      </c>
      <c r="E17" s="95">
        <f>IF(inputOth!D37&gt;0,inputOth!D37,"  ")</f>
        <v>0.307</v>
      </c>
      <c r="F17" s="92">
        <f>IF(gen!$E$46&lt;&gt;0,gen!$E$46,"  ")</f>
        <v>4722</v>
      </c>
      <c r="G17" s="92">
        <f>IF(gen!$E$53&lt;&gt;0,gen!$E$53,"")</f>
        <v>1448.3400000000001</v>
      </c>
      <c r="H17" s="95">
        <f>IF(gen!E53&gt;0,ROUND(G17/F38*1000,3)," ")</f>
        <v>0.303</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Hall</v>
      </c>
      <c r="B23" s="92" t="str">
        <f>IF(levypage10!$C$67&lt;&gt;0,levypage10!$C$67,"  ")</f>
        <v>  </v>
      </c>
      <c r="C23" s="95" t="str">
        <f>IF(inputPrYr!D54&gt;0,inputPrYr!D54,"  ")</f>
        <v>  </v>
      </c>
      <c r="D23" s="92" t="str">
        <f>IF(levypage10!$D$67&lt;&gt;0,levypage10!$D$67,"  ")</f>
        <v>  </v>
      </c>
      <c r="E23" s="95" t="str">
        <f>IF(inputOth!D43&gt;0,inputOth!D43,"  ")</f>
        <v>  </v>
      </c>
      <c r="F23" s="92">
        <f>IF(levypage10!$E$67&lt;&gt;0,levypage10!$E$67,"  ")</f>
        <v>498</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4781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4781</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0.307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19.659999999999854</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1557</v>
      </c>
      <c r="C34" s="504">
        <f t="shared" si="0"/>
        <v>0.306</v>
      </c>
      <c r="D34" s="503">
        <f t="shared" si="0"/>
        <v>2800</v>
      </c>
      <c r="E34" s="504">
        <f t="shared" si="0"/>
        <v>0.307</v>
      </c>
      <c r="F34" s="503">
        <f t="shared" si="0"/>
        <v>5220</v>
      </c>
      <c r="G34" s="503">
        <f t="shared" si="0"/>
        <v>1448.3400000000001</v>
      </c>
      <c r="H34" s="504">
        <f t="shared" si="0"/>
        <v>0.303</v>
      </c>
      <c r="J34" s="677" t="str">
        <f>CONCATENATE("Impact On Keeping The Same Mill Rate As For ",H1-1,"")</f>
        <v>Impact On Keeping The Same Mill Rate As For 2012</v>
      </c>
      <c r="K34" s="680"/>
      <c r="L34" s="680"/>
      <c r="M34" s="681"/>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1557</v>
      </c>
      <c r="C36" s="66"/>
      <c r="D36" s="507">
        <f>D34-D35</f>
        <v>2800</v>
      </c>
      <c r="E36" s="66"/>
      <c r="F36" s="507">
        <f>F34-F35</f>
        <v>5220</v>
      </c>
      <c r="G36" s="66"/>
      <c r="H36" s="66"/>
      <c r="J36" s="576" t="str">
        <f>CONCATENATE("",H1," Ad Valorem Tax Rev(Township Only):")</f>
        <v>2013 Ad Valorem Tax Rev(Township Only):</v>
      </c>
      <c r="K36" s="10"/>
      <c r="L36" s="10"/>
      <c r="M36" s="579">
        <f>SUM(G19:G22)</f>
        <v>0</v>
      </c>
    </row>
    <row r="37" spans="1:13" ht="16.5" thickTop="1">
      <c r="A37" s="108" t="s">
        <v>392</v>
      </c>
      <c r="B37" s="236">
        <f>inputPrYr!E61</f>
        <v>1500</v>
      </c>
      <c r="C37" s="213"/>
      <c r="D37" s="236">
        <f>inputPrYr!E31</f>
        <v>1509</v>
      </c>
      <c r="E37" s="66"/>
      <c r="F37" s="508" t="s">
        <v>661</v>
      </c>
      <c r="G37" s="66"/>
      <c r="H37" s="66"/>
      <c r="J37" s="576" t="str">
        <f>CONCATENATE("",H1," Ad Valorem Tax Rev(Township Tot):")</f>
        <v>2013 Ad Valorem Tax Rev(Township Tot):</v>
      </c>
      <c r="K37" s="10"/>
      <c r="L37" s="10"/>
      <c r="M37" s="592">
        <f>SUM(G17,G18,G23,G24,G25,G26,G27)</f>
        <v>1448.3400000000001</v>
      </c>
    </row>
    <row r="38" spans="1:13" ht="15.75">
      <c r="A38" s="108" t="s">
        <v>585</v>
      </c>
      <c r="B38" s="92">
        <f>inputPrYr!E62</f>
        <v>4903603</v>
      </c>
      <c r="C38" s="213"/>
      <c r="D38" s="92">
        <f>inputOth!E54</f>
        <v>4911799</v>
      </c>
      <c r="E38" s="213"/>
      <c r="F38" s="92">
        <f>inputOth!E11</f>
        <v>4781001</v>
      </c>
      <c r="G38" s="66"/>
      <c r="H38" s="66"/>
      <c r="J38" s="576" t="str">
        <f>CONCATENATE("Total ",H1," Ad Valorem Tax Revenue:")</f>
        <v>Total 2013 Ad Valorem Tax Revenue:</v>
      </c>
      <c r="K38" s="73"/>
      <c r="L38" s="73"/>
      <c r="M38" s="593">
        <f>M36+M37</f>
        <v>1448.3400000000001</v>
      </c>
    </row>
    <row r="39" spans="1:14" ht="15.75">
      <c r="A39" s="82" t="s">
        <v>641</v>
      </c>
      <c r="B39" s="214"/>
      <c r="C39" s="66"/>
      <c r="D39" s="182"/>
      <c r="E39" s="66"/>
      <c r="F39" s="92">
        <f>inputOth!E8</f>
        <v>4781001</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1468</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1468</v>
      </c>
      <c r="O41" s="586"/>
    </row>
    <row r="42" spans="1:13" ht="15.75">
      <c r="A42" s="74" t="s">
        <v>394</v>
      </c>
      <c r="B42" s="215">
        <f>H1-3</f>
        <v>2010</v>
      </c>
      <c r="C42" s="66"/>
      <c r="D42" s="215">
        <f>H1-2</f>
        <v>2011</v>
      </c>
      <c r="E42" s="66"/>
      <c r="F42" s="215">
        <f>H1-1</f>
        <v>2012</v>
      </c>
      <c r="G42" s="66"/>
      <c r="H42" s="66"/>
      <c r="J42" s="573" t="s">
        <v>340</v>
      </c>
      <c r="K42" s="572"/>
      <c r="L42" s="572"/>
      <c r="M42" s="571">
        <f>M38-M41</f>
        <v>-19.659999999999854</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-19.659999999999854</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8</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A49:B49"/>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6">
      <selection activeCell="C38" sqref="C38"/>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West Cherry Township</v>
      </c>
      <c r="B1" s="66"/>
      <c r="C1" s="66"/>
      <c r="D1" s="66"/>
      <c r="E1" s="66"/>
      <c r="F1" s="66">
        <f>inputPrYr!D9</f>
        <v>2013</v>
      </c>
    </row>
    <row r="2" spans="1:6" ht="15.75">
      <c r="A2" s="66"/>
      <c r="B2" s="66"/>
      <c r="C2" s="66"/>
      <c r="D2" s="66"/>
      <c r="E2" s="66"/>
      <c r="F2" s="66"/>
    </row>
    <row r="3" spans="1:6" ht="15.75">
      <c r="A3" s="66"/>
      <c r="B3" s="629" t="str">
        <f>CONCATENATE("",F1," Neighborhood Revitalization Rebate")</f>
        <v>2013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4781001</v>
      </c>
      <c r="E20" s="66"/>
      <c r="F20" s="196"/>
    </row>
    <row r="21" spans="1:6" ht="15.75">
      <c r="A21" s="66"/>
      <c r="B21" s="66"/>
      <c r="C21" s="66"/>
      <c r="D21" s="66"/>
      <c r="E21" s="66"/>
      <c r="F21" s="196"/>
    </row>
    <row r="22" spans="1:6" ht="15.75">
      <c r="A22" s="66"/>
      <c r="B22" s="690" t="s">
        <v>782</v>
      </c>
      <c r="C22" s="690"/>
      <c r="D22" s="372">
        <f>IF(D20&gt;0,(D20*0.001),"")</f>
        <v>4781.001</v>
      </c>
      <c r="E22" s="66"/>
      <c r="F22" s="196"/>
    </row>
    <row r="23" spans="1:6" ht="15.75">
      <c r="A23" s="66"/>
      <c r="B23" s="121"/>
      <c r="C23" s="121"/>
      <c r="D23" s="373"/>
      <c r="E23" s="66"/>
      <c r="F23" s="196"/>
    </row>
    <row r="24" spans="1:6" ht="15.75">
      <c r="A24" s="688" t="s">
        <v>783</v>
      </c>
      <c r="B24" s="647"/>
      <c r="C24" s="647"/>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7" t="s">
        <v>476</v>
      </c>
      <c r="B1" s="697"/>
      <c r="C1" s="697"/>
      <c r="D1" s="697"/>
      <c r="E1" s="697"/>
      <c r="F1" s="697"/>
      <c r="G1" s="697"/>
    </row>
    <row r="2" ht="15.75">
      <c r="A2" s="21"/>
    </row>
    <row r="3" spans="1:7" ht="15.75">
      <c r="A3" s="698" t="s">
        <v>477</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West Cherry Township </v>
      </c>
      <c r="I6">
        <f>CONCATENATE(I7)</f>
      </c>
    </row>
    <row r="7" spans="1:7" ht="15.75">
      <c r="A7" s="699" t="str">
        <f>CONCATENATE("   with respect to financing the ",inputPrYr!D9," annual budget for ",(inputPrYr!D3)," , ",(inputPrYr!D4)," , Kansas.")</f>
        <v>   with respect to financing the 2013 annual budget for West Cherry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West Cherry Township budget exceed the amount levied to finance the 2012</v>
      </c>
    </row>
    <row r="12" spans="1:7" ht="15.75">
      <c r="A12" s="695" t="str">
        <f>CONCATENATE((inputPrYr!D3)," Township budget, except with regard to revenue produced and attributable to the taxation of 1) new improvements to real property; 2) increased personal property valuation, other than increased")</f>
        <v>West Cherry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5" t="s">
        <v>483</v>
      </c>
      <c r="B14" s="617"/>
      <c r="C14" s="617"/>
      <c r="D14" s="617"/>
      <c r="E14" s="617"/>
      <c r="F14" s="617"/>
      <c r="G14" s="617"/>
    </row>
    <row r="15" spans="1:7" ht="15.75">
      <c r="A15" s="617"/>
      <c r="B15" s="617"/>
      <c r="C15" s="617"/>
      <c r="D15" s="617"/>
      <c r="E15" s="617"/>
      <c r="F15" s="617"/>
      <c r="G15" s="617"/>
    </row>
    <row r="16" spans="1:7" ht="15.75">
      <c r="A16" s="696"/>
      <c r="B16" s="696"/>
      <c r="C16" s="696"/>
      <c r="D16" s="696"/>
      <c r="E16" s="696"/>
      <c r="F16" s="696"/>
      <c r="G16" s="696"/>
    </row>
    <row r="17" ht="15.75">
      <c r="A17" s="22"/>
    </row>
    <row r="18" spans="1:7" ht="15.75">
      <c r="A18" s="693" t="s">
        <v>479</v>
      </c>
      <c r="B18" s="617"/>
      <c r="C18" s="617"/>
      <c r="D18" s="617"/>
      <c r="E18" s="617"/>
      <c r="F18" s="617"/>
      <c r="G18" s="617"/>
    </row>
    <row r="19" spans="1:7" ht="15.75">
      <c r="A19" s="617"/>
      <c r="B19" s="617"/>
      <c r="C19" s="617"/>
      <c r="D19" s="617"/>
      <c r="E19" s="617"/>
      <c r="F19" s="617"/>
      <c r="G19" s="617"/>
    </row>
    <row r="20" ht="15.75">
      <c r="A20" s="22"/>
    </row>
    <row r="21" spans="1:7" ht="15.75">
      <c r="A21" s="693" t="str">
        <f>CONCATENATE("Whereas, ",(inputPrYr!D3)," provides essential services to protect the safety and well being of the citizens of the township; and")</f>
        <v>Whereas, West Cherry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West Cherry Township of Montgomery County, Kansas that is our desire to notify the public of increased property taxes to finance the 2013 West Cherry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2" t="str">
        <f>CONCATENATE("Adopted this _________ day of ___________, ",inputPrYr!D9-1," by the ",(inputPrYr!D3)," Board, ",(inputPrYr!D4),", Kansas.")</f>
        <v>Adopted this _________ day of ___________, 2012 by the West Cherry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4" t="str">
        <f>CONCATENATE((inputPrYr!D3)," Board")</f>
        <v>West Cherry Township Board</v>
      </c>
      <c r="E33" s="694"/>
      <c r="F33" s="694"/>
      <c r="G33" s="694"/>
    </row>
    <row r="35" spans="4:7" ht="15.75">
      <c r="D35" s="691" t="s">
        <v>481</v>
      </c>
      <c r="E35" s="691"/>
      <c r="F35" s="691"/>
      <c r="G35" s="691"/>
    </row>
    <row r="36" spans="1:7" ht="15.75">
      <c r="A36" s="25"/>
      <c r="D36" s="691" t="s">
        <v>485</v>
      </c>
      <c r="E36" s="691"/>
      <c r="F36" s="691"/>
      <c r="G36" s="691"/>
    </row>
    <row r="37" spans="4:7" ht="15.75">
      <c r="D37" s="691"/>
      <c r="E37" s="691"/>
      <c r="F37" s="691"/>
      <c r="G37" s="691"/>
    </row>
    <row r="38" spans="4:7" ht="15.75">
      <c r="D38" s="691" t="s">
        <v>481</v>
      </c>
      <c r="E38" s="691"/>
      <c r="F38" s="691"/>
      <c r="G38" s="691"/>
    </row>
    <row r="39" spans="1:7" ht="15.75">
      <c r="A39" s="24"/>
      <c r="D39" s="691" t="s">
        <v>486</v>
      </c>
      <c r="E39" s="691"/>
      <c r="F39" s="691"/>
      <c r="G39" s="691"/>
    </row>
    <row r="40" spans="4:7" ht="15.75">
      <c r="D40" s="691"/>
      <c r="E40" s="691"/>
      <c r="F40" s="691"/>
      <c r="G40" s="691"/>
    </row>
    <row r="41" spans="4:7" ht="15.75">
      <c r="D41" s="691" t="s">
        <v>484</v>
      </c>
      <c r="E41" s="691"/>
      <c r="F41" s="691"/>
      <c r="G41" s="691"/>
    </row>
    <row r="42" spans="1:7" ht="15.75">
      <c r="A42" s="24"/>
      <c r="D42" s="691" t="s">
        <v>487</v>
      </c>
      <c r="E42" s="691"/>
      <c r="F42" s="691"/>
      <c r="G42" s="691"/>
    </row>
    <row r="43" ht="15.75">
      <c r="A43" s="26"/>
    </row>
    <row r="44" ht="15.75">
      <c r="A44" s="26"/>
    </row>
    <row r="45" ht="15.75">
      <c r="A45" s="26" t="s">
        <v>482</v>
      </c>
    </row>
    <row r="50" spans="3:4" ht="15.75">
      <c r="C50" s="32" t="s">
        <v>675</v>
      </c>
      <c r="D50" s="64"/>
    </row>
  </sheetData>
  <sheetProtection sheet="1" objects="1" scenarios="1"/>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8">
      <selection activeCell="B90" sqref="B9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West Cherry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4781001</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2012</v>
      </c>
      <c r="B11" s="16"/>
      <c r="C11" s="16"/>
      <c r="D11" s="16"/>
      <c r="E11" s="54">
        <f>SUM(E8:E10)</f>
        <v>4781001</v>
      </c>
    </row>
    <row r="12" spans="1:5" ht="15.75">
      <c r="A12" s="55" t="str">
        <f>CONCATENATE("New Improvements for ",E1-1,":")</f>
        <v>New Improvements for 2012:</v>
      </c>
      <c r="B12" s="10"/>
      <c r="C12" s="10"/>
      <c r="D12" s="10"/>
      <c r="E12" s="34"/>
    </row>
    <row r="13" spans="1:5" ht="15.75">
      <c r="A13" s="13" t="s">
        <v>557</v>
      </c>
      <c r="B13" s="14"/>
      <c r="C13" s="14"/>
      <c r="D13" s="14"/>
      <c r="E13" s="53">
        <v>0</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2">
        <f>SUM(E13:E15)</f>
        <v>0</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123918</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2">
        <f>SUM(E18:E20)</f>
        <v>123918</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50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2">
        <f>SUM(E23:E25)</f>
        <v>50</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209519</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2">
        <f>SUM(E28:E30)</f>
        <v>209519</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0.307</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0.307</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4911799</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4911799</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133</v>
      </c>
    </row>
    <row r="59" spans="1:5" ht="15.75">
      <c r="A59" s="15" t="s">
        <v>648</v>
      </c>
      <c r="B59" s="16"/>
      <c r="C59" s="16"/>
      <c r="D59" s="40"/>
      <c r="E59" s="2">
        <v>3</v>
      </c>
    </row>
    <row r="60" spans="1:5" ht="15.75">
      <c r="A60" s="15" t="s">
        <v>508</v>
      </c>
      <c r="B60" s="16"/>
      <c r="C60" s="16"/>
      <c r="D60" s="40"/>
      <c r="E60" s="2">
        <v>9</v>
      </c>
    </row>
    <row r="61" spans="1:5" ht="15.75">
      <c r="A61" s="45" t="s">
        <v>553</v>
      </c>
      <c r="B61" s="46"/>
      <c r="C61" s="16"/>
      <c r="D61" s="40"/>
      <c r="E61" s="31"/>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row>
    <row r="71" spans="1:5" ht="15.75">
      <c r="A71" s="15" t="s">
        <v>510</v>
      </c>
      <c r="B71" s="16"/>
      <c r="C71" s="16"/>
      <c r="D71" s="40"/>
      <c r="E71" s="2"/>
    </row>
    <row r="72" spans="1:5" ht="15.75">
      <c r="A72" s="15" t="s">
        <v>447</v>
      </c>
      <c r="B72" s="14"/>
      <c r="C72" s="14"/>
      <c r="D72" s="39"/>
      <c r="E72" s="2"/>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0.9739</v>
      </c>
    </row>
    <row r="77" spans="1:5" ht="15.75">
      <c r="A77" s="17" t="s">
        <v>556</v>
      </c>
      <c r="B77" s="17"/>
      <c r="C77" s="10"/>
      <c r="D77" s="10"/>
      <c r="E77" s="512">
        <v>0.01</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3475</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261</v>
      </c>
      <c r="C6" s="702"/>
      <c r="D6" s="702"/>
      <c r="E6" s="702"/>
      <c r="F6" s="702"/>
      <c r="G6" s="702"/>
      <c r="H6" s="702"/>
      <c r="I6" s="702"/>
      <c r="J6" s="702"/>
      <c r="K6" s="702"/>
      <c r="L6" s="425"/>
    </row>
    <row r="7" spans="1:12" ht="40.5" customHeight="1">
      <c r="A7" s="423"/>
      <c r="B7" s="703" t="s">
        <v>262</v>
      </c>
      <c r="C7" s="704"/>
      <c r="D7" s="704"/>
      <c r="E7" s="704"/>
      <c r="F7" s="704"/>
      <c r="G7" s="704"/>
      <c r="H7" s="704"/>
      <c r="I7" s="704"/>
      <c r="J7" s="704"/>
      <c r="K7" s="704"/>
      <c r="L7" s="423"/>
    </row>
    <row r="8" spans="1:12" ht="14.25">
      <c r="A8" s="423"/>
      <c r="B8" s="705" t="s">
        <v>263</v>
      </c>
      <c r="C8" s="705"/>
      <c r="D8" s="705"/>
      <c r="E8" s="705"/>
      <c r="F8" s="705"/>
      <c r="G8" s="705"/>
      <c r="H8" s="705"/>
      <c r="I8" s="705"/>
      <c r="J8" s="705"/>
      <c r="K8" s="705"/>
      <c r="L8" s="423"/>
    </row>
    <row r="9" spans="1:12" ht="14.25">
      <c r="A9" s="423"/>
      <c r="L9" s="423"/>
    </row>
    <row r="10" spans="1:12" ht="14.25">
      <c r="A10" s="423"/>
      <c r="B10" s="705" t="s">
        <v>264</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265</v>
      </c>
      <c r="C12" s="706"/>
      <c r="D12" s="706"/>
      <c r="E12" s="706"/>
      <c r="F12" s="706"/>
      <c r="G12" s="706"/>
      <c r="H12" s="706"/>
      <c r="I12" s="706"/>
      <c r="J12" s="706"/>
      <c r="K12" s="706"/>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0">
        <v>133685008</v>
      </c>
      <c r="G23" s="700"/>
      <c r="L23" s="423"/>
    </row>
    <row r="24" spans="1:12" ht="14.25">
      <c r="A24" s="423"/>
      <c r="L24" s="423"/>
    </row>
    <row r="25" spans="1:12" ht="14.25">
      <c r="A25" s="423"/>
      <c r="C25" s="707">
        <f>F23</f>
        <v>133685008</v>
      </c>
      <c r="D25" s="707"/>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262</v>
      </c>
      <c r="C30" s="708"/>
      <c r="D30" s="708"/>
      <c r="E30" s="708"/>
      <c r="F30" s="708"/>
      <c r="G30" s="708"/>
      <c r="H30" s="708"/>
      <c r="I30" s="708"/>
      <c r="J30" s="708"/>
      <c r="K30" s="708"/>
      <c r="L30" s="423"/>
    </row>
    <row r="31" spans="1:12" ht="14.25">
      <c r="A31" s="423"/>
      <c r="B31" s="705" t="s">
        <v>276</v>
      </c>
      <c r="C31" s="705"/>
      <c r="D31" s="705"/>
      <c r="E31" s="705"/>
      <c r="F31" s="705"/>
      <c r="G31" s="705"/>
      <c r="H31" s="705"/>
      <c r="I31" s="705"/>
      <c r="J31" s="705"/>
      <c r="K31" s="705"/>
      <c r="L31" s="423"/>
    </row>
    <row r="32" spans="1:12" ht="14.25">
      <c r="A32" s="423"/>
      <c r="L32" s="423"/>
    </row>
    <row r="33" spans="1:12" ht="14.25">
      <c r="A33" s="423"/>
      <c r="B33" s="705" t="s">
        <v>277</v>
      </c>
      <c r="C33" s="705"/>
      <c r="D33" s="705"/>
      <c r="E33" s="705"/>
      <c r="F33" s="705"/>
      <c r="G33" s="705"/>
      <c r="H33" s="705"/>
      <c r="I33" s="705"/>
      <c r="J33" s="705"/>
      <c r="K33" s="705"/>
      <c r="L33" s="423"/>
    </row>
    <row r="34" spans="1:12" ht="14.25">
      <c r="A34" s="423"/>
      <c r="L34" s="423"/>
    </row>
    <row r="35" spans="1:12" ht="89.25" customHeight="1">
      <c r="A35" s="423"/>
      <c r="B35" s="706" t="s">
        <v>278</v>
      </c>
      <c r="C35" s="709"/>
      <c r="D35" s="709"/>
      <c r="E35" s="709"/>
      <c r="F35" s="709"/>
      <c r="G35" s="709"/>
      <c r="H35" s="709"/>
      <c r="I35" s="709"/>
      <c r="J35" s="709"/>
      <c r="K35" s="709"/>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10">
        <v>3120000</v>
      </c>
      <c r="D41" s="710"/>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0">
        <v>133685008</v>
      </c>
      <c r="C48" s="700"/>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11" t="s">
        <v>286</v>
      </c>
      <c r="H50" s="712"/>
      <c r="I50" s="435" t="s">
        <v>272</v>
      </c>
      <c r="J50" s="445">
        <f>B50/F50</f>
        <v>52.8690023342034</v>
      </c>
      <c r="K50" s="437"/>
      <c r="L50" s="423"/>
    </row>
    <row r="51" spans="1:15" ht="15" thickBot="1">
      <c r="A51" s="423"/>
      <c r="B51" s="438"/>
      <c r="C51" s="439"/>
      <c r="D51" s="439"/>
      <c r="E51" s="439"/>
      <c r="F51" s="439"/>
      <c r="G51" s="439"/>
      <c r="H51" s="439"/>
      <c r="I51" s="713" t="s">
        <v>287</v>
      </c>
      <c r="J51" s="713"/>
      <c r="K51" s="714"/>
      <c r="L51" s="423"/>
      <c r="O51" s="446"/>
    </row>
    <row r="52" spans="1:12" ht="40.5" customHeight="1">
      <c r="A52" s="423"/>
      <c r="B52" s="708" t="s">
        <v>262</v>
      </c>
      <c r="C52" s="708"/>
      <c r="D52" s="708"/>
      <c r="E52" s="708"/>
      <c r="F52" s="708"/>
      <c r="G52" s="708"/>
      <c r="H52" s="708"/>
      <c r="I52" s="708"/>
      <c r="J52" s="708"/>
      <c r="K52" s="708"/>
      <c r="L52" s="423"/>
    </row>
    <row r="53" spans="1:12" ht="14.25">
      <c r="A53" s="423"/>
      <c r="B53" s="705" t="s">
        <v>288</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289</v>
      </c>
      <c r="C55" s="701"/>
      <c r="D55" s="701"/>
      <c r="E55" s="701"/>
      <c r="F55" s="701"/>
      <c r="G55" s="701"/>
      <c r="H55" s="701"/>
      <c r="I55" s="701"/>
      <c r="J55" s="701"/>
      <c r="K55" s="701"/>
      <c r="L55" s="423"/>
    </row>
    <row r="56" spans="1:12" ht="15" customHeight="1">
      <c r="A56" s="423"/>
      <c r="L56" s="423"/>
    </row>
    <row r="57" spans="1:24" ht="74.25" customHeight="1">
      <c r="A57" s="423"/>
      <c r="B57" s="706" t="s">
        <v>290</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0">
        <v>133685008</v>
      </c>
      <c r="D74" s="700"/>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0">
        <v>5000</v>
      </c>
      <c r="D77" s="700"/>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0">
        <v>100000</v>
      </c>
      <c r="D80" s="700"/>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262</v>
      </c>
      <c r="C85" s="708"/>
      <c r="D85" s="708"/>
      <c r="E85" s="708"/>
      <c r="F85" s="708"/>
      <c r="G85" s="708"/>
      <c r="H85" s="708"/>
      <c r="I85" s="708"/>
      <c r="J85" s="708"/>
      <c r="K85" s="708"/>
      <c r="L85" s="423"/>
    </row>
    <row r="86" spans="1:12" ht="14.25">
      <c r="A86" s="423"/>
      <c r="B86" s="701" t="s">
        <v>310</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311</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312</v>
      </c>
      <c r="C90" s="706"/>
      <c r="D90" s="706"/>
      <c r="E90" s="706"/>
      <c r="F90" s="706"/>
      <c r="G90" s="706"/>
      <c r="H90" s="706"/>
      <c r="I90" s="706"/>
      <c r="J90" s="706"/>
      <c r="K90" s="706"/>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0">
        <v>133685008</v>
      </c>
      <c r="D94" s="700"/>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0">
        <v>50000</v>
      </c>
      <c r="D97" s="700"/>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0">
        <v>2500000</v>
      </c>
      <c r="D100" s="700"/>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262</v>
      </c>
      <c r="C105" s="716"/>
      <c r="D105" s="716"/>
      <c r="E105" s="716"/>
      <c r="F105" s="716"/>
      <c r="G105" s="716"/>
      <c r="H105" s="716"/>
      <c r="I105" s="716"/>
      <c r="J105" s="716"/>
      <c r="K105" s="716"/>
      <c r="L105" s="423"/>
    </row>
    <row r="106" spans="1:12" ht="15" customHeight="1">
      <c r="A106" s="423"/>
      <c r="B106" s="717" t="s">
        <v>314</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315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0" t="s">
        <v>316</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0">
        <v>133685008</v>
      </c>
      <c r="D114" s="700"/>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0">
        <v>50000</v>
      </c>
      <c r="D117" s="700"/>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0">
        <v>2500000</v>
      </c>
      <c r="D120" s="700"/>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262</v>
      </c>
      <c r="C125" s="708"/>
      <c r="D125" s="708"/>
      <c r="E125" s="708"/>
      <c r="F125" s="708"/>
      <c r="G125" s="708"/>
      <c r="H125" s="708"/>
      <c r="I125" s="708"/>
      <c r="J125" s="708"/>
      <c r="K125" s="708"/>
      <c r="L125" s="477"/>
    </row>
    <row r="126" spans="1:12" ht="14.25">
      <c r="A126" s="423"/>
      <c r="B126" s="701" t="s">
        <v>317</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318</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319</v>
      </c>
      <c r="C130" s="706"/>
      <c r="D130" s="706"/>
      <c r="E130" s="706"/>
      <c r="F130" s="706"/>
      <c r="G130" s="706"/>
      <c r="H130" s="706"/>
      <c r="I130" s="706"/>
      <c r="J130" s="706"/>
      <c r="K130" s="706"/>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9" t="s">
        <v>320</v>
      </c>
      <c r="D133" s="719"/>
      <c r="E133" s="434"/>
      <c r="F133" s="435" t="s">
        <v>321</v>
      </c>
      <c r="G133" s="434"/>
      <c r="H133" s="719" t="s">
        <v>306</v>
      </c>
      <c r="I133" s="719"/>
      <c r="J133" s="434"/>
      <c r="K133" s="437"/>
      <c r="L133" s="423"/>
    </row>
    <row r="134" spans="1:12" ht="14.25">
      <c r="A134" s="423"/>
      <c r="B134" s="443" t="s">
        <v>299</v>
      </c>
      <c r="C134" s="700">
        <v>100000</v>
      </c>
      <c r="D134" s="700"/>
      <c r="E134" s="435" t="s">
        <v>661</v>
      </c>
      <c r="F134" s="435">
        <v>0.115</v>
      </c>
      <c r="G134" s="435" t="s">
        <v>272</v>
      </c>
      <c r="H134" s="724">
        <f>C134*F134</f>
        <v>11500</v>
      </c>
      <c r="I134" s="724"/>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9" t="s">
        <v>306</v>
      </c>
      <c r="D136" s="729"/>
      <c r="E136" s="454"/>
      <c r="F136" s="455" t="s">
        <v>322</v>
      </c>
      <c r="G136" s="455"/>
      <c r="H136" s="454"/>
      <c r="I136" s="454"/>
      <c r="J136" s="454" t="s">
        <v>323</v>
      </c>
      <c r="K136" s="456"/>
      <c r="L136" s="423"/>
    </row>
    <row r="137" spans="1:12" ht="14.25">
      <c r="A137" s="423"/>
      <c r="B137" s="443" t="s">
        <v>302</v>
      </c>
      <c r="C137" s="724">
        <f>H134</f>
        <v>11500</v>
      </c>
      <c r="D137" s="724"/>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1" t="s">
        <v>326</v>
      </c>
      <c r="C144" s="722"/>
      <c r="D144" s="722"/>
      <c r="E144" s="722"/>
      <c r="F144" s="722"/>
      <c r="G144" s="722"/>
      <c r="H144" s="722"/>
      <c r="I144" s="722"/>
      <c r="J144" s="722"/>
      <c r="K144" s="723"/>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24" t="s">
        <v>327</v>
      </c>
      <c r="D147" s="724"/>
      <c r="E147" s="435"/>
      <c r="F147" s="495" t="s">
        <v>328</v>
      </c>
      <c r="G147" s="435"/>
      <c r="H147" s="435"/>
      <c r="I147" s="435"/>
      <c r="J147" s="725" t="s">
        <v>329</v>
      </c>
      <c r="K147" s="726"/>
      <c r="L147" s="423"/>
    </row>
    <row r="148" spans="1:12" ht="14.25">
      <c r="A148" s="423"/>
      <c r="B148" s="443"/>
      <c r="C148" s="727">
        <v>52.869</v>
      </c>
      <c r="D148" s="727"/>
      <c r="E148" s="435" t="s">
        <v>661</v>
      </c>
      <c r="F148" s="500">
        <v>133685008</v>
      </c>
      <c r="G148" s="501" t="s">
        <v>273</v>
      </c>
      <c r="H148" s="435">
        <v>1000</v>
      </c>
      <c r="I148" s="435" t="s">
        <v>272</v>
      </c>
      <c r="J148" s="724">
        <f>C148*(F148/1000)</f>
        <v>7067792.687952</v>
      </c>
      <c r="K148" s="72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6:K86"/>
    <mergeCell ref="B88:K88"/>
    <mergeCell ref="B90:K90"/>
    <mergeCell ref="C94:D94"/>
    <mergeCell ref="B110:K110"/>
    <mergeCell ref="C114:D114"/>
    <mergeCell ref="B126:K126"/>
    <mergeCell ref="C100:D100"/>
    <mergeCell ref="C103:D103"/>
    <mergeCell ref="B105:K105"/>
    <mergeCell ref="B106:K106"/>
    <mergeCell ref="B108:K108"/>
    <mergeCell ref="C123:D123"/>
    <mergeCell ref="B125:K125"/>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9" sqref="B9"/>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839</v>
      </c>
      <c r="C5" s="392"/>
      <c r="D5" s="220" t="s">
        <v>10</v>
      </c>
    </row>
    <row r="6" spans="1:4" ht="15.75">
      <c r="A6" s="220"/>
      <c r="B6" s="393"/>
      <c r="C6" s="394"/>
      <c r="D6" s="220" t="s">
        <v>9</v>
      </c>
    </row>
    <row r="7" spans="1:4" ht="15.75">
      <c r="A7" s="220" t="s">
        <v>793</v>
      </c>
      <c r="B7" s="391" t="s">
        <v>840</v>
      </c>
      <c r="C7" s="395"/>
      <c r="D7" s="220"/>
    </row>
    <row r="8" spans="1:4" ht="15.75">
      <c r="A8" s="220"/>
      <c r="B8" s="220"/>
      <c r="C8" s="220"/>
      <c r="D8" s="220"/>
    </row>
    <row r="9" spans="1:5" ht="15.75">
      <c r="A9" s="220" t="s">
        <v>794</v>
      </c>
      <c r="B9" s="157" t="s">
        <v>841</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6">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417</v>
      </c>
      <c r="B1" s="629"/>
      <c r="C1" s="629"/>
      <c r="D1" s="629"/>
      <c r="E1" s="629"/>
      <c r="F1" s="629"/>
      <c r="G1" s="66">
        <f>inputPrYr!D9</f>
        <v>2013</v>
      </c>
    </row>
    <row r="2" spans="2:6" s="66" customFormat="1" ht="15.75">
      <c r="B2" s="67"/>
      <c r="C2" s="67"/>
      <c r="D2" s="67"/>
      <c r="E2" s="67"/>
      <c r="F2" s="68"/>
    </row>
    <row r="3" spans="1:7" s="66" customFormat="1" ht="15.75">
      <c r="A3" s="633" t="str">
        <f>CONCATENATE("To the Clerk of ",inputPrYr!D4,", State of Kansas")</f>
        <v>To the Clerk of Montgomery County, State of Kansas</v>
      </c>
      <c r="B3" s="634"/>
      <c r="C3" s="634"/>
      <c r="D3" s="634"/>
      <c r="E3" s="634"/>
      <c r="F3" s="634"/>
      <c r="G3" s="634"/>
    </row>
    <row r="4" spans="1:6" s="66" customFormat="1" ht="15.75">
      <c r="A4" s="70" t="s">
        <v>499</v>
      </c>
      <c r="B4" s="67"/>
      <c r="C4" s="67"/>
      <c r="D4" s="67"/>
      <c r="E4" s="67"/>
      <c r="F4" s="67"/>
    </row>
    <row r="5" s="66" customFormat="1" ht="15.75">
      <c r="C5" s="599" t="str">
        <f>inputPrYr!D3</f>
        <v>West Cherry Township</v>
      </c>
    </row>
    <row r="6" spans="1:6" s="66" customFormat="1" ht="15.75">
      <c r="A6" s="638" t="s">
        <v>497</v>
      </c>
      <c r="B6" s="634"/>
      <c r="C6" s="634"/>
      <c r="D6" s="634"/>
      <c r="E6" s="634"/>
      <c r="F6" s="634"/>
    </row>
    <row r="7" spans="1:6" s="66" customFormat="1" ht="15.75" customHeight="1">
      <c r="A7" s="633" t="s">
        <v>498</v>
      </c>
      <c r="B7" s="639"/>
      <c r="C7" s="639"/>
      <c r="D7" s="639"/>
      <c r="E7" s="639"/>
      <c r="F7" s="63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35" t="str">
        <f>CONCATENATE("",G1," Adopted Budget")</f>
        <v>2013 Adopted Budget</v>
      </c>
      <c r="E11" s="636"/>
      <c r="F11" s="637"/>
    </row>
    <row r="12" spans="1:6" s="66" customFormat="1" ht="15.75">
      <c r="A12" s="74"/>
      <c r="C12" s="72"/>
      <c r="D12" s="75" t="s">
        <v>649</v>
      </c>
      <c r="E12" s="630" t="str">
        <f>CONCATENATE("Amount of ",G1-1," Ad Valorem Tax")</f>
        <v>Amount of 2012 Ad Valorem Tax</v>
      </c>
      <c r="F12" s="76" t="s">
        <v>650</v>
      </c>
    </row>
    <row r="13" spans="3:6" s="66" customFormat="1" ht="15.75">
      <c r="C13" s="76" t="s">
        <v>651</v>
      </c>
      <c r="D13" s="525" t="s">
        <v>578</v>
      </c>
      <c r="E13" s="631"/>
      <c r="F13" s="78" t="s">
        <v>652</v>
      </c>
    </row>
    <row r="14" spans="1:6" s="66" customFormat="1" ht="15.75">
      <c r="A14" s="79" t="s">
        <v>653</v>
      </c>
      <c r="B14" s="80"/>
      <c r="C14" s="81" t="s">
        <v>654</v>
      </c>
      <c r="D14" s="526" t="s">
        <v>330</v>
      </c>
      <c r="E14" s="632"/>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4722</v>
      </c>
      <c r="E20" s="85">
        <f>IF(gen!$E$53&lt;&gt;0,gen!$E$53,0)</f>
        <v>1448.3400000000001</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498</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5220</v>
      </c>
      <c r="E37" s="102">
        <f>SUM(E20:E36)</f>
        <v>1448.3400000000001</v>
      </c>
      <c r="F37" s="103">
        <f>IF(SUM(F20:F36)&gt;0,SUM(F20:F36),"")</f>
      </c>
    </row>
    <row r="38" spans="1:3" s="66" customFormat="1" ht="16.5" thickTop="1">
      <c r="A38" s="87" t="s">
        <v>515</v>
      </c>
      <c r="B38" s="83"/>
      <c r="C38" s="98">
        <f>summ!C52</f>
        <v>8</v>
      </c>
    </row>
    <row r="39" spans="1:5" s="66" customFormat="1" ht="15.75">
      <c r="A39" s="82" t="s">
        <v>571</v>
      </c>
      <c r="B39" s="83"/>
      <c r="C39" s="98">
        <f>IF(nhood!C39&gt;0,nhood!C39,"")</f>
        <v>9</v>
      </c>
      <c r="D39" s="104" t="s">
        <v>505</v>
      </c>
      <c r="E39" s="105" t="str">
        <f>IF(E37&gt;computation!J34,"Yes","No")</f>
        <v>No</v>
      </c>
    </row>
    <row r="40" spans="1:5" s="66" customFormat="1" ht="15.75">
      <c r="A40" s="87" t="s">
        <v>504</v>
      </c>
      <c r="B40" s="83"/>
      <c r="C40" s="98">
        <f>IF(Resolution!D50&gt;0,Resolution!D50,"")</f>
      </c>
      <c r="D40" s="106"/>
      <c r="E40" s="107"/>
    </row>
    <row r="41" spans="1:6" s="66" customFormat="1" ht="15.75">
      <c r="A41" s="82" t="s">
        <v>445</v>
      </c>
      <c r="B41" s="640" t="s">
        <v>471</v>
      </c>
      <c r="C41" s="641"/>
      <c r="D41" s="109"/>
      <c r="F41" s="74" t="s">
        <v>662</v>
      </c>
    </row>
    <row r="42" spans="1:6" s="66" customFormat="1" ht="15.75">
      <c r="A42" s="82" t="str">
        <f>inputPrYr!D3</f>
        <v>West Cherry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585</v>
      </c>
      <c r="B45" s="648">
        <f>SUM(B42:C44)</f>
        <v>0</v>
      </c>
      <c r="C45" s="649"/>
      <c r="D45" s="110"/>
      <c r="F45" s="74"/>
    </row>
    <row r="46" spans="1:6" s="66" customFormat="1" ht="15.75">
      <c r="A46" s="111"/>
      <c r="B46" s="644" t="str">
        <f>CONCATENATE("Nov. 1, ",G1-1," Valuation")</f>
        <v>Nov. 1, 2012 Valuation</v>
      </c>
      <c r="C46" s="645"/>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46" t="s">
        <v>664</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West Cherry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29"/>
      <c r="C3" s="629"/>
      <c r="D3" s="629"/>
      <c r="E3" s="629"/>
      <c r="F3" s="629"/>
      <c r="G3" s="629"/>
      <c r="H3" s="629"/>
      <c r="I3" s="629"/>
      <c r="J3" s="629"/>
    </row>
    <row r="4" spans="1:10" ht="15.75">
      <c r="A4" s="66"/>
      <c r="B4" s="66"/>
      <c r="C4" s="66"/>
      <c r="D4" s="66"/>
      <c r="E4" s="629"/>
      <c r="F4" s="629"/>
      <c r="G4" s="629"/>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1509</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1509</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0</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123918</v>
      </c>
      <c r="F14" s="270"/>
      <c r="G14" s="194"/>
      <c r="H14" s="194"/>
      <c r="I14" s="274"/>
      <c r="J14" s="194"/>
    </row>
    <row r="15" spans="1:10" ht="15.75">
      <c r="A15" s="269"/>
      <c r="B15" s="66" t="s">
        <v>435</v>
      </c>
      <c r="C15" s="66" t="str">
        <f>CONCATENATE("Personal Property ",J1-2,"")</f>
        <v>Personal Property 2011</v>
      </c>
      <c r="D15" s="269" t="s">
        <v>430</v>
      </c>
      <c r="E15" s="273">
        <f>inputOth!E31</f>
        <v>209519</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50</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50</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4781001</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4780951</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1.0458170351463547E-05</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0</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1509</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1509</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West Cherry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35"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f>IF(inputPrYr!E20&gt;0,inputPrYr!E20,"  ")</f>
        <v>1509</v>
      </c>
      <c r="E12" s="239">
        <f>IF(inputOth!D37&gt;0,inputOth!D37,"  ")</f>
        <v>0.307</v>
      </c>
      <c r="F12" s="240"/>
      <c r="G12" s="92">
        <f>IF(inputPrYr!E20=0,0,G25-SUM(G13:G22))</f>
        <v>133</v>
      </c>
      <c r="H12" s="241"/>
      <c r="I12" s="92">
        <f>IF(inputPrYr!E20=0,0,I27-SUM(I13:I22))</f>
        <v>3</v>
      </c>
      <c r="J12" s="92">
        <f>IF(inputPrYr!E20=0,0,J29-SUM(J13:J22))</f>
        <v>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1509</v>
      </c>
      <c r="E23" s="244">
        <f>SUM(E12:E22)</f>
        <v>0.307</v>
      </c>
      <c r="F23" s="245"/>
      <c r="G23" s="243">
        <f t="shared" si="0"/>
        <v>133</v>
      </c>
      <c r="H23" s="243"/>
      <c r="I23" s="243">
        <f t="shared" si="0"/>
        <v>3</v>
      </c>
      <c r="J23" s="243">
        <f t="shared" si="0"/>
        <v>9</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133</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3</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9</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0.08813783962889331</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0.0019880715705765406</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0.005964214711729622</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West Cherry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516</v>
      </c>
      <c r="B5" s="629"/>
      <c r="C5" s="629"/>
      <c r="D5" s="629"/>
      <c r="E5" s="629"/>
      <c r="F5" s="629"/>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2012-06-26T22:48:42Z</cp:lastPrinted>
  <dcterms:created xsi:type="dcterms:W3CDTF">1998-08-26T16:30:41Z</dcterms:created>
  <dcterms:modified xsi:type="dcterms:W3CDTF">2012-08-17T18:36:11Z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