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90" yWindow="1545" windowWidth="11970" windowHeight="8790" tabRatio="718" firstSheet="8" activeTab="1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DebtService" sheetId="12" r:id="rId12"/>
    <sheet name="levypage10" sheetId="13" r:id="rId13"/>
    <sheet name="NonBudFunds" sheetId="14" r:id="rId14"/>
    <sheet name="summ" sheetId="15" r:id="rId15"/>
    <sheet name="nhood" sheetId="16" r:id="rId16"/>
    <sheet name="Resolution" sheetId="17" r:id="rId17"/>
    <sheet name="Tab A" sheetId="18" r:id="rId18"/>
    <sheet name="Tab B" sheetId="19" r:id="rId19"/>
    <sheet name="Tab C" sheetId="20" r:id="rId20"/>
    <sheet name="Tab D" sheetId="21" r:id="rId21"/>
    <sheet name="Tab E" sheetId="22" r:id="rId22"/>
  </sheets>
  <definedNames>
    <definedName name="_xlnm.Print_Area" localSheetId="11">'DebtService'!$B$1:$E$60</definedName>
    <definedName name="_xlnm.Print_Area" localSheetId="10">'gen'!$B$1:$E$57</definedName>
    <definedName name="_xlnm.Print_Area" localSheetId="1">'inputPrYr'!$A$1:$E$91</definedName>
    <definedName name="_xlnm.Print_Area" localSheetId="14">'summ'!$A$1:$H$52</definedName>
  </definedNames>
  <calcPr fullCalcOnLoad="1"/>
</workbook>
</file>

<file path=xl/sharedStrings.xml><?xml version="1.0" encoding="utf-8"?>
<sst xmlns="http://schemas.openxmlformats.org/spreadsheetml/2006/main" count="833" uniqueCount="601">
  <si>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</si>
  <si>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</si>
  <si>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</si>
  <si>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</si>
  <si>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</si>
  <si>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</si>
  <si>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</si>
  <si>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</si>
  <si>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</si>
  <si>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</si>
  <si>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</si>
  <si>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Transfer can not exceed 25% Resources Available</t>
  </si>
  <si>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</si>
  <si>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</si>
  <si>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</si>
  <si>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</si>
  <si>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</si>
  <si>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</si>
  <si>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</si>
  <si>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</si>
  <si>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</si>
  <si>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</si>
  <si>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</si>
  <si>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</si>
  <si>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</si>
  <si>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</si>
  <si>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</si>
  <si>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</si>
  <si>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</si>
  <si>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</si>
  <si>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</si>
  <si>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</si>
  <si>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</si>
  <si>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</si>
  <si>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</si>
  <si>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</si>
  <si>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</si>
  <si>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</si>
  <si>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</si>
  <si>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</si>
  <si>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</si>
  <si>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</si>
  <si>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</si>
  <si>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</si>
  <si>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</si>
  <si>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</si>
  <si>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</si>
  <si>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</si>
  <si>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</si>
  <si>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</si>
  <si>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</si>
  <si>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</si>
  <si>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</si>
  <si>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</si>
  <si>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</si>
  <si>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</si>
  <si>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</si>
  <si>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</si>
  <si>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</si>
  <si>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</si>
  <si>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</si>
  <si>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</si>
  <si>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</si>
  <si>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</si>
  <si>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</si>
  <si>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</si>
  <si>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</si>
  <si>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</si>
  <si>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</si>
  <si>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</si>
  <si>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</si>
  <si>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</si>
  <si>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</si>
  <si>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</si>
  <si>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</si>
  <si>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</si>
  <si>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</si>
  <si>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</si>
  <si>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</si>
  <si>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</si>
  <si>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</si>
  <si>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</si>
  <si>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</si>
  <si>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</si>
  <si>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</si>
  <si>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</si>
  <si>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</si>
  <si>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</si>
  <si>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</si>
  <si>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</si>
  <si>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</si>
  <si>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</si>
  <si>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</si>
  <si>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</si>
  <si>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</si>
  <si>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</si>
  <si>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</si>
  <si>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</si>
  <si>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</si>
  <si>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</si>
  <si>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</si>
  <si>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</si>
  <si>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</si>
  <si>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</si>
  <si>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</si>
  <si>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</si>
  <si>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</si>
  <si>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</si>
  <si>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</si>
  <si>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</si>
  <si>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</si>
  <si>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</si>
  <si>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</si>
  <si>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</si>
  <si>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</si>
  <si>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</si>
  <si>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</si>
  <si>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</si>
  <si>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</si>
  <si>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</si>
  <si>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</si>
  <si>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</si>
  <si>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</si>
  <si>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</si>
  <si>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</si>
  <si>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</si>
  <si>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</si>
  <si>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</si>
  <si>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</si>
  <si>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</si>
  <si>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</si>
  <si>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</si>
  <si>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</si>
  <si>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</si>
  <si>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</si>
  <si>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</si>
  <si>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</si>
  <si>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</si>
  <si>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</si>
  <si>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</si>
  <si>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</si>
  <si>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</si>
  <si>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</si>
  <si>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</si>
  <si>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</si>
  <si>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</si>
  <si>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</si>
  <si>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</si>
  <si>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</si>
  <si>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</si>
  <si>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</si>
  <si>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</si>
  <si>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</si>
  <si>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</si>
  <si>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</si>
  <si>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</si>
  <si>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</si>
  <si>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</si>
  <si>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</si>
  <si>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</si>
  <si>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</si>
  <si>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</si>
  <si>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</si>
  <si>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</si>
  <si>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</si>
  <si>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</si>
  <si>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</si>
  <si>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</si>
  <si>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</si>
  <si>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</si>
  <si>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</si>
  <si>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</si>
  <si>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</si>
  <si>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</si>
  <si>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</si>
  <si>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</si>
  <si>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</si>
  <si>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</si>
  <si>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</si>
  <si>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</si>
  <si>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</si>
  <si>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</si>
  <si>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</si>
  <si>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</si>
  <si>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</si>
  <si>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</si>
  <si>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</si>
  <si>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</si>
  <si>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</si>
  <si>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</si>
  <si>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</si>
  <si>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</si>
  <si>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</si>
  <si>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</si>
  <si>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</si>
  <si>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</si>
  <si>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</si>
  <si>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</si>
  <si>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</si>
  <si>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</si>
  <si>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</si>
  <si>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</si>
  <si>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</si>
  <si>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</si>
  <si>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</si>
  <si>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</si>
  <si>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</si>
  <si>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</si>
  <si>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</si>
  <si>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</si>
  <si>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</si>
  <si>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</si>
  <si>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</si>
  <si>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</si>
  <si>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</si>
  <si>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</si>
  <si>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</si>
  <si>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</si>
  <si>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</si>
  <si>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</si>
  <si>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</si>
  <si>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</si>
  <si>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</si>
  <si>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</si>
  <si>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</si>
  <si>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for Expenditures</t>
  </si>
  <si>
    <t>Non-Appropriated Balance</t>
  </si>
  <si>
    <t>Total Expenditure/Non-Appr Balance</t>
  </si>
  <si>
    <t>Delinquent Comp Rate:</t>
  </si>
  <si>
    <t>Does misc. exceed 10% of Total Expenditures</t>
  </si>
  <si>
    <t>Lease Purchase Principal</t>
  </si>
  <si>
    <t>Desired Carryover Amount:</t>
  </si>
  <si>
    <t>Estimated Mill Rate Impact:</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</si>
  <si>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</si>
  <si>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</si>
  <si>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</si>
  <si>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</si>
  <si>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</si>
  <si>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</si>
  <si>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</si>
  <si>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</si>
  <si>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</si>
  <si>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</si>
  <si>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</si>
  <si>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</si>
  <si>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</si>
  <si>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</si>
  <si>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</si>
  <si>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</si>
  <si>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</si>
  <si>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</si>
  <si>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</si>
  <si>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</si>
  <si>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</si>
  <si>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</si>
  <si>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</si>
  <si>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</si>
  <si>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</si>
  <si>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</si>
  <si>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</si>
  <si>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</si>
  <si>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</si>
  <si>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</si>
  <si>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</si>
  <si>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</si>
  <si>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</si>
  <si>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</si>
  <si>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</si>
  <si>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</si>
  <si>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</si>
  <si>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</si>
  <si>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</si>
  <si>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</si>
  <si>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</si>
  <si>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</si>
  <si>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</si>
  <si>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</si>
  <si>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</si>
  <si>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</si>
  <si>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</si>
  <si>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</si>
  <si>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</si>
  <si>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</si>
  <si>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</si>
  <si>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</si>
  <si>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</si>
  <si>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</si>
  <si>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</si>
  <si>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</si>
  <si>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</si>
  <si>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</si>
  <si>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</si>
  <si>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</si>
  <si>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</si>
  <si>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</si>
  <si>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</si>
  <si>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</si>
  <si>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</si>
  <si>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</si>
  <si>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</si>
  <si>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</si>
  <si>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</si>
  <si>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</si>
  <si>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</si>
  <si>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</si>
  <si>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</si>
  <si>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</si>
  <si>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</si>
  <si>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</si>
  <si>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</si>
  <si>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</si>
  <si>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</si>
  <si>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</si>
  <si>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</si>
  <si>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</si>
  <si>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</si>
  <si>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</si>
  <si>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</si>
  <si>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</si>
  <si>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</si>
  <si>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</si>
  <si>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</si>
  <si>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</si>
  <si>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</si>
  <si>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</si>
  <si>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</si>
  <si>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</si>
  <si>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</si>
  <si>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</si>
  <si>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</si>
  <si>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</si>
  <si>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</si>
  <si>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</si>
  <si>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</si>
  <si>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</si>
  <si>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</si>
  <si>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</si>
  <si>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</si>
  <si>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</si>
  <si>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</si>
  <si>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</si>
  <si>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</si>
  <si>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</si>
  <si>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</si>
  <si>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</si>
  <si>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</si>
  <si>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</si>
  <si>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</si>
  <si>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</si>
  <si>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</si>
  <si>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</si>
  <si>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</si>
  <si>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</si>
  <si>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</si>
  <si>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</si>
  <si>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</si>
  <si>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</si>
  <si>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</si>
  <si>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</si>
  <si>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</si>
  <si>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</si>
  <si>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</si>
  <si>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</si>
  <si>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</si>
  <si>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</si>
  <si>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</si>
  <si>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</si>
  <si>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</si>
  <si>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</si>
  <si>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</si>
  <si>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</si>
  <si>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</si>
  <si>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</si>
  <si>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</si>
  <si>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</si>
  <si>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</si>
  <si>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</si>
  <si>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</si>
  <si>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</si>
  <si>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</si>
  <si>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</si>
  <si>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</si>
  <si>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</si>
  <si>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</si>
  <si>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</si>
  <si>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</si>
  <si>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</si>
  <si>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</si>
  <si>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</si>
  <si>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</si>
  <si>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</si>
  <si>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</si>
  <si>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</si>
  <si>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</si>
  <si>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</si>
  <si>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</si>
  <si>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</si>
  <si>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</si>
  <si>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</si>
  <si>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</si>
  <si>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</si>
  <si>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</si>
  <si>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</si>
  <si>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</si>
  <si>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</si>
  <si>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</si>
  <si>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</si>
  <si>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</si>
  <si>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</si>
  <si>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</si>
  <si>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</si>
  <si>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</si>
  <si>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</si>
  <si>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</si>
  <si>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</si>
  <si>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</si>
  <si>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</si>
  <si>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</si>
  <si>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Neighborhood Revitalization</t>
  </si>
  <si>
    <t>County Treasurer's Slider Estimate</t>
  </si>
  <si>
    <t>Slider Factor</t>
  </si>
  <si>
    <t>Alloc of MVT, RVT, 16/20M Vehicles &amp; Slider</t>
  </si>
  <si>
    <t>Funds</t>
  </si>
  <si>
    <t>Budget Authority</t>
  </si>
  <si>
    <t xml:space="preserve">expenditure amounts should reflect the amended </t>
  </si>
  <si>
    <t>expenditure amounts.</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</si>
  <si>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</si>
  <si>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</si>
  <si>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</si>
  <si>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</si>
  <si>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</si>
  <si>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</si>
  <si>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</si>
  <si>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</si>
  <si>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</si>
  <si>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</si>
  <si>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</si>
  <si>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</si>
  <si>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</si>
  <si>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</si>
  <si>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</si>
  <si>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</si>
  <si>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</si>
  <si>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</si>
  <si>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</si>
  <si>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</si>
  <si>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</si>
  <si>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</si>
  <si>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</si>
  <si>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</si>
  <si>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</si>
  <si>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</si>
  <si>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</si>
  <si>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</si>
  <si>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</si>
  <si>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</si>
  <si>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</si>
  <si>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</si>
  <si>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</si>
  <si>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</si>
  <si>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</si>
  <si>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</si>
  <si>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</si>
  <si>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</si>
  <si>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</si>
  <si>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</si>
  <si>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</si>
  <si>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</si>
  <si>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</si>
  <si>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</si>
  <si>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</si>
  <si>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</si>
  <si>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</si>
  <si>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</si>
  <si>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</si>
  <si>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</si>
  <si>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</si>
  <si>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</si>
  <si>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</si>
  <si>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</si>
  <si>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</si>
  <si>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</si>
  <si>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</si>
  <si>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</si>
  <si>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</si>
  <si>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</si>
  <si>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</si>
  <si>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</si>
  <si>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</si>
  <si>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</si>
  <si>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</si>
  <si>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</si>
  <si>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</si>
  <si>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</si>
  <si>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</si>
  <si>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</si>
  <si>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</si>
  <si>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</si>
  <si>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</si>
  <si>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Tax Required</t>
  </si>
  <si>
    <t>%</t>
  </si>
  <si>
    <t>Actual</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</si>
  <si>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</si>
  <si>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</si>
  <si>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</si>
  <si>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</si>
  <si>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</si>
  <si>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</si>
  <si>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</si>
  <si>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</si>
  <si>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</si>
  <si>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</si>
  <si>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</si>
  <si>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Debt Service</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</si>
  <si>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</si>
  <si>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</si>
  <si>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</si>
  <si>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</si>
  <si>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</si>
  <si>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</si>
  <si>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</si>
  <si>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</si>
  <si>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</si>
  <si>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</si>
  <si>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</si>
  <si>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</si>
  <si>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</si>
  <si>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</si>
  <si>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</si>
  <si>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</si>
  <si>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</si>
  <si>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</si>
  <si>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</si>
  <si>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</si>
  <si>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</si>
  <si>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</si>
  <si>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</si>
  <si>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</si>
  <si>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</si>
  <si>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</si>
  <si>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</si>
  <si>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</si>
  <si>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</si>
  <si>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</si>
  <si>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</si>
  <si>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</si>
  <si>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Fire Protection</t>
  </si>
  <si>
    <t>80-1503</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</si>
  <si>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</si>
  <si>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</si>
  <si>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</si>
  <si>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</si>
  <si>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</si>
  <si>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</si>
  <si>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</si>
  <si>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</si>
  <si>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</si>
  <si>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</si>
  <si>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</si>
  <si>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</si>
  <si>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</si>
  <si>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</si>
  <si>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</si>
  <si>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</si>
  <si>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</si>
  <si>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</si>
  <si>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</si>
  <si>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</si>
  <si>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</si>
  <si>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</si>
  <si>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</si>
  <si>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</si>
  <si>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</si>
  <si>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</si>
  <si>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</si>
  <si>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</si>
  <si>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</si>
  <si>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</si>
  <si>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</si>
  <si>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</si>
  <si>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</si>
  <si>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</si>
  <si>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</si>
  <si>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</si>
  <si>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</si>
  <si>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Montgomery County</t>
  </si>
  <si>
    <t>Montgomery County Clerk's Office, Courthouse, Independence</t>
  </si>
  <si>
    <t>Liberty Township</t>
  </si>
  <si>
    <t>Liberty City</t>
  </si>
  <si>
    <t>Hall</t>
  </si>
  <si>
    <t>80-115</t>
  </si>
  <si>
    <t>Publication</t>
  </si>
  <si>
    <t>Operations</t>
  </si>
  <si>
    <t>Utilities</t>
  </si>
  <si>
    <t>Rent from Building</t>
  </si>
  <si>
    <t>Certificate of Deposit</t>
  </si>
  <si>
    <t xml:space="preserve">Building Maintenance </t>
  </si>
  <si>
    <t>Repayment of Loan and repairs</t>
  </si>
  <si>
    <t>August 8, 2012</t>
  </si>
  <si>
    <t>12:00 PM</t>
  </si>
  <si>
    <t>Liberty Township Hall</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</si>
</sst>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72">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13"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12"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554">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4" fillId="0" borderId="0" xfId="0" applyFont="1" applyAlignment="1">
      <alignment horizontal="center"/>
    </xf>
    <xf numFmtId="0" fontId="9" fillId="0" borderId="0" xfId="0" applyFont="1" applyAlignment="1">
      <alignment horizontal="center"/>
    </xf>
    <xf numFmtId="0" fontId="15" fillId="0" borderId="0" xfId="0" applyFont="1" applyAlignment="1">
      <alignment/>
    </xf>
    <xf numFmtId="0" fontId="9" fillId="0" borderId="0" xfId="0" applyFont="1" applyAlignment="1">
      <alignment/>
    </xf>
    <xf numFmtId="0" fontId="9" fillId="0" borderId="0" xfId="0" applyFont="1" applyAlignment="1">
      <alignment horizontal="left" indent="1"/>
    </xf>
    <xf numFmtId="0" fontId="16" fillId="0" borderId="0" xfId="0" applyFont="1" applyAlignment="1">
      <alignment/>
    </xf>
    <xf numFmtId="0" fontId="9" fillId="0" borderId="0" xfId="0" applyFont="1" applyAlignment="1">
      <alignment horizontal="left"/>
    </xf>
    <xf numFmtId="0" fontId="14" fillId="0" borderId="0" xfId="0" applyFont="1" applyAlignment="1">
      <alignment horizontal="left"/>
    </xf>
    <xf numFmtId="0" fontId="15"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19"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7" fillId="34" borderId="0" xfId="0" applyFont="1" applyFill="1" applyAlignment="1">
      <alignment/>
    </xf>
    <xf numFmtId="0" fontId="21" fillId="34" borderId="0" xfId="0" applyFont="1" applyFill="1" applyAlignment="1">
      <alignment/>
    </xf>
    <xf numFmtId="37" fontId="6" fillId="34" borderId="10" xfId="0" applyNumberFormat="1" applyFont="1" applyFill="1" applyBorder="1" applyAlignment="1">
      <alignment/>
    </xf>
    <xf numFmtId="0" fontId="21"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7"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7"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37"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7" fontId="19"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3" applyFont="1" applyFill="1" applyBorder="1" applyAlignment="1" applyProtection="1">
      <alignment horizontal="left" vertical="center"/>
      <protection/>
    </xf>
    <xf numFmtId="0" fontId="5" fillId="34" borderId="27" xfId="473" applyFont="1" applyFill="1" applyBorder="1" applyAlignment="1" applyProtection="1">
      <alignment vertical="center"/>
      <protection/>
    </xf>
    <xf numFmtId="0" fontId="5" fillId="34" borderId="15" xfId="473" applyFont="1" applyFill="1" applyBorder="1" applyAlignment="1" applyProtection="1">
      <alignment vertical="center"/>
      <protection/>
    </xf>
    <xf numFmtId="3" fontId="5" fillId="34" borderId="20" xfId="473" applyNumberFormat="1" applyFont="1" applyFill="1" applyBorder="1" applyAlignment="1" applyProtection="1">
      <alignment vertical="center"/>
      <protection/>
    </xf>
    <xf numFmtId="37" fontId="5" fillId="36" borderId="10" xfId="473" applyNumberFormat="1" applyFont="1" applyFill="1" applyBorder="1" applyAlignment="1" applyProtection="1">
      <alignment vertical="center"/>
      <protection/>
    </xf>
    <xf numFmtId="0" fontId="5" fillId="34" borderId="20" xfId="473"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3"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7" fillId="37" borderId="10" xfId="0" applyNumberFormat="1" applyFont="1" applyFill="1" applyBorder="1" applyAlignment="1" applyProtection="1">
      <alignment horizontal="center" vertical="center"/>
      <protection/>
    </xf>
    <xf numFmtId="0" fontId="17" fillId="0" borderId="0" xfId="0" applyFont="1" applyAlignment="1" applyProtection="1">
      <alignment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1" fontId="6" fillId="34" borderId="0" xfId="0" applyNumberFormat="1" applyFont="1" applyFill="1" applyAlignment="1" applyProtection="1">
      <alignment horizontal="right" vertical="center"/>
      <protection/>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0" fontId="28" fillId="0" borderId="0" xfId="0" applyFont="1" applyAlignment="1">
      <alignment horizontal="center" vertical="center"/>
    </xf>
    <xf numFmtId="0" fontId="27" fillId="0" borderId="0" xfId="0" applyFont="1" applyAlignment="1">
      <alignment vertical="center"/>
    </xf>
    <xf numFmtId="0" fontId="6" fillId="0" borderId="0" xfId="373" applyFont="1" applyAlignment="1">
      <alignment vertical="center" wrapText="1"/>
      <protection/>
    </xf>
    <xf numFmtId="0" fontId="9" fillId="0" borderId="0" xfId="0" applyFont="1" applyAlignment="1">
      <alignment vertical="center"/>
    </xf>
    <xf numFmtId="0" fontId="15" fillId="0" borderId="0" xfId="0" applyFont="1" applyAlignment="1">
      <alignment vertical="center" wrapText="1"/>
    </xf>
    <xf numFmtId="0" fontId="23" fillId="0" borderId="0" xfId="0" applyFont="1" applyAlignment="1">
      <alignment vertical="center"/>
    </xf>
    <xf numFmtId="0" fontId="29" fillId="0" borderId="0" xfId="0" applyFont="1" applyAlignment="1">
      <alignment horizontal="center" vertical="center"/>
    </xf>
    <xf numFmtId="0" fontId="0" fillId="0" borderId="0" xfId="0" applyAlignment="1">
      <alignment horizontal="left" vertical="center"/>
    </xf>
    <xf numFmtId="0" fontId="0" fillId="0" borderId="0" xfId="0" applyNumberFormat="1" applyFont="1" applyAlignment="1">
      <alignment horizontal="left" vertical="center"/>
    </xf>
    <xf numFmtId="49" fontId="6" fillId="33" borderId="0" xfId="0" applyNumberFormat="1" applyFont="1" applyFill="1" applyAlignment="1" applyProtection="1">
      <alignment horizontal="left" vertical="center"/>
      <protection locked="0"/>
    </xf>
    <xf numFmtId="183" fontId="25" fillId="0" borderId="0" xfId="0" applyNumberFormat="1" applyFont="1" applyAlignment="1">
      <alignment horizontal="left" vertical="center"/>
    </xf>
    <xf numFmtId="49" fontId="6" fillId="0" borderId="0" xfId="0" applyNumberFormat="1" applyFont="1" applyAlignment="1">
      <alignment horizontal="left" vertical="center"/>
    </xf>
    <xf numFmtId="0" fontId="25" fillId="0" borderId="0" xfId="0" applyFont="1" applyAlignment="1">
      <alignment horizontal="left" vertical="center"/>
    </xf>
    <xf numFmtId="185" fontId="25" fillId="0" borderId="0" xfId="0" applyNumberFormat="1" applyFont="1" applyAlignment="1">
      <alignment horizontal="left" vertical="center"/>
    </xf>
    <xf numFmtId="0" fontId="0" fillId="33" borderId="0" xfId="0" applyFill="1" applyAlignment="1" applyProtection="1">
      <alignment horizontal="left" vertical="center"/>
      <protection locked="0"/>
    </xf>
    <xf numFmtId="0" fontId="0" fillId="0" borderId="0" xfId="0" applyAlignment="1">
      <alignment/>
    </xf>
    <xf numFmtId="0" fontId="31" fillId="0" borderId="0" xfId="0" applyFont="1" applyAlignment="1">
      <alignment horizontal="center"/>
    </xf>
    <xf numFmtId="0" fontId="4" fillId="0" borderId="0" xfId="0" applyFont="1" applyAlignment="1">
      <alignment/>
    </xf>
    <xf numFmtId="0" fontId="20" fillId="0" borderId="0" xfId="0" applyFont="1" applyAlignment="1">
      <alignment/>
    </xf>
    <xf numFmtId="0" fontId="20"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0" fillId="0" borderId="0" xfId="0" applyFont="1" applyAlignment="1">
      <alignment horizontal="center"/>
    </xf>
    <xf numFmtId="0" fontId="3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7"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29" xfId="0" applyNumberFormat="1" applyFont="1" applyFill="1" applyBorder="1" applyAlignment="1" applyProtection="1">
      <alignment vertical="center"/>
      <protection/>
    </xf>
    <xf numFmtId="0" fontId="6" fillId="34" borderId="29"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0" fontId="22"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18"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0" fontId="6" fillId="34" borderId="28" xfId="0" applyFont="1" applyFill="1" applyBorder="1" applyAlignment="1" applyProtection="1">
      <alignment vertical="center"/>
      <protection/>
    </xf>
    <xf numFmtId="187" fontId="10" fillId="34" borderId="28" xfId="0" applyNumberFormat="1" applyFont="1" applyFill="1" applyBorder="1" applyAlignment="1" applyProtection="1">
      <alignment horizontal="center" vertical="center"/>
      <protection/>
    </xf>
    <xf numFmtId="0" fontId="10" fillId="34" borderId="0" xfId="0" applyFont="1" applyFill="1" applyBorder="1" applyAlignment="1" applyProtection="1">
      <alignment horizontal="left" vertical="center"/>
      <protection/>
    </xf>
    <xf numFmtId="0" fontId="10" fillId="34" borderId="21" xfId="0" applyFont="1" applyFill="1" applyBorder="1" applyAlignment="1" applyProtection="1">
      <alignment vertical="center"/>
      <protection/>
    </xf>
    <xf numFmtId="0" fontId="10" fillId="34" borderId="0" xfId="0" applyFont="1" applyFill="1" applyBorder="1" applyAlignment="1" applyProtection="1">
      <alignment vertical="center"/>
      <protection/>
    </xf>
    <xf numFmtId="187" fontId="10" fillId="34" borderId="22" xfId="0" applyNumberFormat="1" applyFont="1" applyFill="1" applyBorder="1" applyAlignment="1" applyProtection="1">
      <alignment horizontal="center" vertical="center"/>
      <protection/>
    </xf>
    <xf numFmtId="187" fontId="10" fillId="34" borderId="28" xfId="0" applyNumberFormat="1" applyFont="1" applyFill="1" applyBorder="1" applyAlignment="1" applyProtection="1">
      <alignment vertical="center"/>
      <protection/>
    </xf>
    <xf numFmtId="187" fontId="36" fillId="37" borderId="22" xfId="0" applyNumberFormat="1" applyFont="1" applyFill="1" applyBorder="1" applyAlignment="1" applyProtection="1">
      <alignment horizontal="center" vertical="center"/>
      <protection/>
    </xf>
    <xf numFmtId="0" fontId="36" fillId="37" borderId="12" xfId="0" applyFont="1" applyFill="1" applyBorder="1" applyAlignment="1" applyProtection="1">
      <alignment vertical="center"/>
      <protection/>
    </xf>
    <xf numFmtId="0" fontId="10" fillId="37" borderId="14" xfId="0" applyFont="1" applyFill="1" applyBorder="1" applyAlignment="1" applyProtection="1">
      <alignment vertical="center"/>
      <protection/>
    </xf>
    <xf numFmtId="0" fontId="6" fillId="37" borderId="14" xfId="0" applyFont="1" applyFill="1" applyBorder="1" applyAlignment="1" applyProtection="1">
      <alignment vertical="center"/>
      <protection/>
    </xf>
    <xf numFmtId="181" fontId="36" fillId="34" borderId="19" xfId="0" applyNumberFormat="1" applyFont="1" applyFill="1" applyBorder="1" applyAlignment="1" applyProtection="1">
      <alignment horizontal="center" vertical="center"/>
      <protection/>
    </xf>
    <xf numFmtId="0" fontId="10" fillId="34" borderId="11" xfId="0" applyFont="1" applyFill="1" applyBorder="1" applyAlignment="1" applyProtection="1">
      <alignment horizontal="left" vertical="center"/>
      <protection/>
    </xf>
    <xf numFmtId="0" fontId="34" fillId="34" borderId="11" xfId="0" applyFont="1" applyFill="1" applyBorder="1" applyAlignment="1" applyProtection="1">
      <alignment horizontal="center" vertical="center"/>
      <protection/>
    </xf>
    <xf numFmtId="0" fontId="0" fillId="34"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34" borderId="28" xfId="0" applyFont="1" applyFill="1" applyBorder="1" applyAlignment="1" applyProtection="1">
      <alignment vertical="center"/>
      <protection/>
    </xf>
    <xf numFmtId="187" fontId="10" fillId="34" borderId="21" xfId="0" applyNumberFormat="1" applyFont="1" applyFill="1" applyBorder="1" applyAlignment="1" applyProtection="1">
      <alignment horizontal="center" vertical="center"/>
      <protection/>
    </xf>
    <xf numFmtId="0" fontId="10" fillId="34" borderId="28" xfId="0" applyFont="1" applyFill="1" applyBorder="1" applyAlignment="1" applyProtection="1">
      <alignment horizontal="left" vertical="center"/>
      <protection/>
    </xf>
    <xf numFmtId="187" fontId="10" fillId="33" borderId="10" xfId="0" applyNumberFormat="1" applyFont="1" applyFill="1" applyBorder="1" applyAlignment="1" applyProtection="1">
      <alignment horizontal="center" vertical="center"/>
      <protection locked="0"/>
    </xf>
    <xf numFmtId="0" fontId="36" fillId="34" borderId="14" xfId="0" applyFont="1" applyFill="1" applyBorder="1" applyAlignment="1" applyProtection="1">
      <alignment horizontal="center" vertical="center"/>
      <protection/>
    </xf>
    <xf numFmtId="0" fontId="36" fillId="37" borderId="22" xfId="0" applyFont="1" applyFill="1" applyBorder="1" applyAlignment="1" applyProtection="1">
      <alignment vertical="center"/>
      <protection/>
    </xf>
    <xf numFmtId="0" fontId="6" fillId="37" borderId="12" xfId="0" applyFont="1" applyFill="1" applyBorder="1" applyAlignment="1" applyProtection="1">
      <alignment vertical="center"/>
      <protection/>
    </xf>
    <xf numFmtId="0" fontId="10" fillId="37" borderId="12" xfId="0" applyFont="1" applyFill="1" applyBorder="1" applyAlignment="1" applyProtection="1">
      <alignment vertical="center"/>
      <protection/>
    </xf>
    <xf numFmtId="187" fontId="36" fillId="37" borderId="14" xfId="0" applyNumberFormat="1" applyFont="1" applyFill="1" applyBorder="1" applyAlignment="1" applyProtection="1">
      <alignment horizontal="center" vertical="center"/>
      <protection/>
    </xf>
    <xf numFmtId="187" fontId="25" fillId="34" borderId="28" xfId="0" applyNumberFormat="1" applyFont="1" applyFill="1" applyBorder="1" applyAlignment="1" applyProtection="1">
      <alignment horizontal="center" vertical="center"/>
      <protection/>
    </xf>
    <xf numFmtId="0" fontId="25" fillId="34" borderId="0" xfId="0" applyFont="1" applyFill="1" applyBorder="1" applyAlignment="1" applyProtection="1">
      <alignment horizontal="left" vertical="center"/>
      <protection/>
    </xf>
    <xf numFmtId="0" fontId="25" fillId="34" borderId="0" xfId="0" applyFont="1" applyFill="1" applyBorder="1" applyAlignment="1" applyProtection="1">
      <alignment vertical="center"/>
      <protection/>
    </xf>
    <xf numFmtId="187" fontId="25" fillId="34" borderId="22" xfId="0" applyNumberFormat="1" applyFont="1" applyFill="1" applyBorder="1" applyAlignment="1" applyProtection="1">
      <alignment horizontal="center" vertical="center"/>
      <protection/>
    </xf>
    <xf numFmtId="187" fontId="25" fillId="34" borderId="28" xfId="0" applyNumberFormat="1" applyFont="1" applyFill="1" applyBorder="1" applyAlignment="1" applyProtection="1">
      <alignment vertical="center"/>
      <protection/>
    </xf>
    <xf numFmtId="187" fontId="25" fillId="37" borderId="22" xfId="0" applyNumberFormat="1" applyFont="1" applyFill="1" applyBorder="1" applyAlignment="1" applyProtection="1">
      <alignment horizontal="center" vertical="center"/>
      <protection/>
    </xf>
    <xf numFmtId="0" fontId="25" fillId="37" borderId="12" xfId="0" applyFont="1" applyFill="1" applyBorder="1" applyAlignment="1" applyProtection="1">
      <alignment vertical="center"/>
      <protection/>
    </xf>
    <xf numFmtId="0" fontId="6" fillId="0" borderId="0" xfId="0" applyFont="1" applyAlignment="1" applyProtection="1">
      <alignment/>
      <protection/>
    </xf>
    <xf numFmtId="187" fontId="6" fillId="37" borderId="14" xfId="0" applyNumberFormat="1" applyFont="1" applyFill="1" applyBorder="1" applyAlignment="1" applyProtection="1">
      <alignment horizontal="center" vertical="center"/>
      <protection/>
    </xf>
    <xf numFmtId="0" fontId="6" fillId="37" borderId="22" xfId="0" applyFont="1" applyFill="1" applyBorder="1" applyAlignment="1" applyProtection="1">
      <alignment vertical="center"/>
      <protection/>
    </xf>
    <xf numFmtId="187" fontId="6" fillId="37" borderId="21" xfId="0" applyNumberFormat="1" applyFont="1" applyFill="1" applyBorder="1" applyAlignment="1" applyProtection="1">
      <alignment horizontal="center"/>
      <protection/>
    </xf>
    <xf numFmtId="0" fontId="6" fillId="37" borderId="0" xfId="0" applyFont="1" applyFill="1" applyBorder="1" applyAlignment="1" applyProtection="1">
      <alignment/>
      <protection/>
    </xf>
    <xf numFmtId="0" fontId="6" fillId="37" borderId="28" xfId="0" applyFont="1" applyFill="1" applyBorder="1" applyAlignment="1" applyProtection="1">
      <alignment/>
      <protection/>
    </xf>
    <xf numFmtId="179" fontId="6" fillId="34" borderId="21" xfId="0" applyNumberFormat="1" applyFont="1" applyFill="1" applyBorder="1" applyAlignment="1" applyProtection="1">
      <alignment horizontal="center"/>
      <protection/>
    </xf>
    <xf numFmtId="0" fontId="6" fillId="34" borderId="21" xfId="0" applyFont="1" applyFill="1" applyBorder="1" applyAlignment="1" applyProtection="1">
      <alignment/>
      <protection/>
    </xf>
    <xf numFmtId="0" fontId="6" fillId="34" borderId="28" xfId="0" applyFont="1" applyFill="1" applyBorder="1" applyAlignment="1" applyProtection="1">
      <alignment/>
      <protection/>
    </xf>
    <xf numFmtId="187" fontId="6" fillId="37" borderId="14" xfId="0" applyNumberFormat="1" applyFont="1" applyFill="1" applyBorder="1" applyAlignment="1" applyProtection="1">
      <alignment horizontal="center"/>
      <protection/>
    </xf>
    <xf numFmtId="0" fontId="6" fillId="34" borderId="22" xfId="0" applyFont="1" applyFill="1" applyBorder="1" applyAlignment="1" applyProtection="1">
      <alignment/>
      <protection/>
    </xf>
    <xf numFmtId="187" fontId="6" fillId="34" borderId="21" xfId="0" applyNumberFormat="1" applyFont="1" applyFill="1" applyBorder="1" applyAlignment="1" applyProtection="1">
      <alignment horizontal="center"/>
      <protection/>
    </xf>
    <xf numFmtId="0" fontId="10" fillId="3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33" borderId="10" xfId="0" applyNumberFormat="1" applyFont="1" applyFill="1" applyBorder="1" applyAlignment="1" applyProtection="1">
      <alignment horizontal="center"/>
      <protection locked="0"/>
    </xf>
    <xf numFmtId="0" fontId="6" fillId="33" borderId="22" xfId="0" applyFont="1" applyFill="1" applyBorder="1" applyAlignment="1" applyProtection="1">
      <alignment/>
      <protection/>
    </xf>
    <xf numFmtId="0" fontId="6" fillId="33" borderId="12" xfId="0" applyFont="1" applyFill="1" applyBorder="1" applyAlignment="1" applyProtection="1">
      <alignment/>
      <protection/>
    </xf>
    <xf numFmtId="0" fontId="6" fillId="3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34" borderId="13" xfId="0" applyNumberFormat="1" applyFont="1" applyFill="1" applyBorder="1" applyAlignment="1" applyProtection="1">
      <alignment horizontal="center"/>
      <protection/>
    </xf>
    <xf numFmtId="181" fontId="6" fillId="37"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34" borderId="14" xfId="0" applyNumberFormat="1" applyFont="1" applyFill="1" applyBorder="1" applyAlignment="1" applyProtection="1">
      <alignment horizontal="center" vertical="center"/>
      <protection/>
    </xf>
    <xf numFmtId="187" fontId="6" fillId="37" borderId="21" xfId="0" applyNumberFormat="1" applyFont="1" applyFill="1" applyBorder="1" applyAlignment="1" applyProtection="1">
      <alignment horizontal="center" vertical="center"/>
      <protection/>
    </xf>
    <xf numFmtId="187" fontId="6" fillId="34" borderId="21" xfId="0" applyNumberFormat="1" applyFont="1" applyFill="1" applyBorder="1" applyAlignment="1" applyProtection="1">
      <alignment horizontal="center" vertical="center"/>
      <protection/>
    </xf>
    <xf numFmtId="187" fontId="6" fillId="34" borderId="14" xfId="0" applyNumberFormat="1" applyFont="1" applyFill="1" applyBorder="1" applyAlignment="1" applyProtection="1">
      <alignment horizontal="center" vertical="center"/>
      <protection/>
    </xf>
    <xf numFmtId="187" fontId="6" fillId="37" borderId="13" xfId="0" applyNumberFormat="1" applyFont="1" applyFill="1" applyBorder="1" applyAlignment="1" applyProtection="1">
      <alignment horizontal="center" vertical="center"/>
      <protection/>
    </xf>
    <xf numFmtId="0" fontId="6" fillId="37" borderId="28" xfId="0" applyFont="1" applyFill="1" applyBorder="1" applyAlignment="1" applyProtection="1">
      <alignment vertical="center"/>
      <protection/>
    </xf>
    <xf numFmtId="0" fontId="6" fillId="37" borderId="0" xfId="0" applyFont="1" applyFill="1" applyBorder="1" applyAlignment="1" applyProtection="1">
      <alignment vertical="center"/>
      <protection/>
    </xf>
    <xf numFmtId="37" fontId="19"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5" fillId="34" borderId="0" xfId="89" applyFont="1" applyFill="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5" fillId="39" borderId="0" xfId="0" applyFont="1" applyFill="1" applyBorder="1" applyAlignment="1">
      <alignment horizontal="center"/>
    </xf>
    <xf numFmtId="0" fontId="20" fillId="39" borderId="0" xfId="0" applyFont="1" applyFill="1" applyBorder="1" applyAlignment="1">
      <alignment horizontal="center"/>
    </xf>
    <xf numFmtId="0" fontId="17" fillId="34" borderId="0" xfId="0" applyFont="1" applyFill="1" applyBorder="1" applyAlignment="1">
      <alignment/>
    </xf>
    <xf numFmtId="0" fontId="21"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8" fillId="34" borderId="0" xfId="0" applyNumberFormat="1" applyFont="1" applyFill="1" applyAlignment="1" applyProtection="1">
      <alignment horizontal="center" vertical="justify"/>
      <protection/>
    </xf>
    <xf numFmtId="0" fontId="19" fillId="0" borderId="0" xfId="0" applyFont="1" applyAlignment="1">
      <alignment horizontal="center" vertical="justify"/>
    </xf>
    <xf numFmtId="37" fontId="19"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19" fillId="0" borderId="0" xfId="0" applyFont="1" applyAlignment="1">
      <alignment horizontal="lef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34" fillId="34" borderId="27" xfId="0" applyFont="1" applyFill="1" applyBorder="1" applyAlignment="1" applyProtection="1">
      <alignment horizontal="center" vertical="center"/>
      <protection/>
    </xf>
    <xf numFmtId="0" fontId="35" fillId="0" borderId="15" xfId="0" applyFont="1" applyBorder="1" applyAlignment="1" applyProtection="1">
      <alignment horizontal="center" vertical="center"/>
      <protection/>
    </xf>
    <xf numFmtId="0" fontId="34" fillId="34" borderId="15" xfId="0" applyFont="1" applyFill="1" applyBorder="1" applyAlignment="1" applyProtection="1">
      <alignment horizontal="center" vertical="center"/>
      <protection/>
    </xf>
    <xf numFmtId="0" fontId="37" fillId="34" borderId="27" xfId="0" applyFont="1" applyFill="1" applyBorder="1" applyAlignment="1" applyProtection="1">
      <alignment horizontal="center" vertical="center"/>
      <protection/>
    </xf>
    <xf numFmtId="0" fontId="31" fillId="0" borderId="15" xfId="0" applyFont="1" applyBorder="1" applyAlignment="1" applyProtection="1">
      <alignment horizontal="center" vertical="center"/>
      <protection/>
    </xf>
    <xf numFmtId="0" fontId="31" fillId="0" borderId="20" xfId="0" applyFont="1"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34" borderId="0" xfId="0" applyNumberFormat="1" applyFont="1" applyFill="1" applyAlignment="1" applyProtection="1">
      <alignment horizontal="center" vertical="center"/>
      <protection/>
    </xf>
    <xf numFmtId="37" fontId="19" fillId="34" borderId="0" xfId="0" applyNumberFormat="1" applyFont="1" applyFill="1" applyAlignment="1" applyProtection="1">
      <alignment horizontal="center" vertical="center"/>
      <protection/>
    </xf>
    <xf numFmtId="37" fontId="6" fillId="34" borderId="12" xfId="0" applyNumberFormat="1" applyFont="1" applyFill="1" applyBorder="1" applyAlignment="1" applyProtection="1">
      <alignment horizontal="center" vertical="center"/>
      <protection locked="0"/>
    </xf>
    <xf numFmtId="0" fontId="19" fillId="34"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19" fillId="34" borderId="15" xfId="0" applyFont="1" applyFill="1" applyBorder="1" applyAlignment="1" applyProtection="1">
      <alignment horizontal="center"/>
      <protection/>
    </xf>
    <xf numFmtId="0" fontId="19" fillId="34"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9" fillId="0" borderId="0" xfId="0" applyFont="1" applyAlignment="1">
      <alignment horizontal="center"/>
    </xf>
    <xf numFmtId="0" fontId="9" fillId="0" borderId="0" xfId="0" applyFont="1" applyAlignment="1">
      <alignment wrapText="1"/>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41">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186" t="s">
        <v>518</v>
      </c>
    </row>
    <row r="3" ht="34.5" customHeight="1">
      <c r="A3" s="187" t="s">
        <v>391</v>
      </c>
    </row>
    <row r="4" ht="15.75">
      <c r="A4" s="188"/>
    </row>
    <row r="5" ht="52.5" customHeight="1">
      <c r="A5" s="189" t="s">
        <v>519</v>
      </c>
    </row>
    <row r="6" ht="15.75">
      <c r="A6" s="189"/>
    </row>
    <row r="7" ht="51" customHeight="1">
      <c r="A7" s="189" t="s">
        <v>522</v>
      </c>
    </row>
    <row r="8" ht="15.75">
      <c r="A8" s="189"/>
    </row>
    <row r="9" ht="15.75">
      <c r="A9" s="189" t="s">
        <v>392</v>
      </c>
    </row>
    <row r="12" ht="15.75">
      <c r="A12" s="186" t="s">
        <v>429</v>
      </c>
    </row>
    <row r="14" ht="15.75">
      <c r="A14" s="188" t="s">
        <v>430</v>
      </c>
    </row>
    <row r="17" ht="38.25" customHeight="1">
      <c r="A17" s="190" t="s">
        <v>512</v>
      </c>
    </row>
    <row r="18" ht="9.75" customHeight="1">
      <c r="A18" s="190"/>
    </row>
    <row r="21" ht="15.75">
      <c r="A21" s="186" t="s">
        <v>393</v>
      </c>
    </row>
    <row r="23" ht="34.5" customHeight="1">
      <c r="A23" s="189" t="s">
        <v>431</v>
      </c>
    </row>
    <row r="24" ht="9.75" customHeight="1">
      <c r="A24" s="189"/>
    </row>
    <row r="25" ht="15.75">
      <c r="A25" s="191" t="s">
        <v>394</v>
      </c>
    </row>
    <row r="26" ht="15.75">
      <c r="A26" s="189"/>
    </row>
    <row r="27" ht="17.25" customHeight="1">
      <c r="A27" s="192" t="s">
        <v>395</v>
      </c>
    </row>
    <row r="28" ht="17.25" customHeight="1">
      <c r="A28" s="193"/>
    </row>
    <row r="29" ht="87.75" customHeight="1">
      <c r="A29" s="194" t="s">
        <v>415</v>
      </c>
    </row>
    <row r="31" ht="15.75">
      <c r="A31" s="195" t="s">
        <v>396</v>
      </c>
    </row>
    <row r="33" ht="15.75">
      <c r="A33" s="124" t="s">
        <v>432</v>
      </c>
    </row>
    <row r="35" ht="15.75">
      <c r="A35" s="189" t="s">
        <v>397</v>
      </c>
    </row>
    <row r="36" ht="15.75">
      <c r="A36" s="189"/>
    </row>
    <row r="37" ht="72" customHeight="1">
      <c r="A37" s="189" t="s">
        <v>558</v>
      </c>
    </row>
    <row r="39" ht="15.75">
      <c r="A39" s="186" t="s">
        <v>398</v>
      </c>
    </row>
    <row r="41" ht="70.5" customHeight="1">
      <c r="A41" s="189" t="s">
        <v>245</v>
      </c>
    </row>
    <row r="42" ht="52.5" customHeight="1">
      <c r="A42" s="196" t="s">
        <v>399</v>
      </c>
    </row>
    <row r="43" ht="33" customHeight="1">
      <c r="A43" s="189" t="s">
        <v>414</v>
      </c>
    </row>
    <row r="44" ht="10.5" customHeight="1">
      <c r="A44" s="189"/>
    </row>
    <row r="45" ht="108" customHeight="1">
      <c r="A45" s="189" t="s">
        <v>246</v>
      </c>
    </row>
    <row r="46" ht="59.25" customHeight="1">
      <c r="A46" s="189" t="s">
        <v>400</v>
      </c>
    </row>
    <row r="47" ht="101.25" customHeight="1">
      <c r="A47" s="189" t="s">
        <v>438</v>
      </c>
    </row>
    <row r="48" ht="74.25" customHeight="1">
      <c r="A48" s="189" t="s">
        <v>559</v>
      </c>
    </row>
    <row r="49" ht="69.75" customHeight="1">
      <c r="A49" s="189" t="s">
        <v>573</v>
      </c>
    </row>
    <row r="50" ht="12" customHeight="1">
      <c r="A50" s="189"/>
    </row>
    <row r="51" ht="81" customHeight="1">
      <c r="A51" s="189" t="s">
        <v>560</v>
      </c>
    </row>
    <row r="52" ht="81" customHeight="1">
      <c r="A52" s="189" t="s">
        <v>214</v>
      </c>
    </row>
    <row r="53" ht="81" customHeight="1">
      <c r="A53" s="189" t="s">
        <v>212</v>
      </c>
    </row>
    <row r="54" ht="48" customHeight="1">
      <c r="A54" s="189" t="s">
        <v>213</v>
      </c>
    </row>
    <row r="55" ht="11.25" customHeight="1"/>
    <row r="56" ht="72" customHeight="1">
      <c r="A56" s="189" t="s">
        <v>561</v>
      </c>
    </row>
    <row r="57" ht="54" customHeight="1">
      <c r="A57" s="189" t="s">
        <v>562</v>
      </c>
    </row>
    <row r="58" ht="54.75" customHeight="1">
      <c r="A58" s="189" t="s">
        <v>563</v>
      </c>
    </row>
    <row r="59" ht="14.25" customHeight="1">
      <c r="A59" s="189"/>
    </row>
    <row r="60" ht="68.25" customHeight="1">
      <c r="A60" s="189" t="s">
        <v>564</v>
      </c>
    </row>
    <row r="61" ht="12.75" customHeight="1">
      <c r="A61" s="189"/>
    </row>
    <row r="62" ht="41.25" customHeight="1">
      <c r="A62" s="189" t="s">
        <v>565</v>
      </c>
    </row>
    <row r="63" ht="24" customHeight="1">
      <c r="A63" s="189" t="s">
        <v>218</v>
      </c>
    </row>
    <row r="64" ht="72" customHeight="1">
      <c r="A64" s="189" t="s">
        <v>219</v>
      </c>
    </row>
    <row r="65" ht="56.25" customHeight="1">
      <c r="A65" s="189" t="s">
        <v>216</v>
      </c>
    </row>
    <row r="66" ht="15.75">
      <c r="A66" s="189" t="s">
        <v>217</v>
      </c>
    </row>
    <row r="67" ht="15.75" customHeight="1">
      <c r="A67" s="189"/>
    </row>
    <row r="68" ht="68.25" customHeight="1">
      <c r="A68" s="189" t="s">
        <v>566</v>
      </c>
    </row>
    <row r="69" s="189" customFormat="1" ht="14.25" customHeight="1">
      <c r="A69" s="117"/>
    </row>
    <row r="70" ht="87.75" customHeight="1">
      <c r="A70" s="189" t="s">
        <v>574</v>
      </c>
    </row>
    <row r="71" ht="12" customHeight="1"/>
    <row r="72" ht="78.75" customHeight="1">
      <c r="A72" s="189" t="s">
        <v>567</v>
      </c>
    </row>
    <row r="73" ht="78.75" customHeight="1">
      <c r="A73" s="461" t="s">
        <v>247</v>
      </c>
    </row>
    <row r="74" ht="78.75" customHeight="1">
      <c r="A74" s="461" t="s">
        <v>248</v>
      </c>
    </row>
    <row r="75" ht="73.5" customHeight="1">
      <c r="A75" s="189" t="s">
        <v>249</v>
      </c>
    </row>
    <row r="76" ht="120.75" customHeight="1">
      <c r="A76" s="189" t="s">
        <v>250</v>
      </c>
    </row>
    <row r="77" ht="72.75" customHeight="1">
      <c r="A77" s="189" t="s">
        <v>251</v>
      </c>
    </row>
    <row r="78" ht="72.75" customHeight="1">
      <c r="A78" s="461" t="s">
        <v>252</v>
      </c>
    </row>
    <row r="79" ht="100.5" customHeight="1">
      <c r="A79" s="189" t="s">
        <v>253</v>
      </c>
    </row>
    <row r="80" ht="110.25" customHeight="1">
      <c r="A80" s="189" t="s">
        <v>254</v>
      </c>
    </row>
    <row r="81" ht="100.5" customHeight="1">
      <c r="A81" s="197" t="s">
        <v>255</v>
      </c>
    </row>
    <row r="82" ht="61.5" customHeight="1">
      <c r="A82" s="338" t="s">
        <v>256</v>
      </c>
    </row>
    <row r="83" ht="118.5" customHeight="1">
      <c r="A83" s="189" t="s">
        <v>257</v>
      </c>
    </row>
    <row r="84" ht="86.25" customHeight="1">
      <c r="A84" s="197" t="s">
        <v>258</v>
      </c>
    </row>
    <row r="85" ht="101.25" customHeight="1">
      <c r="A85" s="197" t="s">
        <v>259</v>
      </c>
    </row>
    <row r="86" ht="133.5" customHeight="1">
      <c r="A86" s="189" t="s">
        <v>260</v>
      </c>
    </row>
    <row r="87" ht="137.25" customHeight="1">
      <c r="A87" s="189" t="s">
        <v>261</v>
      </c>
    </row>
    <row r="88" ht="101.25" customHeight="1">
      <c r="A88" s="189" t="s">
        <v>0</v>
      </c>
    </row>
    <row r="89" ht="9.75" customHeight="1">
      <c r="A89" s="197"/>
    </row>
    <row r="90" ht="119.25" customHeight="1">
      <c r="A90" s="189" t="s">
        <v>568</v>
      </c>
    </row>
    <row r="91" ht="117" customHeight="1">
      <c r="A91" s="197" t="s">
        <v>569</v>
      </c>
    </row>
    <row r="92" ht="58.5" customHeight="1">
      <c r="A92" s="197" t="s">
        <v>570</v>
      </c>
    </row>
    <row r="93" ht="21" customHeight="1">
      <c r="A93" s="189" t="s">
        <v>571</v>
      </c>
    </row>
    <row r="94" ht="3.75" customHeight="1"/>
    <row r="95" ht="64.5" customHeight="1">
      <c r="A95" s="189" t="s">
        <v>572</v>
      </c>
    </row>
    <row r="96" ht="22.5" customHeight="1">
      <c r="A96" s="189" t="s">
        <v>575</v>
      </c>
    </row>
    <row r="97" ht="102" customHeight="1">
      <c r="A97" s="461" t="s">
        <v>7</v>
      </c>
    </row>
    <row r="98" ht="116.25" customHeight="1">
      <c r="A98" s="461" t="s">
        <v>8</v>
      </c>
    </row>
    <row r="99" ht="90" customHeight="1">
      <c r="A99" s="189" t="s">
        <v>1</v>
      </c>
    </row>
    <row r="100" ht="48.75" customHeight="1">
      <c r="A100" s="189" t="s">
        <v>2</v>
      </c>
    </row>
    <row r="101" ht="61.5" customHeight="1">
      <c r="A101" s="189" t="s">
        <v>3</v>
      </c>
    </row>
    <row r="102" ht="9" customHeight="1"/>
    <row r="103" ht="78.75" customHeight="1">
      <c r="A103" s="189" t="s">
        <v>576</v>
      </c>
    </row>
    <row r="105" ht="73.5" customHeight="1">
      <c r="A105" s="461" t="s">
        <v>4</v>
      </c>
    </row>
    <row r="106" ht="108" customHeight="1">
      <c r="A106" s="461" t="s">
        <v>5</v>
      </c>
    </row>
    <row r="107" ht="96" customHeight="1">
      <c r="A107" s="461" t="s">
        <v>6</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3">
      <selection activeCell="E9" sqref="E9"/>
    </sheetView>
  </sheetViews>
  <sheetFormatPr defaultColWidth="8.796875" defaultRowHeight="15.75"/>
  <cols>
    <col min="1" max="1" width="18.69921875" style="250" customWidth="1"/>
    <col min="2" max="2" width="8.796875" style="250" customWidth="1"/>
    <col min="3" max="3" width="7.8984375" style="250" customWidth="1"/>
    <col min="4" max="4" width="8.796875" style="250" customWidth="1"/>
    <col min="5" max="5" width="16.19921875" style="250" customWidth="1"/>
    <col min="6" max="16384" width="8.796875" style="250" customWidth="1"/>
  </cols>
  <sheetData>
    <row r="1" spans="1:11" ht="15.75">
      <c r="A1" s="248" t="str">
        <f>inputPrYr!$D$3</f>
        <v>Liberty Township</v>
      </c>
      <c r="B1" s="249"/>
      <c r="C1" s="249"/>
      <c r="D1" s="249"/>
      <c r="E1" s="249"/>
      <c r="F1" s="249"/>
      <c r="G1" s="249"/>
      <c r="H1" s="249"/>
      <c r="I1" s="66"/>
      <c r="J1" s="66"/>
      <c r="K1" s="199">
        <f>inputPrYr!D9</f>
        <v>2013</v>
      </c>
    </row>
    <row r="2" spans="1:11" ht="15.75">
      <c r="A2" s="248" t="str">
        <f>inputPrYr!$D$4</f>
        <v>Montgomery County</v>
      </c>
      <c r="B2" s="249"/>
      <c r="C2" s="249"/>
      <c r="D2" s="249"/>
      <c r="E2" s="249"/>
      <c r="F2" s="249"/>
      <c r="G2" s="249"/>
      <c r="H2" s="249"/>
      <c r="I2" s="66"/>
      <c r="J2" s="66"/>
      <c r="K2" s="184"/>
    </row>
    <row r="3" spans="1:11" ht="15.75">
      <c r="A3" s="251" t="s">
        <v>291</v>
      </c>
      <c r="B3" s="252"/>
      <c r="C3" s="252"/>
      <c r="D3" s="67"/>
      <c r="E3" s="252"/>
      <c r="F3" s="252"/>
      <c r="G3" s="252"/>
      <c r="H3" s="252"/>
      <c r="I3" s="252"/>
      <c r="J3" s="252"/>
      <c r="K3" s="252"/>
    </row>
    <row r="4" spans="1:11" ht="15.75">
      <c r="A4" s="249"/>
      <c r="B4" s="249"/>
      <c r="C4" s="249"/>
      <c r="D4" s="249"/>
      <c r="E4" s="249"/>
      <c r="F4" s="249"/>
      <c r="G4" s="249"/>
      <c r="H4" s="249"/>
      <c r="I4" s="249"/>
      <c r="J4" s="249"/>
      <c r="K4" s="249"/>
    </row>
    <row r="5" spans="1:11" ht="15.75">
      <c r="A5" s="66"/>
      <c r="B5" s="203" t="s">
        <v>269</v>
      </c>
      <c r="C5" s="203" t="s">
        <v>277</v>
      </c>
      <c r="D5" s="203"/>
      <c r="E5" s="203" t="s">
        <v>477</v>
      </c>
      <c r="F5" s="253"/>
      <c r="G5" s="254"/>
      <c r="H5" s="253" t="s">
        <v>270</v>
      </c>
      <c r="I5" s="254"/>
      <c r="J5" s="253" t="s">
        <v>270</v>
      </c>
      <c r="K5" s="254"/>
    </row>
    <row r="6" spans="1:11" ht="15.75">
      <c r="A6" s="66"/>
      <c r="B6" s="255" t="s">
        <v>271</v>
      </c>
      <c r="C6" s="255" t="s">
        <v>476</v>
      </c>
      <c r="D6" s="255" t="s">
        <v>477</v>
      </c>
      <c r="E6" s="255" t="s">
        <v>337</v>
      </c>
      <c r="F6" s="256" t="s">
        <v>272</v>
      </c>
      <c r="G6" s="257"/>
      <c r="H6" s="256">
        <f>K1-1</f>
        <v>2012</v>
      </c>
      <c r="I6" s="257"/>
      <c r="J6" s="256">
        <f>K1</f>
        <v>2013</v>
      </c>
      <c r="K6" s="257"/>
    </row>
    <row r="7" spans="1:11" ht="15.75">
      <c r="A7" s="258" t="s">
        <v>273</v>
      </c>
      <c r="B7" s="205" t="s">
        <v>274</v>
      </c>
      <c r="C7" s="205" t="s">
        <v>500</v>
      </c>
      <c r="D7" s="205" t="s">
        <v>275</v>
      </c>
      <c r="E7" s="259" t="str">
        <f>CONCATENATE("Jan 1,",K1-1,"")</f>
        <v>Jan 1,2012</v>
      </c>
      <c r="F7" s="90" t="s">
        <v>277</v>
      </c>
      <c r="G7" s="90" t="s">
        <v>278</v>
      </c>
      <c r="H7" s="90" t="s">
        <v>277</v>
      </c>
      <c r="I7" s="90" t="s">
        <v>278</v>
      </c>
      <c r="J7" s="90" t="s">
        <v>277</v>
      </c>
      <c r="K7" s="90" t="s">
        <v>278</v>
      </c>
    </row>
    <row r="8" spans="1:11" ht="15.75">
      <c r="A8" s="260" t="s">
        <v>265</v>
      </c>
      <c r="B8" s="261"/>
      <c r="C8" s="260"/>
      <c r="D8" s="260"/>
      <c r="E8" s="260"/>
      <c r="F8" s="262"/>
      <c r="G8" s="262"/>
      <c r="H8" s="260"/>
      <c r="I8" s="260"/>
      <c r="J8" s="260"/>
      <c r="K8" s="260"/>
    </row>
    <row r="9" spans="1:11" ht="15.75">
      <c r="A9" s="263"/>
      <c r="B9" s="363"/>
      <c r="C9" s="265"/>
      <c r="D9" s="143"/>
      <c r="E9" s="266"/>
      <c r="F9" s="267"/>
      <c r="G9" s="267"/>
      <c r="H9" s="266"/>
      <c r="I9" s="266"/>
      <c r="J9" s="266"/>
      <c r="K9" s="266"/>
    </row>
    <row r="10" spans="1:11" ht="15.75">
      <c r="A10" s="263"/>
      <c r="B10" s="363"/>
      <c r="C10" s="265"/>
      <c r="D10" s="143"/>
      <c r="E10" s="266"/>
      <c r="F10" s="267"/>
      <c r="G10" s="267"/>
      <c r="H10" s="266"/>
      <c r="I10" s="266"/>
      <c r="J10" s="266"/>
      <c r="K10" s="266"/>
    </row>
    <row r="11" spans="1:11" ht="15.75">
      <c r="A11" s="180" t="s">
        <v>368</v>
      </c>
      <c r="B11" s="268"/>
      <c r="C11" s="269"/>
      <c r="D11" s="235"/>
      <c r="E11" s="149">
        <f>SUM(E9:E10)</f>
        <v>0</v>
      </c>
      <c r="F11" s="270"/>
      <c r="G11" s="270"/>
      <c r="H11" s="149">
        <f>SUM(H9:H10)</f>
        <v>0</v>
      </c>
      <c r="I11" s="149">
        <f>SUM(I9:I10)</f>
        <v>0</v>
      </c>
      <c r="J11" s="149">
        <f>SUM(J9:J10)</f>
        <v>0</v>
      </c>
      <c r="K11" s="149">
        <f>SUM(K9:K10)</f>
        <v>0</v>
      </c>
    </row>
    <row r="12" spans="1:11" ht="15.75">
      <c r="A12" s="180" t="s">
        <v>493</v>
      </c>
      <c r="B12" s="268"/>
      <c r="C12" s="269"/>
      <c r="D12" s="235"/>
      <c r="E12" s="92"/>
      <c r="F12" s="271"/>
      <c r="G12" s="271"/>
      <c r="H12" s="92"/>
      <c r="I12" s="92"/>
      <c r="J12" s="92"/>
      <c r="K12" s="92"/>
    </row>
    <row r="13" spans="1:11" ht="15.75">
      <c r="A13" s="263"/>
      <c r="B13" s="363"/>
      <c r="C13" s="265"/>
      <c r="D13" s="143"/>
      <c r="E13" s="266"/>
      <c r="F13" s="267"/>
      <c r="G13" s="267"/>
      <c r="H13" s="266"/>
      <c r="I13" s="266"/>
      <c r="J13" s="266"/>
      <c r="K13" s="266"/>
    </row>
    <row r="14" spans="1:11" ht="15.75">
      <c r="A14" s="263"/>
      <c r="B14" s="363"/>
      <c r="C14" s="265"/>
      <c r="D14" s="143"/>
      <c r="E14" s="266"/>
      <c r="F14" s="267"/>
      <c r="G14" s="267"/>
      <c r="H14" s="266"/>
      <c r="I14" s="266"/>
      <c r="J14" s="266"/>
      <c r="K14" s="266"/>
    </row>
    <row r="15" spans="1:11" ht="15.75">
      <c r="A15" s="180" t="s">
        <v>369</v>
      </c>
      <c r="B15" s="268"/>
      <c r="C15" s="269"/>
      <c r="D15" s="235"/>
      <c r="E15" s="149">
        <f>SUM(E13:E14)</f>
        <v>0</v>
      </c>
      <c r="F15" s="271"/>
      <c r="G15" s="271"/>
      <c r="H15" s="149">
        <f>SUM(H13:H14)</f>
        <v>0</v>
      </c>
      <c r="I15" s="149">
        <f>SUM(I13:I14)</f>
        <v>0</v>
      </c>
      <c r="J15" s="149">
        <f>SUM(J13:J14)</f>
        <v>0</v>
      </c>
      <c r="K15" s="149">
        <f>SUM(K13:K14)</f>
        <v>0</v>
      </c>
    </row>
    <row r="16" spans="1:11" ht="15.75">
      <c r="A16" s="272" t="s">
        <v>293</v>
      </c>
      <c r="B16" s="273"/>
      <c r="C16" s="274"/>
      <c r="D16" s="275"/>
      <c r="E16" s="276">
        <f>SUM(E11+E15)</f>
        <v>0</v>
      </c>
      <c r="F16" s="273"/>
      <c r="G16" s="277"/>
      <c r="H16" s="276">
        <f>SUM(H11+H15)</f>
        <v>0</v>
      </c>
      <c r="I16" s="276">
        <f>SUM(I11+I15)</f>
        <v>0</v>
      </c>
      <c r="J16" s="276">
        <f>SUM(J11+J15)</f>
        <v>0</v>
      </c>
      <c r="K16" s="276">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280" customFormat="1" ht="15.75">
      <c r="A18" s="251" t="s">
        <v>290</v>
      </c>
      <c r="B18" s="278"/>
      <c r="C18" s="278"/>
      <c r="D18" s="278"/>
      <c r="E18" s="67"/>
      <c r="F18" s="278"/>
      <c r="G18" s="278"/>
      <c r="H18" s="278"/>
      <c r="I18" s="278"/>
      <c r="J18" s="278"/>
      <c r="K18" s="279"/>
    </row>
    <row r="19" spans="1:11" s="280" customFormat="1" ht="15.75">
      <c r="A19" s="73"/>
      <c r="B19" s="281"/>
      <c r="C19" s="281"/>
      <c r="D19" s="281"/>
      <c r="E19" s="281"/>
      <c r="F19" s="281"/>
      <c r="G19" s="281"/>
      <c r="H19" s="281"/>
      <c r="I19" s="282"/>
      <c r="J19" s="282"/>
      <c r="K19" s="279"/>
    </row>
    <row r="20" spans="1:11" s="280" customFormat="1" ht="15.75">
      <c r="A20" s="178"/>
      <c r="B20" s="178"/>
      <c r="C20" s="203" t="s">
        <v>276</v>
      </c>
      <c r="D20" s="178"/>
      <c r="E20" s="203" t="s">
        <v>454</v>
      </c>
      <c r="F20" s="178"/>
      <c r="G20" s="178"/>
      <c r="H20" s="178"/>
      <c r="I20" s="283"/>
      <c r="J20" s="284"/>
      <c r="K20" s="279"/>
    </row>
    <row r="21" spans="1:11" s="280" customFormat="1" ht="15.75">
      <c r="A21" s="77"/>
      <c r="B21" s="255"/>
      <c r="C21" s="255" t="s">
        <v>271</v>
      </c>
      <c r="D21" s="255" t="s">
        <v>277</v>
      </c>
      <c r="E21" s="255" t="s">
        <v>477</v>
      </c>
      <c r="F21" s="255" t="s">
        <v>278</v>
      </c>
      <c r="G21" s="255" t="s">
        <v>279</v>
      </c>
      <c r="H21" s="255" t="s">
        <v>279</v>
      </c>
      <c r="I21" s="279"/>
      <c r="J21" s="279"/>
      <c r="K21" s="279"/>
    </row>
    <row r="22" spans="1:11" s="280" customFormat="1" ht="15.75">
      <c r="A22" s="77"/>
      <c r="B22" s="255" t="s">
        <v>280</v>
      </c>
      <c r="C22" s="255" t="s">
        <v>281</v>
      </c>
      <c r="D22" s="255" t="s">
        <v>476</v>
      </c>
      <c r="E22" s="255" t="s">
        <v>282</v>
      </c>
      <c r="F22" s="255" t="s">
        <v>321</v>
      </c>
      <c r="G22" s="255" t="s">
        <v>283</v>
      </c>
      <c r="H22" s="255" t="s">
        <v>283</v>
      </c>
      <c r="I22" s="279"/>
      <c r="J22" s="279"/>
      <c r="K22" s="279"/>
    </row>
    <row r="23" spans="1:11" s="280" customFormat="1" ht="15.75">
      <c r="A23" s="285" t="s">
        <v>284</v>
      </c>
      <c r="B23" s="205" t="s">
        <v>269</v>
      </c>
      <c r="C23" s="286" t="s">
        <v>285</v>
      </c>
      <c r="D23" s="205" t="s">
        <v>500</v>
      </c>
      <c r="E23" s="286" t="s">
        <v>338</v>
      </c>
      <c r="F23" s="259" t="str">
        <f>CONCATENATE("Jan 1,",K1-1,"")</f>
        <v>Jan 1,2012</v>
      </c>
      <c r="G23" s="205">
        <f>K1-1</f>
        <v>2012</v>
      </c>
      <c r="H23" s="205">
        <f>K1</f>
        <v>2013</v>
      </c>
      <c r="I23" s="279"/>
      <c r="J23" s="279"/>
      <c r="K23" s="279"/>
    </row>
    <row r="24" spans="1:11" s="280" customFormat="1" ht="15.75">
      <c r="A24" s="263"/>
      <c r="B24" s="264"/>
      <c r="C24" s="287"/>
      <c r="D24" s="265"/>
      <c r="E24" s="143"/>
      <c r="F24" s="143"/>
      <c r="G24" s="143"/>
      <c r="H24" s="143"/>
      <c r="I24" s="279"/>
      <c r="J24" s="279"/>
      <c r="K24" s="279"/>
    </row>
    <row r="25" spans="1:11" s="280" customFormat="1" ht="15.75">
      <c r="A25" s="263"/>
      <c r="B25" s="264"/>
      <c r="C25" s="287"/>
      <c r="D25" s="265"/>
      <c r="E25" s="143"/>
      <c r="F25" s="143"/>
      <c r="G25" s="143"/>
      <c r="H25" s="143"/>
      <c r="I25" s="279"/>
      <c r="J25" s="279"/>
      <c r="K25" s="279"/>
    </row>
    <row r="26" spans="1:11" s="280" customFormat="1" ht="15.75">
      <c r="A26" s="263"/>
      <c r="B26" s="264"/>
      <c r="C26" s="287"/>
      <c r="D26" s="265"/>
      <c r="E26" s="143"/>
      <c r="F26" s="143"/>
      <c r="G26" s="143"/>
      <c r="H26" s="143"/>
      <c r="I26" s="279"/>
      <c r="J26" s="279"/>
      <c r="K26" s="279"/>
    </row>
    <row r="27" spans="1:11" s="280" customFormat="1" ht="15.75">
      <c r="A27" s="263"/>
      <c r="B27" s="264"/>
      <c r="C27" s="287"/>
      <c r="D27" s="265"/>
      <c r="E27" s="143"/>
      <c r="F27" s="143"/>
      <c r="G27" s="143"/>
      <c r="H27" s="143"/>
      <c r="I27" s="279"/>
      <c r="J27" s="279"/>
      <c r="K27" s="279"/>
    </row>
    <row r="28" spans="1:11" s="280" customFormat="1" ht="15.75">
      <c r="A28" s="263"/>
      <c r="B28" s="264"/>
      <c r="C28" s="287"/>
      <c r="D28" s="265"/>
      <c r="E28" s="143"/>
      <c r="F28" s="143"/>
      <c r="G28" s="143"/>
      <c r="H28" s="143"/>
      <c r="I28" s="279"/>
      <c r="J28" s="279"/>
      <c r="K28" s="279"/>
    </row>
    <row r="29" spans="1:11" s="280" customFormat="1" ht="15.75">
      <c r="A29" s="263"/>
      <c r="B29" s="264"/>
      <c r="C29" s="287"/>
      <c r="D29" s="265"/>
      <c r="E29" s="143"/>
      <c r="F29" s="143"/>
      <c r="G29" s="143"/>
      <c r="H29" s="143"/>
      <c r="I29" s="279"/>
      <c r="J29" s="279"/>
      <c r="K29" s="279"/>
    </row>
    <row r="30" spans="1:11" s="280" customFormat="1" ht="15.75">
      <c r="A30" s="263"/>
      <c r="B30" s="264"/>
      <c r="C30" s="287"/>
      <c r="D30" s="265"/>
      <c r="E30" s="143"/>
      <c r="F30" s="143"/>
      <c r="G30" s="143"/>
      <c r="H30" s="143"/>
      <c r="I30" s="279"/>
      <c r="J30" s="279"/>
      <c r="K30" s="279"/>
    </row>
    <row r="31" spans="1:11" s="280" customFormat="1" ht="15.75">
      <c r="A31" s="263"/>
      <c r="B31" s="264"/>
      <c r="C31" s="287"/>
      <c r="D31" s="265"/>
      <c r="E31" s="143"/>
      <c r="F31" s="143"/>
      <c r="G31" s="143"/>
      <c r="H31" s="143"/>
      <c r="I31" s="279"/>
      <c r="J31" s="279"/>
      <c r="K31" s="279"/>
    </row>
    <row r="32" spans="1:11" s="280" customFormat="1" ht="15.75">
      <c r="A32" s="263"/>
      <c r="B32" s="264"/>
      <c r="C32" s="287"/>
      <c r="D32" s="265"/>
      <c r="E32" s="143"/>
      <c r="F32" s="143"/>
      <c r="G32" s="143"/>
      <c r="H32" s="143"/>
      <c r="I32" s="279"/>
      <c r="J32" s="279"/>
      <c r="K32" s="279"/>
    </row>
    <row r="33" spans="1:11" s="280" customFormat="1" ht="15.75">
      <c r="A33" s="263"/>
      <c r="B33" s="264"/>
      <c r="C33" s="287"/>
      <c r="D33" s="265"/>
      <c r="E33" s="143"/>
      <c r="F33" s="143"/>
      <c r="G33" s="143"/>
      <c r="H33" s="143"/>
      <c r="I33" s="279"/>
      <c r="J33" s="279"/>
      <c r="K33" s="279"/>
    </row>
    <row r="34" spans="1:11" s="280" customFormat="1" ht="15.75">
      <c r="A34" s="263"/>
      <c r="B34" s="264"/>
      <c r="C34" s="287"/>
      <c r="D34" s="265"/>
      <c r="E34" s="143"/>
      <c r="F34" s="143"/>
      <c r="G34" s="143"/>
      <c r="H34" s="143"/>
      <c r="I34" s="279"/>
      <c r="J34" s="279"/>
      <c r="K34" s="279"/>
    </row>
    <row r="35" spans="1:11" s="280" customFormat="1" ht="15.75">
      <c r="A35" s="263"/>
      <c r="B35" s="264"/>
      <c r="C35" s="287"/>
      <c r="D35" s="265"/>
      <c r="E35" s="143"/>
      <c r="F35" s="143"/>
      <c r="G35" s="143"/>
      <c r="H35" s="143"/>
      <c r="I35" s="279"/>
      <c r="J35" s="279"/>
      <c r="K35" s="279"/>
    </row>
    <row r="36" spans="1:11" ht="15.75">
      <c r="A36" s="272" t="s">
        <v>293</v>
      </c>
      <c r="B36" s="273"/>
      <c r="C36" s="274"/>
      <c r="D36" s="288"/>
      <c r="E36" s="277"/>
      <c r="F36" s="276">
        <f>SUM(F24:F35)</f>
        <v>0</v>
      </c>
      <c r="G36" s="276">
        <f>SUM(G24:G35)</f>
        <v>0</v>
      </c>
      <c r="H36" s="276">
        <f>SUM(H24:H35)</f>
        <v>0</v>
      </c>
      <c r="I36" s="249"/>
      <c r="J36" s="249"/>
      <c r="K36" s="289"/>
    </row>
    <row r="37" spans="1:11" ht="15.75">
      <c r="A37" s="249"/>
      <c r="B37" s="249"/>
      <c r="C37" s="249"/>
      <c r="D37" s="249"/>
      <c r="E37" s="249"/>
      <c r="F37" s="249"/>
      <c r="G37" s="249"/>
      <c r="H37" s="249"/>
      <c r="I37" s="249"/>
      <c r="J37" s="249"/>
      <c r="K37" s="249"/>
    </row>
    <row r="38" spans="1:11" ht="15.75">
      <c r="A38" s="290" t="s">
        <v>433</v>
      </c>
      <c r="B38" s="290"/>
      <c r="C38" s="290"/>
      <c r="D38" s="290"/>
      <c r="E38" s="290"/>
      <c r="F38" s="290"/>
      <c r="G38" s="290"/>
      <c r="H38" s="249"/>
      <c r="I38" s="249"/>
      <c r="J38" s="249"/>
      <c r="K38" s="249"/>
    </row>
    <row r="39" ht="15.75">
      <c r="A39" s="291"/>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3">
      <selection activeCell="B38" sqref="B38"/>
    </sheetView>
  </sheetViews>
  <sheetFormatPr defaultColWidth="8.796875" defaultRowHeight="15.75"/>
  <cols>
    <col min="1" max="1" width="2.3984375" style="128" customWidth="1"/>
    <col min="2" max="2" width="31" style="128" customWidth="1"/>
    <col min="3" max="4" width="15.69921875" style="128" customWidth="1"/>
    <col min="5" max="5" width="13.69921875" style="128" customWidth="1"/>
    <col min="6" max="6" width="8.796875" style="128" customWidth="1"/>
    <col min="7" max="7" width="7" style="128" customWidth="1"/>
    <col min="8" max="8" width="8.796875" style="128" customWidth="1"/>
    <col min="9" max="9" width="4.8984375" style="128" customWidth="1"/>
    <col min="10" max="10" width="7.69921875" style="128" customWidth="1"/>
    <col min="11" max="16384" width="8.796875" style="128" customWidth="1"/>
  </cols>
  <sheetData>
    <row r="1" spans="2:5" ht="15.75">
      <c r="B1" s="198" t="str">
        <f>inputPrYr!D3</f>
        <v>Liberty Township</v>
      </c>
      <c r="C1" s="66"/>
      <c r="D1" s="66"/>
      <c r="E1" s="199">
        <f>inputPrYr!D9</f>
        <v>2013</v>
      </c>
    </row>
    <row r="2" spans="2:5" ht="15.75">
      <c r="B2" s="462" t="s">
        <v>244</v>
      </c>
      <c r="C2" s="66"/>
      <c r="D2" s="66"/>
      <c r="E2" s="292"/>
    </row>
    <row r="3" spans="2:5" ht="15.75">
      <c r="B3" s="66"/>
      <c r="C3" s="80"/>
      <c r="D3" s="80"/>
      <c r="E3" s="293"/>
    </row>
    <row r="4" spans="2:5" ht="15.75">
      <c r="B4" s="74" t="s">
        <v>483</v>
      </c>
      <c r="C4" s="364" t="s">
        <v>484</v>
      </c>
      <c r="D4" s="367" t="s">
        <v>485</v>
      </c>
      <c r="E4" s="76" t="s">
        <v>486</v>
      </c>
    </row>
    <row r="5" spans="2:5" ht="15.75">
      <c r="B5" s="385" t="str">
        <f>inputPrYr!B20</f>
        <v>General</v>
      </c>
      <c r="C5" s="365" t="str">
        <f>CONCATENATE("Actual ",$E$1-2,"")</f>
        <v>Actual 2011</v>
      </c>
      <c r="D5" s="365" t="str">
        <f>CONCATENATE("Estimate ",$E$1-1,"")</f>
        <v>Estimate 2012</v>
      </c>
      <c r="E5" s="81" t="str">
        <f>CONCATENATE("Year ",$E$1,"")</f>
        <v>Year 2013</v>
      </c>
    </row>
    <row r="6" spans="2:5" ht="15.75">
      <c r="B6" s="82" t="s">
        <v>333</v>
      </c>
      <c r="C6" s="294">
        <v>1661</v>
      </c>
      <c r="D6" s="366">
        <f>C47</f>
        <v>1560</v>
      </c>
      <c r="E6" s="235">
        <f>D47</f>
        <v>3175</v>
      </c>
    </row>
    <row r="7" spans="2:5" ht="15.75">
      <c r="B7" s="82" t="s">
        <v>335</v>
      </c>
      <c r="C7" s="366"/>
      <c r="D7" s="366"/>
      <c r="E7" s="295"/>
    </row>
    <row r="8" spans="2:5" ht="15.75">
      <c r="B8" s="82" t="s">
        <v>488</v>
      </c>
      <c r="C8" s="294">
        <v>199</v>
      </c>
      <c r="D8" s="366">
        <f>inputPrYr!E20</f>
        <v>2757</v>
      </c>
      <c r="E8" s="295" t="s">
        <v>468</v>
      </c>
    </row>
    <row r="9" spans="2:5" ht="15.75">
      <c r="B9" s="82" t="s">
        <v>489</v>
      </c>
      <c r="C9" s="294">
        <v>6</v>
      </c>
      <c r="D9" s="294">
        <v>0</v>
      </c>
      <c r="E9" s="143">
        <v>0</v>
      </c>
    </row>
    <row r="10" spans="2:5" ht="15.75">
      <c r="B10" s="82" t="s">
        <v>490</v>
      </c>
      <c r="C10" s="294">
        <v>16</v>
      </c>
      <c r="D10" s="294">
        <v>16</v>
      </c>
      <c r="E10" s="235">
        <f>mvalloc!G12</f>
        <v>235</v>
      </c>
    </row>
    <row r="11" spans="2:5" ht="15.75">
      <c r="B11" s="82" t="s">
        <v>491</v>
      </c>
      <c r="C11" s="294">
        <v>0</v>
      </c>
      <c r="D11" s="294">
        <v>0</v>
      </c>
      <c r="E11" s="235">
        <f>mvalloc!I12</f>
        <v>4</v>
      </c>
    </row>
    <row r="12" spans="2:5" ht="15.75">
      <c r="B12" s="296" t="s">
        <v>286</v>
      </c>
      <c r="C12" s="294">
        <v>2</v>
      </c>
      <c r="D12" s="294">
        <v>2</v>
      </c>
      <c r="E12" s="235">
        <f>mvalloc!J12</f>
        <v>10</v>
      </c>
    </row>
    <row r="13" spans="2:5" ht="15.75">
      <c r="B13" s="296" t="s">
        <v>375</v>
      </c>
      <c r="C13" s="294">
        <v>0</v>
      </c>
      <c r="D13" s="294">
        <v>0</v>
      </c>
      <c r="E13" s="235">
        <f>inputOth!E70</f>
        <v>0</v>
      </c>
    </row>
    <row r="14" spans="2:5" ht="15.75">
      <c r="B14" s="296" t="s">
        <v>376</v>
      </c>
      <c r="C14" s="294">
        <v>0</v>
      </c>
      <c r="D14" s="294">
        <v>0</v>
      </c>
      <c r="E14" s="235">
        <f>mvalloc!K12</f>
        <v>0</v>
      </c>
    </row>
    <row r="15" spans="2:5" ht="15.75">
      <c r="B15" s="82" t="s">
        <v>492</v>
      </c>
      <c r="C15" s="294">
        <v>0</v>
      </c>
      <c r="D15" s="294">
        <v>0</v>
      </c>
      <c r="E15" s="235">
        <f>inputOth!E32</f>
        <v>0</v>
      </c>
    </row>
    <row r="16" spans="2:5" ht="15.75">
      <c r="B16" s="297"/>
      <c r="C16" s="294"/>
      <c r="D16" s="294"/>
      <c r="E16" s="143"/>
    </row>
    <row r="17" spans="2:5" ht="15.75">
      <c r="B17" s="297"/>
      <c r="C17" s="294"/>
      <c r="D17" s="294"/>
      <c r="E17" s="143"/>
    </row>
    <row r="18" spans="2:5" ht="15.75">
      <c r="B18" s="298"/>
      <c r="C18" s="294"/>
      <c r="D18" s="294"/>
      <c r="E18" s="143"/>
    </row>
    <row r="19" spans="2:5" ht="15.75">
      <c r="B19" s="298"/>
      <c r="C19" s="294"/>
      <c r="D19" s="294"/>
      <c r="E19" s="143"/>
    </row>
    <row r="20" spans="2:5" ht="15.75">
      <c r="B20" s="298"/>
      <c r="C20" s="294"/>
      <c r="D20" s="294"/>
      <c r="E20" s="143"/>
    </row>
    <row r="21" spans="2:5" ht="15.75">
      <c r="B21" s="297"/>
      <c r="C21" s="294"/>
      <c r="D21" s="294"/>
      <c r="E21" s="143"/>
    </row>
    <row r="22" spans="2:5" ht="15.75">
      <c r="B22" s="298" t="s">
        <v>494</v>
      </c>
      <c r="C22" s="294"/>
      <c r="D22" s="294"/>
      <c r="E22" s="143"/>
    </row>
    <row r="23" spans="2:5" ht="15.75">
      <c r="B23" s="299" t="s">
        <v>445</v>
      </c>
      <c r="C23" s="294"/>
      <c r="D23" s="294"/>
      <c r="E23" s="143"/>
    </row>
    <row r="24" spans="2:5" ht="15.75">
      <c r="B24" s="299" t="s">
        <v>446</v>
      </c>
      <c r="C24" s="368">
        <f>IF(C25*0.1&lt;C23,"Exceed 10% Rule","")</f>
      </c>
      <c r="D24" s="368">
        <f>IF(D25*0.1&lt;D23,"Exceed 10% Rule","")</f>
      </c>
      <c r="E24" s="302">
        <f>IF(E25*0.1+E53&lt;E23,"Exceed 10% Rule","")</f>
      </c>
    </row>
    <row r="25" spans="2:5" ht="15.75">
      <c r="B25" s="300" t="s">
        <v>495</v>
      </c>
      <c r="C25" s="369">
        <f>SUM(C8:C23)</f>
        <v>223</v>
      </c>
      <c r="D25" s="369">
        <f>SUM(D8:D23)</f>
        <v>2775</v>
      </c>
      <c r="E25" s="301">
        <f>SUM(E8:E23)</f>
        <v>249</v>
      </c>
    </row>
    <row r="26" spans="2:5" ht="15.75">
      <c r="B26" s="100" t="s">
        <v>496</v>
      </c>
      <c r="C26" s="369">
        <f>C25+C6</f>
        <v>1884</v>
      </c>
      <c r="D26" s="369">
        <f>D25+D6</f>
        <v>4335</v>
      </c>
      <c r="E26" s="301">
        <f>E25+E6</f>
        <v>3424</v>
      </c>
    </row>
    <row r="27" spans="2:5" ht="15.75">
      <c r="B27" s="82" t="s">
        <v>497</v>
      </c>
      <c r="C27" s="366"/>
      <c r="D27" s="366"/>
      <c r="E27" s="235"/>
    </row>
    <row r="28" spans="2:5" ht="15.75">
      <c r="B28" s="297"/>
      <c r="C28" s="294"/>
      <c r="D28" s="294"/>
      <c r="E28" s="143"/>
    </row>
    <row r="29" spans="2:5" ht="15.75">
      <c r="B29" s="298" t="s">
        <v>318</v>
      </c>
      <c r="C29" s="294"/>
      <c r="D29" s="294"/>
      <c r="E29" s="143"/>
    </row>
    <row r="30" spans="2:5" ht="15.75">
      <c r="B30" s="298" t="s">
        <v>340</v>
      </c>
      <c r="C30" s="294"/>
      <c r="D30" s="294"/>
      <c r="E30" s="143"/>
    </row>
    <row r="31" spans="2:5" ht="15.75">
      <c r="B31" s="298" t="s">
        <v>319</v>
      </c>
      <c r="C31" s="294"/>
      <c r="D31" s="294"/>
      <c r="E31" s="143"/>
    </row>
    <row r="32" spans="2:5" ht="15.75">
      <c r="B32" s="298" t="s">
        <v>502</v>
      </c>
      <c r="C32" s="294"/>
      <c r="D32" s="294"/>
      <c r="E32" s="143"/>
    </row>
    <row r="33" spans="2:5" ht="15.75">
      <c r="B33" s="297" t="s">
        <v>320</v>
      </c>
      <c r="C33" s="294"/>
      <c r="D33" s="294"/>
      <c r="E33" s="143"/>
    </row>
    <row r="34" spans="2:5" ht="15.75">
      <c r="B34" s="297" t="s">
        <v>341</v>
      </c>
      <c r="C34" s="294"/>
      <c r="D34" s="294"/>
      <c r="E34" s="143"/>
    </row>
    <row r="35" spans="2:5" ht="15.75">
      <c r="B35" s="298" t="s">
        <v>342</v>
      </c>
      <c r="C35" s="294"/>
      <c r="D35" s="294"/>
      <c r="E35" s="143"/>
    </row>
    <row r="36" spans="2:5" ht="15.75">
      <c r="B36" s="298" t="s">
        <v>591</v>
      </c>
      <c r="C36" s="294">
        <v>74</v>
      </c>
      <c r="D36" s="294">
        <v>160</v>
      </c>
      <c r="E36" s="143">
        <v>160</v>
      </c>
    </row>
    <row r="37" spans="2:5" ht="15.75">
      <c r="B37" s="297" t="s">
        <v>592</v>
      </c>
      <c r="C37" s="294">
        <v>250</v>
      </c>
      <c r="D37" s="294">
        <v>1000</v>
      </c>
      <c r="E37" s="143">
        <v>5000</v>
      </c>
    </row>
    <row r="38" spans="2:5" ht="15.75">
      <c r="B38" s="298"/>
      <c r="C38" s="294"/>
      <c r="D38" s="294"/>
      <c r="E38" s="143"/>
    </row>
    <row r="39" spans="2:5" ht="15.75">
      <c r="B39" s="296" t="s">
        <v>434</v>
      </c>
      <c r="C39" s="294"/>
      <c r="D39" s="294"/>
      <c r="E39" s="143"/>
    </row>
    <row r="40" spans="2:10" ht="15.75">
      <c r="B40" s="296" t="s">
        <v>435</v>
      </c>
      <c r="C40" s="368">
        <f>IF(AND($C$39&gt;0,$C$8&gt;0),"Not Authorized","")</f>
      </c>
      <c r="D40" s="368">
        <f>IF(AND($D$39&gt;0,$D$8&gt;0),"Not Authorized","")</f>
      </c>
      <c r="E40" s="302">
        <f>IF(AND(E53&gt;0,$E$39&gt;0),"Not Authorized","")</f>
      </c>
      <c r="G40" s="524" t="str">
        <f>CONCATENATE("Projected Carryover Into ",E1+1,"")</f>
        <v>Projected Carryover Into 2014</v>
      </c>
      <c r="H40" s="525"/>
      <c r="I40" s="525"/>
      <c r="J40" s="489"/>
    </row>
    <row r="41" spans="2:10" ht="15.75">
      <c r="B41" s="82" t="s">
        <v>436</v>
      </c>
      <c r="C41" s="294"/>
      <c r="D41" s="294"/>
      <c r="E41" s="143"/>
      <c r="G41" s="397"/>
      <c r="H41" s="73"/>
      <c r="I41" s="73"/>
      <c r="J41" s="86"/>
    </row>
    <row r="42" spans="2:10" ht="15.75">
      <c r="B42" s="82" t="s">
        <v>11</v>
      </c>
      <c r="C42" s="368">
        <f>IF(C26*0.25&lt;C41,"Exceeds 25%","")</f>
      </c>
      <c r="D42" s="368">
        <f>IF(D26*0.25&lt;D41,"Exceeds 25%","")</f>
      </c>
      <c r="E42" s="302">
        <f>IF(E26*0.25+E53&lt;E41,"Exceeds 25%","")</f>
      </c>
      <c r="G42" s="398">
        <f>D47</f>
        <v>3175</v>
      </c>
      <c r="H42" s="399" t="str">
        <f>CONCATENATE("",E1-1," Ending Cash Balance (est.)")</f>
        <v>2012 Ending Cash Balance (est.)</v>
      </c>
      <c r="I42" s="400"/>
      <c r="J42" s="86"/>
    </row>
    <row r="43" spans="2:10" ht="15.75">
      <c r="B43" s="296" t="s">
        <v>447</v>
      </c>
      <c r="C43" s="294"/>
      <c r="D43" s="294"/>
      <c r="E43" s="154">
        <f>nhood!E6</f>
      </c>
      <c r="G43" s="398">
        <f>E25</f>
        <v>249</v>
      </c>
      <c r="H43" s="401" t="str">
        <f>CONCATENATE("",E1," Non-AV Receipts (est.)")</f>
        <v>2013 Non-AV Receipts (est.)</v>
      </c>
      <c r="I43" s="401"/>
      <c r="J43" s="86"/>
    </row>
    <row r="44" spans="2:10" ht="15.75">
      <c r="B44" s="296" t="s">
        <v>445</v>
      </c>
      <c r="C44" s="294"/>
      <c r="D44" s="294"/>
      <c r="E44" s="143"/>
      <c r="G44" s="402">
        <f>E53</f>
        <v>1736</v>
      </c>
      <c r="H44" s="401" t="str">
        <f>CONCATENATE("",E1," Ad Valorem Tax (est.)")</f>
        <v>2013 Ad Valorem Tax (est.)</v>
      </c>
      <c r="I44" s="401"/>
      <c r="J44" s="86"/>
    </row>
    <row r="45" spans="2:10" ht="15.75">
      <c r="B45" s="296" t="s">
        <v>229</v>
      </c>
      <c r="C45" s="368">
        <f>IF(C46*0.1&lt;C44,"Exceed 10% Rule","")</f>
      </c>
      <c r="D45" s="368">
        <f>IF(D46*0.1&lt;D44,"Exceed 10% Rule","")</f>
      </c>
      <c r="E45" s="302">
        <f>IF(E46*0.1&lt;E44,"Exceed 10% Rule","")</f>
      </c>
      <c r="G45" s="398">
        <f>SUM(G42:G44)</f>
        <v>5160</v>
      </c>
      <c r="H45" s="401" t="str">
        <f>CONCATENATE("Total ",E1," Resources Available")</f>
        <v>Total 2013 Resources Available</v>
      </c>
      <c r="I45" s="400"/>
      <c r="J45" s="86"/>
    </row>
    <row r="46" spans="2:10" ht="15.75">
      <c r="B46" s="100" t="s">
        <v>498</v>
      </c>
      <c r="C46" s="369">
        <f>SUM(C28:C39,C41,C43:C44)</f>
        <v>324</v>
      </c>
      <c r="D46" s="369">
        <f>SUM(D28:D39,D41,D43:D44)</f>
        <v>1160</v>
      </c>
      <c r="E46" s="301">
        <f>SUM(E28:E39,E43:E44,E41)</f>
        <v>5160</v>
      </c>
      <c r="G46" s="403"/>
      <c r="H46" s="401"/>
      <c r="I46" s="401"/>
      <c r="J46" s="86"/>
    </row>
    <row r="47" spans="2:10" ht="15.75">
      <c r="B47" s="82" t="s">
        <v>334</v>
      </c>
      <c r="C47" s="370">
        <f>C26-C46</f>
        <v>1560</v>
      </c>
      <c r="D47" s="370">
        <f>D26-D46</f>
        <v>3175</v>
      </c>
      <c r="E47" s="295" t="s">
        <v>468</v>
      </c>
      <c r="G47" s="402">
        <f>C46*0.05+C46</f>
        <v>340.2</v>
      </c>
      <c r="H47" s="401" t="str">
        <f>CONCATENATE("Less ",E1-2," Expenditures + 5%")</f>
        <v>Less 2011 Expenditures + 5%</v>
      </c>
      <c r="I47" s="400"/>
      <c r="J47" s="86"/>
    </row>
    <row r="48" spans="2:10" ht="15.75">
      <c r="B48" s="121" t="str">
        <f>CONCATENATE("",E1-2,"/",E1-1," Budget Authority Amount:")</f>
        <v>2011/2012 Budget Authority Amount:</v>
      </c>
      <c r="C48" s="319">
        <f>inputOth!B83</f>
        <v>2660</v>
      </c>
      <c r="D48" s="69">
        <f>inputPrYr!D20</f>
        <v>5160</v>
      </c>
      <c r="E48" s="295" t="s">
        <v>468</v>
      </c>
      <c r="F48" s="303"/>
      <c r="G48" s="404">
        <f>G45-G47</f>
        <v>4819.8</v>
      </c>
      <c r="H48" s="405" t="str">
        <f>CONCATENATE("Projected ",E1+1," Carryover (est.)")</f>
        <v>Projected 2014 Carryover (est.)</v>
      </c>
      <c r="I48" s="406"/>
      <c r="J48" s="407"/>
    </row>
    <row r="49" spans="2:6" ht="15.75">
      <c r="B49" s="121"/>
      <c r="C49" s="518" t="s">
        <v>226</v>
      </c>
      <c r="D49" s="519"/>
      <c r="E49" s="143"/>
      <c r="F49" s="303">
        <f>IF(E46/0.95-E46&lt;E49,"Exceeds 5%","")</f>
      </c>
    </row>
    <row r="50" spans="2:10" ht="15.75">
      <c r="B50" s="391" t="str">
        <f>CONCATENATE(C70,"      ",D70)</f>
        <v>      </v>
      </c>
      <c r="C50" s="520" t="s">
        <v>227</v>
      </c>
      <c r="D50" s="521"/>
      <c r="E50" s="235">
        <f>E46+E49</f>
        <v>5160</v>
      </c>
      <c r="G50" s="408">
        <f>IF(inputOth!E11=0,"",ROUND(gen!E53/inputOth!E11*1000,3))</f>
        <v>0.221</v>
      </c>
      <c r="H50" s="409" t="str">
        <f>CONCATENATE("Projected ",E1-1," Mill Rate (est.)")</f>
        <v>Projected 2012 Mill Rate (est.)</v>
      </c>
      <c r="I50" s="410"/>
      <c r="J50" s="411"/>
    </row>
    <row r="51" spans="2:10" ht="15.75">
      <c r="B51" s="391" t="str">
        <f>CONCATENATE(C71,"       ",D71)</f>
        <v>       </v>
      </c>
      <c r="C51" s="394"/>
      <c r="D51" s="393" t="s">
        <v>499</v>
      </c>
      <c r="E51" s="154">
        <f>IF(E50-E26&gt;0,E50-E26,0)</f>
        <v>1736</v>
      </c>
      <c r="G51" s="412"/>
      <c r="H51" s="412"/>
      <c r="I51" s="412"/>
      <c r="J51" s="412"/>
    </row>
    <row r="52" spans="2:10" ht="15.75">
      <c r="B52" s="184"/>
      <c r="C52" s="392" t="s">
        <v>228</v>
      </c>
      <c r="D52" s="396">
        <f>inputOth!$E$77</f>
        <v>0</v>
      </c>
      <c r="E52" s="235">
        <f>ROUND(IF(D52&gt;0,(E51*D52),0),0)</f>
        <v>0</v>
      </c>
      <c r="G52" s="524" t="str">
        <f>CONCATENATE("Desired Carryover Into ",E1+1,"")</f>
        <v>Desired Carryover Into 2014</v>
      </c>
      <c r="H52" s="526"/>
      <c r="I52" s="526"/>
      <c r="J52" s="489"/>
    </row>
    <row r="53" spans="2:10" ht="15.75">
      <c r="B53" s="66"/>
      <c r="C53" s="522" t="str">
        <f>CONCATENATE("Amount of  ",$E$1-1," Ad Valorem Tax")</f>
        <v>Amount of  2012 Ad Valorem Tax</v>
      </c>
      <c r="D53" s="523"/>
      <c r="E53" s="154">
        <f>E51+E52</f>
        <v>1736</v>
      </c>
      <c r="G53" s="413"/>
      <c r="H53" s="73"/>
      <c r="I53" s="401"/>
      <c r="J53" s="414"/>
    </row>
    <row r="54" spans="2:10" ht="15.75">
      <c r="B54" s="66"/>
      <c r="C54" s="66"/>
      <c r="D54" s="66"/>
      <c r="E54" s="66"/>
      <c r="G54" s="415" t="s">
        <v>231</v>
      </c>
      <c r="H54" s="401"/>
      <c r="I54" s="401"/>
      <c r="J54" s="416">
        <v>0</v>
      </c>
    </row>
    <row r="55" spans="2:10" s="304" customFormat="1" ht="15.75">
      <c r="B55" s="73"/>
      <c r="C55" s="73"/>
      <c r="D55" s="242"/>
      <c r="E55" s="73"/>
      <c r="G55" s="413" t="s">
        <v>232</v>
      </c>
      <c r="H55" s="73"/>
      <c r="I55" s="73"/>
      <c r="J55" s="417">
        <f>IF(gen!J54=0,"",ROUND((J54+E53-G48)/inputOth!E11*1000,3)-G50)</f>
      </c>
    </row>
    <row r="56" spans="2:10" s="305" customFormat="1" ht="15.75">
      <c r="B56" s="66"/>
      <c r="C56" s="66"/>
      <c r="D56" s="162"/>
      <c r="E56" s="66"/>
      <c r="G56" s="418" t="str">
        <f>CONCATENATE("",E1," Total Expenditures Must Be:")</f>
        <v>2013 Total Expenditures Must Be:</v>
      </c>
      <c r="H56" s="419"/>
      <c r="I56" s="420"/>
      <c r="J56" s="421">
        <f>IF((J54&gt;0),(E46+J54-G48),0)</f>
        <v>0</v>
      </c>
    </row>
    <row r="57" spans="2:5" ht="15.75">
      <c r="B57" s="184" t="s">
        <v>482</v>
      </c>
      <c r="C57" s="126">
        <v>6</v>
      </c>
      <c r="D57" s="66"/>
      <c r="E57" s="66"/>
    </row>
    <row r="59" ht="15.75">
      <c r="B59" s="112"/>
    </row>
    <row r="70" spans="3:4" ht="15.75" hidden="1">
      <c r="C70" s="128">
        <f>IF(C46&gt;C48,"See Tab A","")</f>
      </c>
      <c r="D70" s="128">
        <f>IF(D46&gt;D48,"See Tab C","")</f>
      </c>
    </row>
    <row r="71" spans="3:4" ht="15.75" hidden="1">
      <c r="C71" s="128">
        <f>IF(C47&lt;0,"See Tab B","")</f>
      </c>
      <c r="D71" s="128">
        <f>IF(D47&lt;0,"See Tab D","")</f>
      </c>
    </row>
  </sheetData>
  <sheetProtection sheet="1"/>
  <mergeCells count="5">
    <mergeCell ref="C49:D49"/>
    <mergeCell ref="C50:D50"/>
    <mergeCell ref="C53:D53"/>
    <mergeCell ref="G40:J40"/>
    <mergeCell ref="G52:J52"/>
  </mergeCells>
  <conditionalFormatting sqref="C23">
    <cfRule type="cellIs" priority="2" dxfId="40" operator="greaterThan" stopIfTrue="1">
      <formula>$C$25*0.1</formula>
    </cfRule>
  </conditionalFormatting>
  <conditionalFormatting sqref="D23">
    <cfRule type="cellIs" priority="3" dxfId="40" operator="greaterThan" stopIfTrue="1">
      <formula>$D$25*0.1</formula>
    </cfRule>
  </conditionalFormatting>
  <conditionalFormatting sqref="E49">
    <cfRule type="cellIs" priority="4" dxfId="40" operator="greaterThan" stopIfTrue="1">
      <formula>$E$46/0.95-$E$46</formula>
    </cfRule>
  </conditionalFormatting>
  <conditionalFormatting sqref="E44">
    <cfRule type="cellIs" priority="5" dxfId="40" operator="greaterThan" stopIfTrue="1">
      <formula>$E$46*0.1</formula>
    </cfRule>
  </conditionalFormatting>
  <conditionalFormatting sqref="D44">
    <cfRule type="cellIs" priority="6" dxfId="40" operator="greaterThan" stopIfTrue="1">
      <formula>$D$46*0.1</formula>
    </cfRule>
  </conditionalFormatting>
  <conditionalFormatting sqref="C44">
    <cfRule type="cellIs" priority="7" dxfId="40" operator="greaterThan" stopIfTrue="1">
      <formula>$C$46*0.1</formula>
    </cfRule>
  </conditionalFormatting>
  <conditionalFormatting sqref="C46">
    <cfRule type="cellIs" priority="8" dxfId="40" operator="greaterThan" stopIfTrue="1">
      <formula>$C$48</formula>
    </cfRule>
  </conditionalFormatting>
  <conditionalFormatting sqref="C47">
    <cfRule type="cellIs" priority="9" dxfId="40" operator="lessThan" stopIfTrue="1">
      <formula>0</formula>
    </cfRule>
  </conditionalFormatting>
  <conditionalFormatting sqref="C41">
    <cfRule type="cellIs" priority="11" dxfId="40" operator="greaterThan" stopIfTrue="1">
      <formula>$C$26*0.25</formula>
    </cfRule>
  </conditionalFormatting>
  <conditionalFormatting sqref="D41">
    <cfRule type="cellIs" priority="12" dxfId="40" operator="greaterThan" stopIfTrue="1">
      <formula>$D$26*0.25</formula>
    </cfRule>
  </conditionalFormatting>
  <conditionalFormatting sqref="D39">
    <cfRule type="expression" priority="13" dxfId="40" stopIfTrue="1">
      <formula>$D$8&gt;0</formula>
    </cfRule>
  </conditionalFormatting>
  <conditionalFormatting sqref="E23">
    <cfRule type="cellIs" priority="14" dxfId="40" operator="greaterThan" stopIfTrue="1">
      <formula>$E$25*0.1+$E$53</formula>
    </cfRule>
  </conditionalFormatting>
  <conditionalFormatting sqref="C39">
    <cfRule type="expression" priority="15" dxfId="40" stopIfTrue="1">
      <formula>$C$8&gt;0</formula>
    </cfRule>
  </conditionalFormatting>
  <conditionalFormatting sqref="E41">
    <cfRule type="cellIs" priority="16" dxfId="40" operator="greaterThan" stopIfTrue="1">
      <formula>$E$26*0.25+$E$53</formula>
    </cfRule>
  </conditionalFormatting>
  <conditionalFormatting sqref="E39">
    <cfRule type="expression" priority="17" dxfId="40" stopIfTrue="1">
      <formula>$E$53&gt;0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37">
      <selection activeCell="D51" sqref="D51"/>
    </sheetView>
  </sheetViews>
  <sheetFormatPr defaultColWidth="8.796875" defaultRowHeight="15.75"/>
  <cols>
    <col min="1" max="1" width="2.3984375" style="128" customWidth="1"/>
    <col min="2" max="2" width="31" style="128" customWidth="1"/>
    <col min="3" max="4" width="15.69921875" style="128" customWidth="1"/>
    <col min="5" max="5" width="15.19921875" style="128" customWidth="1"/>
    <col min="6" max="6" width="8.796875" style="128" customWidth="1"/>
    <col min="7" max="7" width="9" style="128" customWidth="1"/>
    <col min="8" max="16384" width="8.796875" style="128" customWidth="1"/>
  </cols>
  <sheetData>
    <row r="1" spans="2:5" ht="15.75">
      <c r="B1" s="198" t="str">
        <f>inputPrYr!D3</f>
        <v>Liberty Township</v>
      </c>
      <c r="C1" s="66"/>
      <c r="D1" s="66"/>
      <c r="E1" s="307">
        <f>inputPrYr!$D$9</f>
        <v>2013</v>
      </c>
    </row>
    <row r="2" spans="2:5" ht="15.75">
      <c r="B2" s="66"/>
      <c r="C2" s="66"/>
      <c r="D2" s="66"/>
      <c r="E2" s="184"/>
    </row>
    <row r="3" spans="2:5" ht="15.75">
      <c r="B3" s="462" t="s">
        <v>244</v>
      </c>
      <c r="C3" s="181"/>
      <c r="D3" s="181"/>
      <c r="E3" s="68"/>
    </row>
    <row r="4" spans="2:5" ht="15.75">
      <c r="B4" s="66"/>
      <c r="C4" s="308"/>
      <c r="D4" s="308"/>
      <c r="E4" s="308"/>
    </row>
    <row r="5" spans="2:5" ht="15.75">
      <c r="B5" s="74" t="s">
        <v>483</v>
      </c>
      <c r="C5" s="364" t="s">
        <v>484</v>
      </c>
      <c r="D5" s="367" t="s">
        <v>485</v>
      </c>
      <c r="E5" s="76" t="s">
        <v>486</v>
      </c>
    </row>
    <row r="6" spans="2:5" ht="15.75">
      <c r="B6" s="385" t="s">
        <v>513</v>
      </c>
      <c r="C6" s="365" t="str">
        <f>CONCATENATE("Actual ",$E$1-2,"")</f>
        <v>Actual 2011</v>
      </c>
      <c r="D6" s="365" t="str">
        <f>CONCATENATE("Estimate ",$E$1-1,"")</f>
        <v>Estimate 2012</v>
      </c>
      <c r="E6" s="81" t="str">
        <f>CONCATENATE("Year ",$E$1,"")</f>
        <v>Year 2013</v>
      </c>
    </row>
    <row r="7" spans="2:5" ht="15.75">
      <c r="B7" s="82" t="s">
        <v>357</v>
      </c>
      <c r="C7" s="374"/>
      <c r="D7" s="395">
        <f>C52</f>
        <v>0</v>
      </c>
      <c r="E7" s="309">
        <f>D52</f>
        <v>0</v>
      </c>
    </row>
    <row r="8" spans="2:5" ht="15.75">
      <c r="B8" s="82" t="s">
        <v>335</v>
      </c>
      <c r="C8" s="371"/>
      <c r="D8" s="395"/>
      <c r="E8" s="309"/>
    </row>
    <row r="9" spans="2:5" ht="15.75">
      <c r="B9" s="82" t="s">
        <v>488</v>
      </c>
      <c r="C9" s="294"/>
      <c r="D9" s="371">
        <f>inputPrYr!E21</f>
        <v>0</v>
      </c>
      <c r="E9" s="295" t="s">
        <v>468</v>
      </c>
    </row>
    <row r="10" spans="2:5" ht="15.75">
      <c r="B10" s="82" t="s">
        <v>489</v>
      </c>
      <c r="C10" s="294"/>
      <c r="D10" s="294"/>
      <c r="E10" s="310"/>
    </row>
    <row r="11" spans="2:5" ht="15.75">
      <c r="B11" s="82" t="s">
        <v>490</v>
      </c>
      <c r="C11" s="294"/>
      <c r="D11" s="294"/>
      <c r="E11" s="311">
        <f>mvalloc!G13</f>
        <v>0</v>
      </c>
    </row>
    <row r="12" spans="2:5" ht="15.75">
      <c r="B12" s="82" t="s">
        <v>491</v>
      </c>
      <c r="C12" s="294"/>
      <c r="D12" s="294"/>
      <c r="E12" s="311">
        <f>mvalloc!I13</f>
        <v>0</v>
      </c>
    </row>
    <row r="13" spans="2:5" ht="15.75">
      <c r="B13" s="312" t="s">
        <v>316</v>
      </c>
      <c r="C13" s="294"/>
      <c r="D13" s="294"/>
      <c r="E13" s="311">
        <f>mvalloc!J13</f>
        <v>0</v>
      </c>
    </row>
    <row r="14" spans="2:5" ht="15.75">
      <c r="B14" s="312" t="s">
        <v>376</v>
      </c>
      <c r="C14" s="294"/>
      <c r="D14" s="294"/>
      <c r="E14" s="311">
        <f>mvalloc!K13</f>
        <v>0</v>
      </c>
    </row>
    <row r="15" spans="2:5" ht="15.75">
      <c r="B15" s="312"/>
      <c r="C15" s="294"/>
      <c r="D15" s="294"/>
      <c r="E15" s="311"/>
    </row>
    <row r="16" spans="2:5" ht="15.75">
      <c r="B16" s="313"/>
      <c r="C16" s="294"/>
      <c r="D16" s="294"/>
      <c r="E16" s="310"/>
    </row>
    <row r="17" spans="2:5" ht="15.75">
      <c r="B17" s="313"/>
      <c r="C17" s="294"/>
      <c r="D17" s="294"/>
      <c r="E17" s="314"/>
    </row>
    <row r="18" spans="2:5" ht="15.75">
      <c r="B18" s="313"/>
      <c r="C18" s="294"/>
      <c r="D18" s="294"/>
      <c r="E18" s="310"/>
    </row>
    <row r="19" spans="2:5" ht="15.75">
      <c r="B19" s="313"/>
      <c r="C19" s="294"/>
      <c r="D19" s="294"/>
      <c r="E19" s="310"/>
    </row>
    <row r="20" spans="2:5" ht="15.75">
      <c r="B20" s="313"/>
      <c r="C20" s="294"/>
      <c r="D20" s="294"/>
      <c r="E20" s="310"/>
    </row>
    <row r="21" spans="2:5" ht="15.75">
      <c r="B21" s="313"/>
      <c r="C21" s="294"/>
      <c r="D21" s="294"/>
      <c r="E21" s="310"/>
    </row>
    <row r="22" spans="2:5" ht="15.75">
      <c r="B22" s="313"/>
      <c r="C22" s="294"/>
      <c r="D22" s="294"/>
      <c r="E22" s="310"/>
    </row>
    <row r="23" spans="2:5" ht="15.75">
      <c r="B23" s="313"/>
      <c r="C23" s="294"/>
      <c r="D23" s="294"/>
      <c r="E23" s="310"/>
    </row>
    <row r="24" spans="2:5" ht="15.75">
      <c r="B24" s="313"/>
      <c r="C24" s="294"/>
      <c r="D24" s="294"/>
      <c r="E24" s="310"/>
    </row>
    <row r="25" spans="2:5" ht="15.75">
      <c r="B25" s="313" t="s">
        <v>367</v>
      </c>
      <c r="C25" s="294"/>
      <c r="D25" s="294"/>
      <c r="E25" s="310"/>
    </row>
    <row r="26" spans="2:5" ht="15.75">
      <c r="B26" s="315" t="s">
        <v>494</v>
      </c>
      <c r="C26" s="294"/>
      <c r="D26" s="294"/>
      <c r="E26" s="310"/>
    </row>
    <row r="27" spans="2:5" ht="15.75">
      <c r="B27" s="299" t="s">
        <v>445</v>
      </c>
      <c r="C27" s="294"/>
      <c r="D27" s="294"/>
      <c r="E27" s="143"/>
    </row>
    <row r="28" spans="2:5" ht="15.75">
      <c r="B28" s="299" t="s">
        <v>446</v>
      </c>
      <c r="C28" s="368">
        <f>IF(C29*0.1&lt;C27,"Exceed 10% Rule","")</f>
      </c>
      <c r="D28" s="368">
        <f>IF(D29*0.1&lt;D27,"Exceed 10% Rule","")</f>
      </c>
      <c r="E28" s="302">
        <f>IF(E29*0.1+E58&lt;E27,"Exceed 10% Rule","")</f>
      </c>
    </row>
    <row r="29" spans="2:5" ht="15.75">
      <c r="B29" s="100" t="s">
        <v>495</v>
      </c>
      <c r="C29" s="372">
        <f>SUM(C9:C27)</f>
        <v>0</v>
      </c>
      <c r="D29" s="372">
        <f>SUM(D9:D27)</f>
        <v>0</v>
      </c>
      <c r="E29" s="316">
        <f>SUM(E9:E27)</f>
        <v>0</v>
      </c>
    </row>
    <row r="30" spans="2:5" ht="15.75">
      <c r="B30" s="100" t="s">
        <v>496</v>
      </c>
      <c r="C30" s="372">
        <f>C7+C29</f>
        <v>0</v>
      </c>
      <c r="D30" s="372">
        <f>D7+D29</f>
        <v>0</v>
      </c>
      <c r="E30" s="317">
        <f>E7+E29</f>
        <v>0</v>
      </c>
    </row>
    <row r="31" spans="2:5" ht="15.75">
      <c r="B31" s="87" t="s">
        <v>497</v>
      </c>
      <c r="C31" s="371"/>
      <c r="D31" s="371"/>
      <c r="E31" s="311"/>
    </row>
    <row r="32" spans="2:5" ht="15.75">
      <c r="B32" s="297"/>
      <c r="C32" s="294"/>
      <c r="D32" s="294"/>
      <c r="E32" s="310"/>
    </row>
    <row r="33" spans="2:5" ht="15.75">
      <c r="B33" s="297"/>
      <c r="C33" s="294"/>
      <c r="D33" s="294"/>
      <c r="E33" s="310"/>
    </row>
    <row r="34" spans="2:5" ht="15.75">
      <c r="B34" s="297"/>
      <c r="C34" s="294"/>
      <c r="D34" s="294"/>
      <c r="E34" s="310"/>
    </row>
    <row r="35" spans="2:5" ht="15.75">
      <c r="B35" s="297"/>
      <c r="C35" s="294"/>
      <c r="D35" s="294"/>
      <c r="E35" s="310"/>
    </row>
    <row r="36" spans="2:5" ht="15.75">
      <c r="B36" s="297"/>
      <c r="C36" s="294"/>
      <c r="D36" s="294"/>
      <c r="E36" s="310"/>
    </row>
    <row r="37" spans="2:5" ht="15.75">
      <c r="B37" s="297"/>
      <c r="C37" s="294"/>
      <c r="D37" s="294"/>
      <c r="E37" s="310"/>
    </row>
    <row r="38" spans="2:5" ht="15.75">
      <c r="B38" s="297"/>
      <c r="C38" s="294"/>
      <c r="D38" s="294"/>
      <c r="E38" s="310"/>
    </row>
    <row r="39" spans="2:5" ht="15.75">
      <c r="B39" s="297"/>
      <c r="C39" s="294"/>
      <c r="D39" s="294"/>
      <c r="E39" s="310"/>
    </row>
    <row r="40" spans="2:5" ht="15.75">
      <c r="B40" s="297"/>
      <c r="C40" s="294"/>
      <c r="D40" s="294"/>
      <c r="E40" s="310"/>
    </row>
    <row r="41" spans="2:5" ht="15.75">
      <c r="B41" s="297"/>
      <c r="C41" s="294"/>
      <c r="D41" s="294"/>
      <c r="E41" s="310"/>
    </row>
    <row r="42" spans="2:5" ht="15.75">
      <c r="B42" s="297"/>
      <c r="C42" s="294"/>
      <c r="D42" s="294"/>
      <c r="E42" s="310"/>
    </row>
    <row r="43" spans="2:5" ht="15.75">
      <c r="B43" s="297"/>
      <c r="C43" s="294"/>
      <c r="D43" s="294"/>
      <c r="E43" s="310"/>
    </row>
    <row r="44" spans="2:5" ht="15.75">
      <c r="B44" s="297"/>
      <c r="C44" s="294"/>
      <c r="D44" s="294"/>
      <c r="E44" s="310"/>
    </row>
    <row r="45" spans="2:5" ht="15.75">
      <c r="B45" s="297"/>
      <c r="C45" s="294"/>
      <c r="D45" s="294"/>
      <c r="E45" s="310"/>
    </row>
    <row r="46" spans="2:5" ht="15.75">
      <c r="B46" s="297"/>
      <c r="C46" s="294"/>
      <c r="D46" s="294"/>
      <c r="E46" s="310"/>
    </row>
    <row r="47" spans="2:5" ht="15.75">
      <c r="B47" s="297"/>
      <c r="C47" s="294"/>
      <c r="D47" s="294"/>
      <c r="E47" s="310"/>
    </row>
    <row r="48" spans="2:5" ht="15.75">
      <c r="B48" s="296" t="s">
        <v>447</v>
      </c>
      <c r="C48" s="294"/>
      <c r="D48" s="294"/>
      <c r="E48" s="154">
        <f>nhood!E7</f>
      </c>
    </row>
    <row r="49" spans="2:5" ht="15.75">
      <c r="B49" s="296" t="s">
        <v>445</v>
      </c>
      <c r="C49" s="294"/>
      <c r="D49" s="294"/>
      <c r="E49" s="143"/>
    </row>
    <row r="50" spans="2:9" ht="15.75">
      <c r="B50" s="296" t="s">
        <v>229</v>
      </c>
      <c r="C50" s="368">
        <f>IF(C51*0.1&lt;C49,"Exceed 10% Rule","")</f>
      </c>
      <c r="D50" s="368">
        <f>IF(D51*0.1&lt;D49,"Exceed 10% Rule","")</f>
      </c>
      <c r="E50" s="302">
        <f>IF(E51*0.1&lt;E49,"Exceed 10% Rule","")</f>
      </c>
      <c r="G50" s="527" t="str">
        <f>CONCATENATE("Projected Carryover Into ",E1+1,"")</f>
        <v>Projected Carryover Into 2014</v>
      </c>
      <c r="H50" s="528"/>
      <c r="I50" s="529"/>
    </row>
    <row r="51" spans="2:9" ht="15.75">
      <c r="B51" s="100" t="s">
        <v>498</v>
      </c>
      <c r="C51" s="372">
        <f>SUM(C32:C49)</f>
        <v>0</v>
      </c>
      <c r="D51" s="372">
        <f>SUM(D32:D49)</f>
        <v>0</v>
      </c>
      <c r="E51" s="316">
        <f>SUM(E32:E49)</f>
        <v>0</v>
      </c>
      <c r="G51" s="397"/>
      <c r="H51" s="73"/>
      <c r="I51" s="86"/>
    </row>
    <row r="52" spans="2:9" ht="15.75">
      <c r="B52" s="82" t="s">
        <v>334</v>
      </c>
      <c r="C52" s="373">
        <f>C30-C51</f>
        <v>0</v>
      </c>
      <c r="D52" s="373">
        <f>D30-D51</f>
        <v>0</v>
      </c>
      <c r="E52" s="295" t="s">
        <v>468</v>
      </c>
      <c r="G52" s="422">
        <f>D52</f>
        <v>0</v>
      </c>
      <c r="H52" s="423" t="str">
        <f>CONCATENATE("",E1-1," Ending Cash Balance (est.)")</f>
        <v>2012 Ending Cash Balance (est.)</v>
      </c>
      <c r="I52" s="86"/>
    </row>
    <row r="53" spans="2:9" ht="15.75">
      <c r="B53" s="121" t="str">
        <f>CONCATENATE("",E1-2,"/",E1-1," Budget Authority Amount:")</f>
        <v>2011/2012 Budget Authority Amount:</v>
      </c>
      <c r="C53" s="319">
        <f>inputOth!B84</f>
        <v>0</v>
      </c>
      <c r="D53" s="85">
        <f>inputPrYr!D21</f>
        <v>0</v>
      </c>
      <c r="E53" s="295" t="s">
        <v>468</v>
      </c>
      <c r="F53" s="303"/>
      <c r="G53" s="422">
        <f>E29</f>
        <v>0</v>
      </c>
      <c r="H53" s="424" t="str">
        <f>CONCATENATE("",E1," Non-AV Receipts (est.)")</f>
        <v>2013 Non-AV Receipts (est.)</v>
      </c>
      <c r="I53" s="86"/>
    </row>
    <row r="54" spans="2:9" ht="15.75">
      <c r="B54" s="121"/>
      <c r="C54" s="518" t="s">
        <v>226</v>
      </c>
      <c r="D54" s="519"/>
      <c r="E54" s="143"/>
      <c r="F54" s="303">
        <f>IF(E51/0.95-E51&lt;E54,"Exceeds 5%","")</f>
      </c>
      <c r="G54" s="425">
        <f>E58</f>
        <v>0</v>
      </c>
      <c r="H54" s="424" t="str">
        <f>CONCATENATE("",E1," Ad Valorem Tax (est.)")</f>
        <v>2013 Ad Valorem Tax (est.)</v>
      </c>
      <c r="I54" s="86"/>
    </row>
    <row r="55" spans="2:9" ht="15.75">
      <c r="B55" s="391" t="str">
        <f>CONCATENATE(C68,"     ",D68)</f>
        <v>     </v>
      </c>
      <c r="C55" s="520" t="s">
        <v>227</v>
      </c>
      <c r="D55" s="521"/>
      <c r="E55" s="235">
        <f>E51+E54</f>
        <v>0</v>
      </c>
      <c r="G55" s="422">
        <f>SUM(G52:G54)</f>
        <v>0</v>
      </c>
      <c r="H55" s="424" t="str">
        <f>CONCATENATE("Total ",E1," Resources Available")</f>
        <v>Total 2013 Resources Available</v>
      </c>
      <c r="I55" s="86"/>
    </row>
    <row r="56" spans="2:9" ht="15.75">
      <c r="B56" s="391" t="str">
        <f>CONCATENATE(C69,"     ",D69)</f>
        <v>     </v>
      </c>
      <c r="C56" s="394"/>
      <c r="D56" s="393" t="s">
        <v>499</v>
      </c>
      <c r="E56" s="154">
        <f>IF(E55-E30&gt;0,E55-E30,0)</f>
        <v>0</v>
      </c>
      <c r="G56" s="426"/>
      <c r="H56" s="424"/>
      <c r="I56" s="86"/>
    </row>
    <row r="57" spans="2:9" ht="15.75">
      <c r="B57" s="184"/>
      <c r="C57" s="392" t="s">
        <v>228</v>
      </c>
      <c r="D57" s="396">
        <f>inputOth!$E77</f>
        <v>0</v>
      </c>
      <c r="E57" s="235">
        <f>ROUND(IF(D57&gt;0,(E56*D57),0),0)</f>
        <v>0</v>
      </c>
      <c r="G57" s="425">
        <f>C51</f>
        <v>0</v>
      </c>
      <c r="H57" s="424" t="str">
        <f>CONCATENATE("Less ",E1-2," Expenditures")</f>
        <v>Less 2011 Expenditures</v>
      </c>
      <c r="I57" s="86"/>
    </row>
    <row r="58" spans="2:9" ht="15.75">
      <c r="B58" s="66"/>
      <c r="C58" s="522" t="str">
        <f>CONCATENATE("Amount of  ",$E$1-1," Ad Valorem Tax")</f>
        <v>Amount of  2012 Ad Valorem Tax</v>
      </c>
      <c r="D58" s="523"/>
      <c r="E58" s="154">
        <f>E56+E57</f>
        <v>0</v>
      </c>
      <c r="G58" s="427">
        <f>G55-G57</f>
        <v>0</v>
      </c>
      <c r="H58" s="428" t="str">
        <f>CONCATENATE("Projected ",E1+1," carryover (est.)")</f>
        <v>Projected 2014 carryover (est.)</v>
      </c>
      <c r="I58" s="407"/>
    </row>
    <row r="59" spans="2:5" ht="15.75">
      <c r="B59" s="184"/>
      <c r="C59" s="66"/>
      <c r="D59" s="66"/>
      <c r="E59" s="66"/>
    </row>
    <row r="60" spans="2:5" ht="15.75">
      <c r="B60" s="121" t="s">
        <v>482</v>
      </c>
      <c r="C60" s="126"/>
      <c r="D60" s="66"/>
      <c r="E60" s="66"/>
    </row>
    <row r="68" spans="3:4" ht="15.75" hidden="1">
      <c r="C68" s="128">
        <f>IF(C51&gt;C53,"See Tab A","")</f>
      </c>
      <c r="D68" s="128">
        <f>IF(D51&gt;D53,"See Tab C","")</f>
      </c>
    </row>
    <row r="69" spans="3:4" ht="15.75" hidden="1">
      <c r="C69" s="128">
        <f>IF(C52&lt;0,"See Tab B","")</f>
      </c>
      <c r="D69" s="128">
        <f>IF(D52&lt;0,"See Tab D","")</f>
      </c>
    </row>
  </sheetData>
  <sheetProtection sheet="1"/>
  <mergeCells count="4">
    <mergeCell ref="C54:D54"/>
    <mergeCell ref="C55:D55"/>
    <mergeCell ref="C58:D58"/>
    <mergeCell ref="G50:I50"/>
  </mergeCells>
  <conditionalFormatting sqref="C49">
    <cfRule type="cellIs" priority="2" dxfId="40" operator="greaterThan" stopIfTrue="1">
      <formula>$C$51*0.1</formula>
    </cfRule>
  </conditionalFormatting>
  <conditionalFormatting sqref="D49">
    <cfRule type="cellIs" priority="3" dxfId="40" operator="greaterThan" stopIfTrue="1">
      <formula>$D$51*0.1</formula>
    </cfRule>
  </conditionalFormatting>
  <conditionalFormatting sqref="E49">
    <cfRule type="cellIs" priority="4" dxfId="40" operator="greaterThan" stopIfTrue="1">
      <formula>$E$51*0.1</formula>
    </cfRule>
  </conditionalFormatting>
  <conditionalFormatting sqref="E54">
    <cfRule type="cellIs" priority="5" dxfId="40" operator="greaterThan" stopIfTrue="1">
      <formula>$E$51/0.95-$E$51</formula>
    </cfRule>
  </conditionalFormatting>
  <conditionalFormatting sqref="C52">
    <cfRule type="cellIs" priority="6" dxfId="40" operator="lessThan" stopIfTrue="1">
      <formula>0</formula>
    </cfRule>
  </conditionalFormatting>
  <conditionalFormatting sqref="C27">
    <cfRule type="cellIs" priority="9" dxfId="40" operator="greaterThan" stopIfTrue="1">
      <formula>$C$29*0.1</formula>
    </cfRule>
  </conditionalFormatting>
  <conditionalFormatting sqref="D27">
    <cfRule type="cellIs" priority="10" dxfId="40" operator="greaterThan" stopIfTrue="1">
      <formula>$D$29*0.1</formula>
    </cfRule>
  </conditionalFormatting>
  <conditionalFormatting sqref="E27">
    <cfRule type="cellIs" priority="11" dxfId="40" operator="greaterThan" stopIfTrue="1">
      <formula>$E$29*0.1+$E$58</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49">
      <selection activeCell="E62" sqref="E62"/>
    </sheetView>
  </sheetViews>
  <sheetFormatPr defaultColWidth="8.796875" defaultRowHeight="15.75"/>
  <cols>
    <col min="1" max="1" width="2.3984375" style="128" customWidth="1"/>
    <col min="2" max="2" width="31" style="128" customWidth="1"/>
    <col min="3" max="4" width="15.69921875" style="128" customWidth="1"/>
    <col min="5" max="5" width="12.69921875" style="128" customWidth="1"/>
    <col min="6" max="16384" width="8.796875" style="128" customWidth="1"/>
  </cols>
  <sheetData>
    <row r="1" spans="2:5" ht="15.75">
      <c r="B1" s="198" t="str">
        <f>inputPrYr!D3</f>
        <v>Liberty Township</v>
      </c>
      <c r="C1" s="66"/>
      <c r="D1" s="66"/>
      <c r="E1" s="199">
        <f>inputPrYr!D9</f>
        <v>2013</v>
      </c>
    </row>
    <row r="2" spans="2:5" ht="15.75">
      <c r="B2" s="462" t="s">
        <v>244</v>
      </c>
      <c r="C2" s="66"/>
      <c r="D2" s="181"/>
      <c r="E2" s="318"/>
    </row>
    <row r="3" spans="2:5" ht="15.75">
      <c r="B3" s="66"/>
      <c r="C3" s="72"/>
      <c r="D3" s="72"/>
      <c r="E3" s="72"/>
    </row>
    <row r="4" spans="2:5" ht="15.75">
      <c r="B4" s="74" t="s">
        <v>483</v>
      </c>
      <c r="C4" s="364" t="s">
        <v>484</v>
      </c>
      <c r="D4" s="367" t="s">
        <v>485</v>
      </c>
      <c r="E4" s="76" t="s">
        <v>486</v>
      </c>
    </row>
    <row r="5" spans="2:5" ht="15.75">
      <c r="B5" s="385" t="str">
        <f>inputPrYr!B25</f>
        <v>Fire Protection</v>
      </c>
      <c r="C5" s="365" t="str">
        <f>gen!C5</f>
        <v>Actual 2011</v>
      </c>
      <c r="D5" s="365" t="str">
        <f>gen!D5</f>
        <v>Estimate 2012</v>
      </c>
      <c r="E5" s="81" t="str">
        <f>gen!E5</f>
        <v>Year 2013</v>
      </c>
    </row>
    <row r="6" spans="2:5" ht="15.75">
      <c r="B6" s="82" t="s">
        <v>333</v>
      </c>
      <c r="C6" s="294"/>
      <c r="D6" s="366">
        <f>C32</f>
        <v>0</v>
      </c>
      <c r="E6" s="235">
        <f>D32</f>
        <v>0</v>
      </c>
    </row>
    <row r="7" spans="2:5" ht="15.75">
      <c r="B7" s="82" t="s">
        <v>335</v>
      </c>
      <c r="C7" s="366"/>
      <c r="D7" s="366"/>
      <c r="E7" s="295"/>
    </row>
    <row r="8" spans="2:5" ht="15.75">
      <c r="B8" s="82" t="s">
        <v>488</v>
      </c>
      <c r="C8" s="294"/>
      <c r="D8" s="366">
        <f>inputPrYr!E25</f>
        <v>0</v>
      </c>
      <c r="E8" s="295" t="s">
        <v>468</v>
      </c>
    </row>
    <row r="9" spans="2:5" ht="15.75">
      <c r="B9" s="82" t="s">
        <v>489</v>
      </c>
      <c r="C9" s="294"/>
      <c r="D9" s="294"/>
      <c r="E9" s="143"/>
    </row>
    <row r="10" spans="2:5" ht="15.75">
      <c r="B10" s="82" t="s">
        <v>490</v>
      </c>
      <c r="C10" s="294"/>
      <c r="D10" s="294"/>
      <c r="E10" s="235">
        <f>mvalloc!G17</f>
        <v>0</v>
      </c>
    </row>
    <row r="11" spans="2:5" ht="15.75">
      <c r="B11" s="82" t="s">
        <v>491</v>
      </c>
      <c r="C11" s="294"/>
      <c r="D11" s="294"/>
      <c r="E11" s="235">
        <f>mvalloc!I17</f>
        <v>0</v>
      </c>
    </row>
    <row r="12" spans="2:5" ht="15.75">
      <c r="B12" s="82" t="s">
        <v>316</v>
      </c>
      <c r="C12" s="294"/>
      <c r="D12" s="294"/>
      <c r="E12" s="235">
        <f>mvalloc!J17</f>
        <v>0</v>
      </c>
    </row>
    <row r="13" spans="2:5" ht="15.75">
      <c r="B13" s="82" t="s">
        <v>376</v>
      </c>
      <c r="C13" s="294"/>
      <c r="D13" s="294"/>
      <c r="E13" s="235">
        <f>mvalloc!K17</f>
        <v>0</v>
      </c>
    </row>
    <row r="14" spans="2:5" ht="15.75">
      <c r="B14" s="297"/>
      <c r="C14" s="294"/>
      <c r="D14" s="294"/>
      <c r="E14" s="143"/>
    </row>
    <row r="15" spans="2:5" ht="15.75">
      <c r="B15" s="297"/>
      <c r="C15" s="294"/>
      <c r="D15" s="294"/>
      <c r="E15" s="143"/>
    </row>
    <row r="16" spans="2:5" ht="15.75">
      <c r="B16" s="298"/>
      <c r="C16" s="294"/>
      <c r="D16" s="294"/>
      <c r="E16" s="143"/>
    </row>
    <row r="17" spans="2:5" ht="15.75">
      <c r="B17" s="298" t="s">
        <v>494</v>
      </c>
      <c r="C17" s="294"/>
      <c r="D17" s="294"/>
      <c r="E17" s="143"/>
    </row>
    <row r="18" spans="2:5" ht="15.75">
      <c r="B18" s="299" t="s">
        <v>445</v>
      </c>
      <c r="C18" s="294"/>
      <c r="D18" s="294"/>
      <c r="E18" s="143"/>
    </row>
    <row r="19" spans="2:5" ht="15.75">
      <c r="B19" s="299" t="s">
        <v>446</v>
      </c>
      <c r="C19" s="368">
        <f>IF(C20*0.1&lt;C18,"Exceed 10% Rule","")</f>
      </c>
      <c r="D19" s="368">
        <f>IF(D20*0.1&lt;D18,"Exceed 10% Rule","")</f>
      </c>
      <c r="E19" s="302">
        <f>IF(E20*0.1+E38&lt;E18,"Exceed 10% Rule","")</f>
      </c>
    </row>
    <row r="20" spans="2:5" ht="15.75">
      <c r="B20" s="300" t="s">
        <v>495</v>
      </c>
      <c r="C20" s="369">
        <f>SUM(C8:C18)</f>
        <v>0</v>
      </c>
      <c r="D20" s="369">
        <f>SUM(D8:D18)</f>
        <v>0</v>
      </c>
      <c r="E20" s="301">
        <f>SUM(E8:E18)</f>
        <v>0</v>
      </c>
    </row>
    <row r="21" spans="2:5" ht="15.75">
      <c r="B21" s="100" t="s">
        <v>496</v>
      </c>
      <c r="C21" s="369">
        <f>C20+C6</f>
        <v>0</v>
      </c>
      <c r="D21" s="369">
        <f>D20+D6</f>
        <v>0</v>
      </c>
      <c r="E21" s="301">
        <f>E20+E6</f>
        <v>0</v>
      </c>
    </row>
    <row r="22" spans="2:5" ht="15.75">
      <c r="B22" s="82" t="s">
        <v>497</v>
      </c>
      <c r="C22" s="366"/>
      <c r="D22" s="366"/>
      <c r="E22" s="235"/>
    </row>
    <row r="23" spans="2:5" ht="15.75">
      <c r="B23" s="298"/>
      <c r="C23" s="294"/>
      <c r="D23" s="294"/>
      <c r="E23" s="143"/>
    </row>
    <row r="24" spans="2:5" ht="15.75">
      <c r="B24" s="298"/>
      <c r="C24" s="294"/>
      <c r="D24" s="294"/>
      <c r="E24" s="143"/>
    </row>
    <row r="25" spans="2:5" ht="15.75">
      <c r="B25" s="298"/>
      <c r="C25" s="294"/>
      <c r="D25" s="294"/>
      <c r="E25" s="143"/>
    </row>
    <row r="26" spans="2:5" ht="15.75">
      <c r="B26" s="298"/>
      <c r="C26" s="294"/>
      <c r="D26" s="294"/>
      <c r="E26" s="143"/>
    </row>
    <row r="27" spans="2:5" ht="15.75">
      <c r="B27" s="298"/>
      <c r="C27" s="294"/>
      <c r="D27" s="294"/>
      <c r="E27" s="143"/>
    </row>
    <row r="28" spans="2:5" ht="15.75">
      <c r="B28" s="296" t="s">
        <v>447</v>
      </c>
      <c r="C28" s="294"/>
      <c r="D28" s="294"/>
      <c r="E28" s="154">
        <f>nhood!E11</f>
      </c>
    </row>
    <row r="29" spans="2:5" ht="15.75">
      <c r="B29" s="296" t="s">
        <v>445</v>
      </c>
      <c r="C29" s="294"/>
      <c r="D29" s="294"/>
      <c r="E29" s="143"/>
    </row>
    <row r="30" spans="2:5" ht="15.75">
      <c r="B30" s="296" t="s">
        <v>229</v>
      </c>
      <c r="C30" s="368">
        <f>IF(C31*0.1&lt;C29,"Exceed 10% Rule","")</f>
      </c>
      <c r="D30" s="368">
        <f>IF(D31*0.1&lt;D29,"Exceed 10% Rule","")</f>
      </c>
      <c r="E30" s="302">
        <f>IF(E31*0.1&lt;E29,"Exceed 10% Rule","")</f>
      </c>
    </row>
    <row r="31" spans="2:5" ht="15.75">
      <c r="B31" s="100" t="s">
        <v>498</v>
      </c>
      <c r="C31" s="369">
        <f>SUM(C23:C29)</f>
        <v>0</v>
      </c>
      <c r="D31" s="369">
        <f>SUM(D23:D29)</f>
        <v>0</v>
      </c>
      <c r="E31" s="301">
        <f>SUM(E23:E29)</f>
        <v>0</v>
      </c>
    </row>
    <row r="32" spans="2:5" ht="15.75">
      <c r="B32" s="82" t="s">
        <v>334</v>
      </c>
      <c r="C32" s="370">
        <f>C21-C31</f>
        <v>0</v>
      </c>
      <c r="D32" s="370">
        <f>D21-D31</f>
        <v>0</v>
      </c>
      <c r="E32" s="295" t="s">
        <v>468</v>
      </c>
    </row>
    <row r="33" spans="2:6" ht="15.75">
      <c r="B33" s="121" t="str">
        <f>CONCATENATE("",$E$1-2,"/",$E$1-1," Budget Authority Amount:")</f>
        <v>2011/2012 Budget Authority Amount:</v>
      </c>
      <c r="C33" s="319">
        <f>inputOth!$B88</f>
        <v>0</v>
      </c>
      <c r="D33" s="85">
        <f>inputPrYr!$D25</f>
        <v>0</v>
      </c>
      <c r="E33" s="295" t="s">
        <v>468</v>
      </c>
      <c r="F33" s="303"/>
    </row>
    <row r="34" spans="2:6" ht="15.75">
      <c r="B34" s="121"/>
      <c r="C34" s="518" t="s">
        <v>226</v>
      </c>
      <c r="D34" s="519"/>
      <c r="E34" s="143"/>
      <c r="F34" s="303">
        <f>IF(E31/0.95-E31&lt;E34,"Exceeds 5%","")</f>
      </c>
    </row>
    <row r="35" spans="2:5" ht="15.75">
      <c r="B35" s="391" t="str">
        <f>CONCATENATE(C79,"     ",D79)</f>
        <v>     </v>
      </c>
      <c r="C35" s="520" t="s">
        <v>227</v>
      </c>
      <c r="D35" s="521"/>
      <c r="E35" s="235">
        <f>E31+E34</f>
        <v>0</v>
      </c>
    </row>
    <row r="36" spans="2:5" ht="15.75">
      <c r="B36" s="391" t="str">
        <f>CONCATENATE(C80,"     ",D80)</f>
        <v>     </v>
      </c>
      <c r="C36" s="394"/>
      <c r="D36" s="393" t="s">
        <v>499</v>
      </c>
      <c r="E36" s="154">
        <f>IF(E35-E21&gt;0,E35-E21,0)</f>
        <v>0</v>
      </c>
    </row>
    <row r="37" spans="2:5" ht="15.75">
      <c r="B37" s="184"/>
      <c r="C37" s="392" t="s">
        <v>228</v>
      </c>
      <c r="D37" s="396">
        <f>inputOth!$E$77</f>
        <v>0</v>
      </c>
      <c r="E37" s="235">
        <f>ROUND(IF(D37&gt;0,(E36*D37),0),0)</f>
        <v>0</v>
      </c>
    </row>
    <row r="38" spans="2:5" ht="15.75">
      <c r="B38" s="66"/>
      <c r="C38" s="522" t="str">
        <f>CONCATENATE("Amount of  ",$E$1-1," Ad Valorem Tax")</f>
        <v>Amount of  2012 Ad Valorem Tax</v>
      </c>
      <c r="D38" s="523"/>
      <c r="E38" s="154">
        <f>E36+E37</f>
        <v>0</v>
      </c>
    </row>
    <row r="39" spans="2:5" ht="15.75">
      <c r="B39" s="74" t="s">
        <v>483</v>
      </c>
      <c r="C39" s="72"/>
      <c r="D39" s="72"/>
      <c r="E39" s="72"/>
    </row>
    <row r="40" spans="2:5" ht="15.75">
      <c r="B40" s="66"/>
      <c r="C40" s="364" t="s">
        <v>484</v>
      </c>
      <c r="D40" s="367" t="s">
        <v>485</v>
      </c>
      <c r="E40" s="76" t="s">
        <v>486</v>
      </c>
    </row>
    <row r="41" spans="2:5" ht="15.75">
      <c r="B41" s="386" t="str">
        <f>inputPrYr!B26</f>
        <v>Hall</v>
      </c>
      <c r="C41" s="365" t="str">
        <f>C5</f>
        <v>Actual 2011</v>
      </c>
      <c r="D41" s="365" t="str">
        <f>D5</f>
        <v>Estimate 2012</v>
      </c>
      <c r="E41" s="81" t="str">
        <f>E5</f>
        <v>Year 2013</v>
      </c>
    </row>
    <row r="42" spans="2:5" ht="15.75">
      <c r="B42" s="82" t="s">
        <v>333</v>
      </c>
      <c r="C42" s="294">
        <v>4569</v>
      </c>
      <c r="D42" s="366">
        <f>C68</f>
        <v>17134.25</v>
      </c>
      <c r="E42" s="235">
        <f>D68</f>
        <v>10918.25</v>
      </c>
    </row>
    <row r="43" spans="2:5" ht="15.75">
      <c r="B43" s="82" t="s">
        <v>335</v>
      </c>
      <c r="C43" s="366"/>
      <c r="D43" s="366"/>
      <c r="E43" s="295"/>
    </row>
    <row r="44" spans="2:5" ht="15.75">
      <c r="B44" s="82" t="s">
        <v>488</v>
      </c>
      <c r="C44" s="294">
        <v>1189.25</v>
      </c>
      <c r="D44" s="366">
        <f>inputPrYr!E26</f>
        <v>0</v>
      </c>
      <c r="E44" s="295" t="s">
        <v>468</v>
      </c>
    </row>
    <row r="45" spans="2:5" ht="15.75">
      <c r="B45" s="82" t="s">
        <v>489</v>
      </c>
      <c r="C45" s="294">
        <v>40</v>
      </c>
      <c r="D45" s="294">
        <v>25</v>
      </c>
      <c r="E45" s="143">
        <v>25</v>
      </c>
    </row>
    <row r="46" spans="2:5" ht="15.75">
      <c r="B46" s="82" t="s">
        <v>490</v>
      </c>
      <c r="C46" s="294">
        <v>139</v>
      </c>
      <c r="D46" s="294">
        <v>98</v>
      </c>
      <c r="E46" s="235">
        <f>mvalloc!G18</f>
        <v>0</v>
      </c>
    </row>
    <row r="47" spans="2:5" ht="15.75">
      <c r="B47" s="82" t="s">
        <v>491</v>
      </c>
      <c r="C47" s="294">
        <v>2</v>
      </c>
      <c r="D47" s="294">
        <v>2</v>
      </c>
      <c r="E47" s="235">
        <f>mvalloc!I18</f>
        <v>0</v>
      </c>
    </row>
    <row r="48" spans="2:5" ht="15.75">
      <c r="B48" s="82" t="s">
        <v>316</v>
      </c>
      <c r="C48" s="294">
        <v>13</v>
      </c>
      <c r="D48" s="294">
        <v>9</v>
      </c>
      <c r="E48" s="235">
        <f>mvalloc!J18</f>
        <v>0</v>
      </c>
    </row>
    <row r="49" spans="2:5" ht="15.75">
      <c r="B49" s="82" t="s">
        <v>376</v>
      </c>
      <c r="C49" s="294">
        <v>0</v>
      </c>
      <c r="D49" s="294">
        <v>0</v>
      </c>
      <c r="E49" s="235">
        <f>mvalloc!K18</f>
        <v>0</v>
      </c>
    </row>
    <row r="50" spans="2:5" ht="15.75">
      <c r="B50" s="298" t="s">
        <v>594</v>
      </c>
      <c r="C50" s="294">
        <v>1260</v>
      </c>
      <c r="D50" s="294">
        <v>1000</v>
      </c>
      <c r="E50" s="143">
        <v>1000</v>
      </c>
    </row>
    <row r="51" spans="2:5" ht="15.75">
      <c r="B51" s="298" t="s">
        <v>595</v>
      </c>
      <c r="C51" s="294">
        <v>12392</v>
      </c>
      <c r="D51" s="294"/>
      <c r="E51" s="143" t="s">
        <v>456</v>
      </c>
    </row>
    <row r="52" spans="2:5" ht="15.75">
      <c r="B52" s="298"/>
      <c r="C52" s="294"/>
      <c r="D52" s="294"/>
      <c r="E52" s="143"/>
    </row>
    <row r="53" spans="2:5" ht="15.75">
      <c r="B53" s="298" t="s">
        <v>494</v>
      </c>
      <c r="C53" s="294">
        <v>141</v>
      </c>
      <c r="D53" s="294">
        <v>150</v>
      </c>
      <c r="E53" s="143">
        <v>150</v>
      </c>
    </row>
    <row r="54" spans="2:5" ht="15.75">
      <c r="B54" s="299" t="s">
        <v>445</v>
      </c>
      <c r="C54" s="294"/>
      <c r="D54" s="294"/>
      <c r="E54" s="143"/>
    </row>
    <row r="55" spans="2:5" ht="15.75">
      <c r="B55" s="299" t="s">
        <v>446</v>
      </c>
      <c r="C55" s="368">
        <f>IF(C56*0.1&lt;C54,"Exceed 10% Rule","")</f>
      </c>
      <c r="D55" s="368">
        <f>IF(D56*0.1&lt;D54,"Exceed 10% Rule","")</f>
      </c>
      <c r="E55" s="302">
        <f>IF(E56*0.1+E74&lt;E54,"Exceed 10% Rule","")</f>
      </c>
    </row>
    <row r="56" spans="2:5" ht="15.75">
      <c r="B56" s="300" t="s">
        <v>495</v>
      </c>
      <c r="C56" s="369">
        <f>SUM(C44:C54)</f>
        <v>15176.25</v>
      </c>
      <c r="D56" s="369">
        <f>SUM(D44:D54)</f>
        <v>1284</v>
      </c>
      <c r="E56" s="301">
        <f>SUM(E44:E54)</f>
        <v>1175</v>
      </c>
    </row>
    <row r="57" spans="2:5" ht="15.75">
      <c r="B57" s="100" t="s">
        <v>496</v>
      </c>
      <c r="C57" s="369">
        <f>C56+C42</f>
        <v>19745.25</v>
      </c>
      <c r="D57" s="369">
        <f>D56+D42</f>
        <v>18418.25</v>
      </c>
      <c r="E57" s="301">
        <f>E56+E42</f>
        <v>12093.25</v>
      </c>
    </row>
    <row r="58" spans="2:5" ht="15.75">
      <c r="B58" s="82" t="s">
        <v>497</v>
      </c>
      <c r="C58" s="366"/>
      <c r="D58" s="366"/>
      <c r="E58" s="235"/>
    </row>
    <row r="59" spans="2:5" ht="15.75">
      <c r="B59" s="298" t="s">
        <v>592</v>
      </c>
      <c r="C59" s="294">
        <v>44</v>
      </c>
      <c r="D59" s="294">
        <v>1000</v>
      </c>
      <c r="E59" s="143">
        <v>7500</v>
      </c>
    </row>
    <row r="60" spans="2:5" ht="15.75">
      <c r="B60" s="298" t="s">
        <v>593</v>
      </c>
      <c r="C60" s="294">
        <v>2339</v>
      </c>
      <c r="D60" s="294">
        <v>3500</v>
      </c>
      <c r="E60" s="143">
        <v>3500</v>
      </c>
    </row>
    <row r="61" spans="2:5" ht="15.75">
      <c r="B61" s="298" t="s">
        <v>596</v>
      </c>
      <c r="C61" s="294">
        <v>228</v>
      </c>
      <c r="D61" s="294">
        <v>3000</v>
      </c>
      <c r="E61" s="143">
        <v>3000</v>
      </c>
    </row>
    <row r="62" spans="2:5" ht="15.75">
      <c r="B62" s="298" t="s">
        <v>597</v>
      </c>
      <c r="C62" s="294"/>
      <c r="D62" s="294"/>
      <c r="E62" s="143">
        <v>5500</v>
      </c>
    </row>
    <row r="63" spans="2:5" ht="15.75">
      <c r="B63" s="298"/>
      <c r="C63" s="294"/>
      <c r="D63" s="294"/>
      <c r="E63" s="143"/>
    </row>
    <row r="64" spans="2:5" ht="15.75">
      <c r="B64" s="296" t="s">
        <v>447</v>
      </c>
      <c r="C64" s="294"/>
      <c r="D64" s="294"/>
      <c r="E64" s="154">
        <f>nhood!E12</f>
      </c>
    </row>
    <row r="65" spans="2:5" ht="15.75">
      <c r="B65" s="296" t="s">
        <v>445</v>
      </c>
      <c r="C65" s="294"/>
      <c r="D65" s="294"/>
      <c r="E65" s="143"/>
    </row>
    <row r="66" spans="2:5" ht="15.75">
      <c r="B66" s="296" t="s">
        <v>229</v>
      </c>
      <c r="C66" s="368">
        <f>IF(C67*0.1&lt;C65,"Exceed 10% Rule","")</f>
      </c>
      <c r="D66" s="368">
        <f>IF(D67*0.1&lt;D65,"Exceed 10% Rule","")</f>
      </c>
      <c r="E66" s="302">
        <f>IF(E67*0.1&lt;E65,"Exceed 10% Rule","")</f>
      </c>
    </row>
    <row r="67" spans="2:5" ht="15.75">
      <c r="B67" s="100" t="s">
        <v>498</v>
      </c>
      <c r="C67" s="369">
        <f>SUM(C59:C65)</f>
        <v>2611</v>
      </c>
      <c r="D67" s="369">
        <f>SUM(D59:D65)</f>
        <v>7500</v>
      </c>
      <c r="E67" s="301">
        <f>SUM(E59:E65)</f>
        <v>19500</v>
      </c>
    </row>
    <row r="68" spans="2:5" ht="15.75">
      <c r="B68" s="82" t="s">
        <v>334</v>
      </c>
      <c r="C68" s="370">
        <f>C57-C67</f>
        <v>17134.25</v>
      </c>
      <c r="D68" s="370">
        <f>D57-D67</f>
        <v>10918.25</v>
      </c>
      <c r="E68" s="295" t="s">
        <v>468</v>
      </c>
    </row>
    <row r="69" spans="2:6" ht="15.75">
      <c r="B69" s="121" t="str">
        <f>CONCATENATE("",$E$1-2,"/",$E$1-1," Budget Authority Amount:")</f>
        <v>2011/2012 Budget Authority Amount:</v>
      </c>
      <c r="C69" s="319">
        <f>inputOth!$B89</f>
        <v>19500</v>
      </c>
      <c r="D69" s="85">
        <f>inputPrYr!$D26</f>
        <v>19500</v>
      </c>
      <c r="E69" s="295" t="s">
        <v>468</v>
      </c>
      <c r="F69" s="303"/>
    </row>
    <row r="70" spans="2:6" ht="15.75">
      <c r="B70" s="121"/>
      <c r="C70" s="518" t="s">
        <v>226</v>
      </c>
      <c r="D70" s="519"/>
      <c r="E70" s="143"/>
      <c r="F70" s="303">
        <f>IF(E67/0.95-E67&lt;E70,"Exceeds 5%","")</f>
      </c>
    </row>
    <row r="71" spans="2:5" ht="15.75">
      <c r="B71" s="391" t="str">
        <f>CONCATENATE(C81,"     ",D81)</f>
        <v>     </v>
      </c>
      <c r="C71" s="520" t="s">
        <v>227</v>
      </c>
      <c r="D71" s="521"/>
      <c r="E71" s="235">
        <f>E67+E70</f>
        <v>19500</v>
      </c>
    </row>
    <row r="72" spans="2:5" ht="15.75">
      <c r="B72" s="391" t="str">
        <f>CONCATENATE(C82,"     ",D82)</f>
        <v>     </v>
      </c>
      <c r="C72" s="394"/>
      <c r="D72" s="393" t="s">
        <v>499</v>
      </c>
      <c r="E72" s="154">
        <f>IF(E71-E57&gt;0,E71-E57,0)</f>
        <v>7406.75</v>
      </c>
    </row>
    <row r="73" spans="2:5" ht="15.75">
      <c r="B73" s="184"/>
      <c r="C73" s="392" t="s">
        <v>228</v>
      </c>
      <c r="D73" s="396">
        <f>inputOth!$E$77</f>
        <v>0</v>
      </c>
      <c r="E73" s="235">
        <f>ROUND(IF(D73&gt;0,(E72*D73),0),0)</f>
        <v>0</v>
      </c>
    </row>
    <row r="74" spans="2:5" ht="15.75">
      <c r="B74" s="66"/>
      <c r="C74" s="522" t="str">
        <f>CONCATENATE("Amount of  ",$E$1-1," Ad Valorem Tax")</f>
        <v>Amount of  2012 Ad Valorem Tax</v>
      </c>
      <c r="D74" s="523"/>
      <c r="E74" s="154">
        <f>E72+E73</f>
        <v>7406.75</v>
      </c>
    </row>
    <row r="75" spans="2:5" ht="15.75">
      <c r="B75" s="184" t="s">
        <v>482</v>
      </c>
      <c r="C75" s="306">
        <v>7</v>
      </c>
      <c r="D75" s="66"/>
      <c r="E75" s="66"/>
    </row>
    <row r="76" ht="15.75">
      <c r="B76" s="117"/>
    </row>
    <row r="79" spans="3:4" ht="15.75" hidden="1">
      <c r="C79" s="128">
        <f>IF(C31&gt;C33,"See Tab A","")</f>
      </c>
      <c r="D79" s="128">
        <f>IF(D31&gt;D33,"See Tab C","")</f>
      </c>
    </row>
    <row r="80" spans="3:4" ht="15.75" hidden="1">
      <c r="C80" s="128">
        <f>IF(C32&lt;0,"See Tab B","")</f>
      </c>
      <c r="D80" s="128">
        <f>IF(D32&lt;0,"See Tab D","")</f>
      </c>
    </row>
    <row r="81" spans="3:4" ht="15.75" hidden="1">
      <c r="C81" s="128">
        <f>IF(C67&gt;C69,"See Tab A","")</f>
      </c>
      <c r="D81" s="128">
        <f>IF(D67&gt;D69,"See Tab C","")</f>
      </c>
    </row>
    <row r="82" spans="3:4" ht="15.75" hidden="1">
      <c r="C82" s="128">
        <f>IF(C68&lt;0,"See Tab B","")</f>
      </c>
      <c r="D82" s="128">
        <f>IF(D68&lt;0,"See Tab D","")</f>
      </c>
    </row>
  </sheetData>
  <sheetProtection sheet="1"/>
  <mergeCells count="6">
    <mergeCell ref="C74:D74"/>
    <mergeCell ref="C38:D38"/>
    <mergeCell ref="C34:D34"/>
    <mergeCell ref="C35:D35"/>
    <mergeCell ref="C70:D70"/>
    <mergeCell ref="C71:D71"/>
  </mergeCells>
  <conditionalFormatting sqref="C65">
    <cfRule type="cellIs" priority="3" dxfId="40" operator="greaterThan" stopIfTrue="1">
      <formula>$C$707*0.1</formula>
    </cfRule>
  </conditionalFormatting>
  <conditionalFormatting sqref="D65">
    <cfRule type="cellIs" priority="4" dxfId="40" operator="greaterThan" stopIfTrue="1">
      <formula>$D$707*0.1</formula>
    </cfRule>
  </conditionalFormatting>
  <conditionalFormatting sqref="E65">
    <cfRule type="cellIs" priority="5" dxfId="40" operator="greaterThan" stopIfTrue="1">
      <formula>$E$67*0.1</formula>
    </cfRule>
  </conditionalFormatting>
  <conditionalFormatting sqref="C54">
    <cfRule type="cellIs" priority="6" dxfId="40" operator="greaterThan" stopIfTrue="1">
      <formula>$C$56*0.1</formula>
    </cfRule>
  </conditionalFormatting>
  <conditionalFormatting sqref="D54">
    <cfRule type="cellIs" priority="7" dxfId="40" operator="greaterThan" stopIfTrue="1">
      <formula>$D$56*0.1</formula>
    </cfRule>
  </conditionalFormatting>
  <conditionalFormatting sqref="E70">
    <cfRule type="cellIs" priority="8" dxfId="40" operator="greaterThan" stopIfTrue="1">
      <formula>$E$67/0.95-$E$67</formula>
    </cfRule>
  </conditionalFormatting>
  <conditionalFormatting sqref="C29">
    <cfRule type="cellIs" priority="9" dxfId="40" operator="greaterThan" stopIfTrue="1">
      <formula>$C$31*0.1</formula>
    </cfRule>
  </conditionalFormatting>
  <conditionalFormatting sqref="D29">
    <cfRule type="cellIs" priority="10" dxfId="40" operator="greaterThan" stopIfTrue="1">
      <formula>$D$31*0.1</formula>
    </cfRule>
  </conditionalFormatting>
  <conditionalFormatting sqref="E29">
    <cfRule type="cellIs" priority="11" dxfId="40" operator="greaterThan" stopIfTrue="1">
      <formula>$E$31*0.1</formula>
    </cfRule>
  </conditionalFormatting>
  <conditionalFormatting sqref="C18">
    <cfRule type="cellIs" priority="12" dxfId="40" operator="greaterThan" stopIfTrue="1">
      <formula>$C$20*0.1</formula>
    </cfRule>
  </conditionalFormatting>
  <conditionalFormatting sqref="D18">
    <cfRule type="cellIs" priority="13" dxfId="40" operator="greaterThan" stopIfTrue="1">
      <formula>$D$20*0.1</formula>
    </cfRule>
  </conditionalFormatting>
  <conditionalFormatting sqref="E34">
    <cfRule type="cellIs" priority="14" dxfId="40" operator="greaterThan" stopIfTrue="1">
      <formula>$E$31/0.95-$E$31</formula>
    </cfRule>
  </conditionalFormatting>
  <conditionalFormatting sqref="C68 C32">
    <cfRule type="cellIs" priority="15" dxfId="40" operator="lessThan" stopIfTrue="1">
      <formula>0</formula>
    </cfRule>
  </conditionalFormatting>
  <conditionalFormatting sqref="E18">
    <cfRule type="cellIs" priority="20" dxfId="40" operator="greaterThan" stopIfTrue="1">
      <formula>$E$20*0.1+$E$38</formula>
    </cfRule>
  </conditionalFormatting>
  <conditionalFormatting sqref="E54">
    <cfRule type="cellIs" priority="21" dxfId="40" operator="greaterThan" stopIfTrue="1">
      <formula>$E$56*0.1+$E$74</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36" t="s">
        <v>523</v>
      </c>
    </row>
    <row r="2" ht="53.25" customHeight="1">
      <c r="A2" s="191" t="s">
        <v>524</v>
      </c>
    </row>
    <row r="3" ht="15.75">
      <c r="A3" s="337"/>
    </row>
    <row r="4" ht="58.5" customHeight="1">
      <c r="A4" s="191" t="s">
        <v>525</v>
      </c>
    </row>
    <row r="5" ht="15.75">
      <c r="A5" s="117"/>
    </row>
    <row r="6" ht="55.5" customHeight="1">
      <c r="A6" s="191" t="s">
        <v>526</v>
      </c>
    </row>
    <row r="7" ht="15.75">
      <c r="A7" s="337"/>
    </row>
    <row r="8" ht="42.75" customHeight="1">
      <c r="A8" s="191" t="s">
        <v>527</v>
      </c>
    </row>
    <row r="9" ht="15.75">
      <c r="A9" s="117"/>
    </row>
    <row r="10" ht="31.5">
      <c r="A10" s="191" t="s">
        <v>528</v>
      </c>
    </row>
    <row r="11" ht="15.75">
      <c r="A11" s="337"/>
    </row>
    <row r="12" ht="69.75" customHeight="1">
      <c r="A12" s="191" t="s">
        <v>529</v>
      </c>
    </row>
    <row r="13" ht="15.75">
      <c r="A13" s="337"/>
    </row>
    <row r="14" ht="40.5" customHeight="1">
      <c r="A14" s="191" t="s">
        <v>530</v>
      </c>
    </row>
    <row r="15" ht="15.75">
      <c r="A15" s="117"/>
    </row>
    <row r="16" ht="56.25" customHeight="1">
      <c r="A16" s="191" t="s">
        <v>531</v>
      </c>
    </row>
    <row r="17" ht="15.75">
      <c r="A17" s="337"/>
    </row>
    <row r="18" ht="54.75" customHeight="1">
      <c r="A18" s="191" t="s">
        <v>532</v>
      </c>
    </row>
    <row r="19" ht="15.75">
      <c r="A19" s="337"/>
    </row>
    <row r="20" ht="55.5" customHeight="1">
      <c r="A20" s="191" t="s">
        <v>533</v>
      </c>
    </row>
    <row r="21" ht="15.75">
      <c r="A21" s="337"/>
    </row>
    <row r="22" ht="76.5" customHeight="1">
      <c r="A22" s="191" t="s">
        <v>534</v>
      </c>
    </row>
  </sheetData>
  <sheetProtection sheet="1"/>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pageSetUpPr fitToPage="1"/>
  </sheetPr>
  <dimension ref="A1:O111"/>
  <sheetViews>
    <sheetView tabSelected="1" zoomScalePageLayoutView="0" workbookViewId="0" topLeftCell="A1">
      <selection activeCell="D41" sqref="D41"/>
    </sheetView>
  </sheetViews>
  <sheetFormatPr defaultColWidth="8.796875" defaultRowHeight="15.75"/>
  <cols>
    <col min="1" max="1" width="20.69921875" style="128" customWidth="1"/>
    <col min="2" max="2" width="12.69921875" style="128" customWidth="1"/>
    <col min="3" max="3" width="9.69921875" style="128" customWidth="1"/>
    <col min="4" max="4" width="12.69921875" style="128" customWidth="1"/>
    <col min="5" max="5" width="9.69921875" style="128" customWidth="1"/>
    <col min="6" max="6" width="12.69921875" style="128" customWidth="1"/>
    <col min="7" max="7" width="10.69921875" style="128" customWidth="1"/>
    <col min="8" max="8" width="9.69921875" style="128" customWidth="1"/>
    <col min="9" max="11" width="8.796875" style="128" customWidth="1"/>
    <col min="12" max="12" width="10.69921875" style="128" customWidth="1"/>
    <col min="13" max="13" width="8.5" style="128" customWidth="1"/>
    <col min="14" max="16384" width="8.796875" style="128" customWidth="1"/>
  </cols>
  <sheetData>
    <row r="1" spans="1:8" ht="15.75">
      <c r="A1" s="133" t="s">
        <v>288</v>
      </c>
      <c r="B1" s="67"/>
      <c r="C1" s="67"/>
      <c r="D1" s="67"/>
      <c r="E1" s="67"/>
      <c r="F1" s="67"/>
      <c r="G1" s="67"/>
      <c r="H1" s="67">
        <f>inputPrYr!D9</f>
        <v>2013</v>
      </c>
    </row>
    <row r="2" spans="1:8" ht="15.75">
      <c r="A2" s="66"/>
      <c r="B2" s="66"/>
      <c r="C2" s="66"/>
      <c r="D2" s="66"/>
      <c r="E2" s="66"/>
      <c r="F2" s="74" t="s">
        <v>503</v>
      </c>
      <c r="G2" s="74" t="s">
        <v>504</v>
      </c>
      <c r="H2" s="66"/>
    </row>
    <row r="3" spans="1:8" ht="15.75">
      <c r="A3" s="503" t="s">
        <v>505</v>
      </c>
      <c r="B3" s="503"/>
      <c r="C3" s="503"/>
      <c r="D3" s="503"/>
      <c r="E3" s="503"/>
      <c r="F3" s="503"/>
      <c r="G3" s="503"/>
      <c r="H3" s="503"/>
    </row>
    <row r="4" spans="1:8" ht="15.75">
      <c r="A4" s="533" t="str">
        <f>inputPrYr!D3</f>
        <v>Liberty Township</v>
      </c>
      <c r="B4" s="533"/>
      <c r="C4" s="533"/>
      <c r="D4" s="533"/>
      <c r="E4" s="533"/>
      <c r="F4" s="533"/>
      <c r="G4" s="533"/>
      <c r="H4" s="533"/>
    </row>
    <row r="5" spans="1:8" ht="15.75">
      <c r="A5" s="533" t="str">
        <f>inputPrYr!D4</f>
        <v>Montgomery County</v>
      </c>
      <c r="B5" s="533"/>
      <c r="C5" s="533"/>
      <c r="D5" s="533"/>
      <c r="E5" s="533"/>
      <c r="F5" s="533"/>
      <c r="G5" s="533"/>
      <c r="H5" s="533"/>
    </row>
    <row r="6" spans="1:8" ht="15.75">
      <c r="A6" s="532" t="str">
        <f>CONCATENATE("will meet on ",inputBudSum!B5," at ",inputBudSum!B7," at ",inputBudSum!B9," for the purpose of hearing and")</f>
        <v>will meet on August 8, 2012 at 12:00 PM at Liberty Township Hall for the purpose of hearing and</v>
      </c>
      <c r="B6" s="532"/>
      <c r="C6" s="532"/>
      <c r="D6" s="532"/>
      <c r="E6" s="532"/>
      <c r="F6" s="532"/>
      <c r="G6" s="532"/>
      <c r="H6" s="532"/>
    </row>
    <row r="7" spans="1:8" ht="15.75">
      <c r="A7" s="70" t="s">
        <v>577</v>
      </c>
      <c r="B7" s="67"/>
      <c r="C7" s="67"/>
      <c r="D7" s="67"/>
      <c r="E7" s="67"/>
      <c r="F7" s="67"/>
      <c r="G7" s="67"/>
      <c r="H7" s="67"/>
    </row>
    <row r="8" spans="1:8" ht="15.75">
      <c r="A8" s="508" t="str">
        <f>CONCATENATE("Detailed budget information is available at ",inputBudSum!B12," and will be available at this hearing.")</f>
        <v>Detailed budget information is available at Montgomery County Clerk's Office, Courthouse, Independence and will be available at this hearing.</v>
      </c>
      <c r="B8" s="495"/>
      <c r="C8" s="495"/>
      <c r="D8" s="495"/>
      <c r="E8" s="495"/>
      <c r="F8" s="495"/>
      <c r="G8" s="495"/>
      <c r="H8" s="495"/>
    </row>
    <row r="9" spans="1:8" ht="15.75">
      <c r="A9" s="133" t="s">
        <v>289</v>
      </c>
      <c r="B9" s="134"/>
      <c r="C9" s="134"/>
      <c r="D9" s="134"/>
      <c r="E9" s="134"/>
      <c r="F9" s="134"/>
      <c r="G9" s="134"/>
      <c r="H9" s="134"/>
    </row>
    <row r="10" spans="1:8" ht="15.75">
      <c r="A10" s="70" t="str">
        <f>CONCATENATE("Proposed Budget ",H1," Expenditures and Amount of ",H1-1," Ad Valorem Tax establish the maximum limits")</f>
        <v>Proposed Budget 2013 Expenditures and Amount of 2012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2013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171"/>
    </row>
    <row r="13" spans="1:9" ht="15.75">
      <c r="A13" s="66"/>
      <c r="B13" s="172" t="str">
        <f>CONCATENATE("Prior Year Actual ",H1-2,"")</f>
        <v>Prior Year Actual 2011</v>
      </c>
      <c r="C13" s="173"/>
      <c r="D13" s="172" t="str">
        <f>CONCATENATE("Current Year Estimate ",H1-1,"")</f>
        <v>Current Year Estimate 2012</v>
      </c>
      <c r="E13" s="174"/>
      <c r="F13" s="175" t="str">
        <f>CONCATENATE("Proposed Budget ",H1,"")</f>
        <v>Proposed Budget 2013</v>
      </c>
      <c r="G13" s="176"/>
      <c r="H13" s="174"/>
      <c r="I13" s="171"/>
    </row>
    <row r="14" spans="1:9" ht="22.5" customHeight="1">
      <c r="A14" s="66"/>
      <c r="B14" s="177"/>
      <c r="C14" s="76" t="s">
        <v>501</v>
      </c>
      <c r="D14" s="76"/>
      <c r="E14" s="76" t="s">
        <v>501</v>
      </c>
      <c r="F14" s="178"/>
      <c r="G14" s="500" t="str">
        <f>CONCATENATE("Amount of ",H1-1," Ad Valorem Tax")</f>
        <v>Amount of 2012 Ad Valorem Tax</v>
      </c>
      <c r="H14" s="76" t="s">
        <v>506</v>
      </c>
      <c r="I14" s="171"/>
    </row>
    <row r="15" spans="1:9" ht="15.75">
      <c r="A15" s="66"/>
      <c r="B15" s="78"/>
      <c r="C15" s="78" t="s">
        <v>507</v>
      </c>
      <c r="D15" s="78"/>
      <c r="E15" s="78" t="s">
        <v>507</v>
      </c>
      <c r="F15" s="388" t="s">
        <v>423</v>
      </c>
      <c r="G15" s="530"/>
      <c r="H15" s="78" t="s">
        <v>507</v>
      </c>
      <c r="I15" s="171"/>
    </row>
    <row r="16" spans="1:10" ht="15.75">
      <c r="A16" s="179" t="s">
        <v>464</v>
      </c>
      <c r="B16" s="81" t="s">
        <v>508</v>
      </c>
      <c r="C16" s="81" t="s">
        <v>509</v>
      </c>
      <c r="D16" s="81" t="s">
        <v>508</v>
      </c>
      <c r="E16" s="81" t="s">
        <v>509</v>
      </c>
      <c r="F16" s="387" t="s">
        <v>225</v>
      </c>
      <c r="G16" s="531"/>
      <c r="H16" s="81" t="s">
        <v>509</v>
      </c>
      <c r="I16" s="171"/>
      <c r="J16" s="442"/>
    </row>
    <row r="17" spans="1:10" ht="15.75">
      <c r="A17" s="92" t="str">
        <f>inputPrYr!B20</f>
        <v>General</v>
      </c>
      <c r="B17" s="92">
        <f>IF(gen!$C$46&lt;&gt;0,gen!$C$46,"  ")</f>
        <v>324</v>
      </c>
      <c r="C17" s="95">
        <f>IF(inputPrYr!D48&gt;0,inputPrYr!D48,"  ")</f>
        <v>0.029</v>
      </c>
      <c r="D17" s="92">
        <f>IF(gen!$D$46&lt;&gt;0,gen!$D$46,"  ")</f>
        <v>1160</v>
      </c>
      <c r="E17" s="95">
        <f>IF(inputOth!D37&gt;0,inputOth!D37,"  ")</f>
        <v>0.365</v>
      </c>
      <c r="F17" s="92">
        <f>IF(gen!$E$46&lt;&gt;0,gen!$E$46,"  ")</f>
        <v>5160</v>
      </c>
      <c r="G17" s="92">
        <f>IF(gen!$E$53&lt;&gt;0,gen!$E$53,"")</f>
        <v>1736</v>
      </c>
      <c r="H17" s="95">
        <f>IF(gen!E53&gt;0,ROUND(G17/F38*1000,3)," ")</f>
        <v>0.221</v>
      </c>
      <c r="I17" s="171"/>
      <c r="J17" s="442"/>
    </row>
    <row r="18" spans="1:9" ht="15.75">
      <c r="A18" s="92" t="s">
        <v>513</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171"/>
    </row>
    <row r="19" spans="1:8" ht="15.75">
      <c r="A19" s="92" t="str">
        <f>IF(inputPrYr!$B22&gt;"  ",inputPrYr!$B22,"  ")</f>
        <v>Road</v>
      </c>
      <c r="B19" s="92"/>
      <c r="C19" s="95"/>
      <c r="D19" s="92"/>
      <c r="E19" s="95"/>
      <c r="F19" s="92"/>
      <c r="G19" s="92"/>
      <c r="H19" s="95"/>
    </row>
    <row r="20" spans="1:8" ht="15.75">
      <c r="A20" s="92" t="str">
        <f>IF(inputPrYr!$B23&gt;"  ",inputPrYr!$B23,"  ")</f>
        <v>Special Road</v>
      </c>
      <c r="B20" s="92"/>
      <c r="C20" s="95"/>
      <c r="D20" s="92"/>
      <c r="E20" s="95"/>
      <c r="F20" s="92"/>
      <c r="G20" s="92"/>
      <c r="H20" s="95"/>
    </row>
    <row r="21" spans="1:8" ht="15.75">
      <c r="A21" s="92" t="str">
        <f>IF(inputPrYr!$B24&gt;"  ",inputPrYr!$B24,"  ")</f>
        <v>Noxious Weed</v>
      </c>
      <c r="B21" s="92"/>
      <c r="C21" s="95"/>
      <c r="D21" s="92"/>
      <c r="E21" s="95"/>
      <c r="F21" s="92"/>
      <c r="G21" s="92"/>
      <c r="H21" s="95"/>
    </row>
    <row r="22" spans="1:13" ht="15.75">
      <c r="A22" s="92" t="str">
        <f>IF(inputPrYr!$B25&gt;"  ",inputPrYr!$B25,"  ")</f>
        <v>Fire Protection</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IF(levypage10!E38&gt;0,ROUND(G22/F39*1000,3)," ")</f>
        <v> </v>
      </c>
      <c r="J22" s="535" t="str">
        <f>CONCATENATE("Estimated Value Of One Mill For ",H1,"")</f>
        <v>Estimated Value Of One Mill For 2013</v>
      </c>
      <c r="K22" s="540"/>
      <c r="L22" s="540"/>
      <c r="M22" s="541"/>
    </row>
    <row r="23" spans="1:13" ht="15.75">
      <c r="A23" s="92" t="str">
        <f>IF(inputPrYr!$B26&gt;"  ",inputPrYr!$B26,"  ")</f>
        <v>Hall</v>
      </c>
      <c r="B23" s="92">
        <f>IF(levypage10!$C$67&lt;&gt;0,levypage10!$C$67,"  ")</f>
        <v>2611</v>
      </c>
      <c r="C23" s="95">
        <f>IF(inputPrYr!D54&gt;0,inputPrYr!D54,"  ")</f>
        <v>0.174</v>
      </c>
      <c r="D23" s="92">
        <f>IF(levypage10!$D$67&lt;&gt;0,levypage10!$D$67,"  ")</f>
        <v>7500</v>
      </c>
      <c r="E23" s="95" t="str">
        <f>IF(inputOth!D43&gt;0,inputOth!D43,"  ")</f>
        <v>  </v>
      </c>
      <c r="F23" s="92">
        <f>IF(levypage10!$E$67&lt;&gt;0,levypage10!$E$67,"  ")</f>
        <v>19500</v>
      </c>
      <c r="G23" s="92">
        <f>IF(levypage10!$E$74&lt;&gt;0,levypage10!$E$74,"  ")</f>
        <v>7406.75</v>
      </c>
      <c r="H23" s="95">
        <f>IF(levypage10!E74&gt;0,ROUND(G23/F38*1000,3)," ")</f>
        <v>0.943</v>
      </c>
      <c r="J23" s="441"/>
      <c r="K23" s="10"/>
      <c r="L23" s="10"/>
      <c r="M23" s="440"/>
    </row>
    <row r="24" spans="1:13" ht="15.75">
      <c r="A24" s="92" t="str">
        <f>IF(inputPrYr!$B27&gt;"  ",inputPrYr!$B27,"  ")</f>
        <v>  </v>
      </c>
      <c r="B24" s="92"/>
      <c r="C24" s="95"/>
      <c r="D24" s="92"/>
      <c r="E24" s="95"/>
      <c r="F24" s="92"/>
      <c r="G24" s="92"/>
      <c r="H24" s="95"/>
      <c r="J24" s="397" t="s">
        <v>235</v>
      </c>
      <c r="K24" s="73"/>
      <c r="L24" s="73"/>
      <c r="M24" s="438">
        <f>ROUND(F38/1000,0)</f>
        <v>7851</v>
      </c>
    </row>
    <row r="25" spans="1:13" ht="15.75">
      <c r="A25" s="92" t="str">
        <f>IF(inputPrYr!$B28&gt;"  ",inputPrYr!$B28,"  ")</f>
        <v>  </v>
      </c>
      <c r="B25" s="92"/>
      <c r="C25" s="95"/>
      <c r="D25" s="92"/>
      <c r="E25" s="95"/>
      <c r="F25" s="92"/>
      <c r="G25" s="92"/>
      <c r="H25" s="95"/>
      <c r="J25" s="439" t="s">
        <v>236</v>
      </c>
      <c r="K25" s="14"/>
      <c r="L25" s="14"/>
      <c r="M25" s="438">
        <f>ROUND(F39/1000,0)</f>
        <v>7390</v>
      </c>
    </row>
    <row r="26" spans="1:8" ht="15.75">
      <c r="A26" s="92" t="str">
        <f>IF(inputPrYr!$B29&gt;"  ",inputPrYr!$B29,"  ")</f>
        <v>  </v>
      </c>
      <c r="B26" s="92"/>
      <c r="C26" s="95"/>
      <c r="D26" s="92"/>
      <c r="E26" s="95"/>
      <c r="F26" s="92"/>
      <c r="G26" s="92"/>
      <c r="H26" s="95"/>
    </row>
    <row r="27" spans="1:13" ht="15.75">
      <c r="A27" s="92" t="str">
        <f>IF(inputPrYr!$B30&gt;"  ",inputPrYr!$B30,"  ")</f>
        <v>  </v>
      </c>
      <c r="B27" s="92"/>
      <c r="C27" s="95"/>
      <c r="D27" s="92"/>
      <c r="E27" s="95"/>
      <c r="F27" s="92"/>
      <c r="G27" s="92"/>
      <c r="H27" s="95"/>
      <c r="I27" s="442"/>
      <c r="J27" s="535" t="str">
        <f>CONCATENATE("Want The Mill Rate The Same As For ",H1-1,"?")</f>
        <v>Want The Mill Rate The Same As For 2012?</v>
      </c>
      <c r="K27" s="536"/>
      <c r="L27" s="536"/>
      <c r="M27" s="537"/>
    </row>
    <row r="28" spans="1:13" ht="15.75">
      <c r="A28" s="92" t="str">
        <f>IF(inputPrYr!$B34&gt;"  ",inputPrYr!$B34,"  ")</f>
        <v>  </v>
      </c>
      <c r="B28" s="92"/>
      <c r="C28" s="95"/>
      <c r="D28" s="92"/>
      <c r="E28" s="95"/>
      <c r="F28" s="92"/>
      <c r="G28" s="92"/>
      <c r="H28" s="95"/>
      <c r="J28" s="437"/>
      <c r="K28" s="10"/>
      <c r="L28" s="10"/>
      <c r="M28" s="436"/>
    </row>
    <row r="29" spans="1:13" ht="15.75">
      <c r="A29" s="92" t="str">
        <f>IF(inputPrYr!$B35&gt;"  ",inputPrYr!$B35,"  ")</f>
        <v>  </v>
      </c>
      <c r="B29" s="92"/>
      <c r="C29" s="95"/>
      <c r="D29" s="92"/>
      <c r="E29" s="95"/>
      <c r="F29" s="92"/>
      <c r="G29" s="92"/>
      <c r="H29" s="95"/>
      <c r="J29" s="437" t="str">
        <f>CONCATENATE("",H1-1," Mill Rate Was:")</f>
        <v>2012 Mill Rate Was:</v>
      </c>
      <c r="K29" s="10"/>
      <c r="L29" s="10"/>
      <c r="M29" s="435">
        <f>E34</f>
        <v>0.365</v>
      </c>
    </row>
    <row r="30" spans="1:13" ht="15.75">
      <c r="A30" s="92" t="str">
        <f>IF(inputPrYr!$B36&gt;"  ",inputPrYr!$B36,"  ")</f>
        <v>  </v>
      </c>
      <c r="B30" s="92"/>
      <c r="C30" s="95"/>
      <c r="D30" s="92"/>
      <c r="E30" s="95"/>
      <c r="F30" s="92"/>
      <c r="G30" s="92"/>
      <c r="H30" s="95"/>
      <c r="J30" s="434" t="str">
        <f>CONCATENATE("",H1," Tax Levy Fund Expenditures Must Be")</f>
        <v>2013 Tax Levy Fund Expenditures Must Be</v>
      </c>
      <c r="K30" s="433"/>
      <c r="L30" s="433"/>
      <c r="M30" s="436"/>
    </row>
    <row r="31" spans="1:13" ht="15.75">
      <c r="A31" s="92" t="str">
        <f>IF(inputPrYr!$B37&gt;"  ",inputPrYr!$B37,"  ")</f>
        <v>  </v>
      </c>
      <c r="B31" s="92"/>
      <c r="C31" s="95"/>
      <c r="D31" s="92"/>
      <c r="E31" s="95"/>
      <c r="F31" s="92"/>
      <c r="G31" s="92"/>
      <c r="H31" s="95"/>
      <c r="J31" s="458" t="s">
        <v>242</v>
      </c>
      <c r="K31" s="433"/>
      <c r="L31" s="433"/>
      <c r="M31" s="432">
        <f>M43*-1</f>
        <v>0</v>
      </c>
    </row>
    <row r="32" spans="1:13" ht="15.75">
      <c r="A32" s="92" t="str">
        <f>IF((inputPrYr!$B40&gt;"  "),(#REF!),"  ")</f>
        <v>  </v>
      </c>
      <c r="B32" s="235"/>
      <c r="C32" s="319"/>
      <c r="D32" s="92"/>
      <c r="E32" s="95"/>
      <c r="F32" s="92"/>
      <c r="G32" s="92"/>
      <c r="H32" s="95"/>
      <c r="J32" s="431" t="s">
        <v>243</v>
      </c>
      <c r="K32" s="419"/>
      <c r="L32" s="419"/>
      <c r="M32" s="430">
        <f>M44*-1</f>
        <v>-6276.75</v>
      </c>
    </row>
    <row r="33" spans="1:13" ht="16.5" thickBot="1">
      <c r="A33" s="108" t="s">
        <v>466</v>
      </c>
      <c r="B33" s="377"/>
      <c r="C33" s="378"/>
      <c r="D33" s="378"/>
      <c r="E33" s="378"/>
      <c r="F33" s="378"/>
      <c r="G33" s="378"/>
      <c r="H33" s="378"/>
      <c r="J33" s="429"/>
      <c r="K33" s="429"/>
      <c r="L33" s="429"/>
      <c r="M33" s="429"/>
    </row>
    <row r="34" spans="1:13" ht="15.75">
      <c r="A34" s="108" t="s">
        <v>467</v>
      </c>
      <c r="B34" s="375">
        <f aca="true" t="shared" si="0" ref="B34:H34">SUM(B17:B33)</f>
        <v>2935</v>
      </c>
      <c r="C34" s="376">
        <f t="shared" si="0"/>
        <v>0.20299999999999999</v>
      </c>
      <c r="D34" s="375">
        <f t="shared" si="0"/>
        <v>8660</v>
      </c>
      <c r="E34" s="376">
        <f t="shared" si="0"/>
        <v>0.365</v>
      </c>
      <c r="F34" s="375">
        <f t="shared" si="0"/>
        <v>24660</v>
      </c>
      <c r="G34" s="375">
        <f t="shared" si="0"/>
        <v>9142.75</v>
      </c>
      <c r="H34" s="376">
        <f t="shared" si="0"/>
        <v>1.164</v>
      </c>
      <c r="J34" s="535" t="str">
        <f>CONCATENATE("Impact On Keeping The Same Mill Rate As For ",H1-1,"")</f>
        <v>Impact On Keeping The Same Mill Rate As For 2012</v>
      </c>
      <c r="K34" s="538"/>
      <c r="L34" s="538"/>
      <c r="M34" s="539"/>
    </row>
    <row r="35" spans="1:13" ht="15.75">
      <c r="A35" s="108" t="s">
        <v>510</v>
      </c>
      <c r="B35" s="92"/>
      <c r="C35" s="66"/>
      <c r="D35" s="92"/>
      <c r="E35" s="181"/>
      <c r="F35" s="92"/>
      <c r="G35" s="66"/>
      <c r="H35" s="66"/>
      <c r="J35" s="437"/>
      <c r="K35" s="10"/>
      <c r="L35" s="10"/>
      <c r="M35" s="436"/>
    </row>
    <row r="36" spans="1:13" ht="16.5" thickBot="1">
      <c r="A36" s="108" t="s">
        <v>511</v>
      </c>
      <c r="B36" s="379"/>
      <c r="C36" s="66"/>
      <c r="D36" s="379"/>
      <c r="E36" s="66"/>
      <c r="F36" s="379"/>
      <c r="G36" s="66"/>
      <c r="H36" s="66"/>
      <c r="J36" s="437" t="str">
        <f>CONCATENATE("",H1," Ad Valorem Tax Rev(Township Only):")</f>
        <v>2013 Ad Valorem Tax Rev(Township Only):</v>
      </c>
      <c r="K36" s="10"/>
      <c r="L36" s="10"/>
      <c r="M36" s="440">
        <f>SUM(G19:G22)</f>
        <v>0</v>
      </c>
    </row>
    <row r="37" spans="1:13" ht="16.5" thickTop="1">
      <c r="A37" s="108" t="s">
        <v>262</v>
      </c>
      <c r="B37" s="204">
        <f>inputPrYr!E61</f>
        <v>1434</v>
      </c>
      <c r="C37" s="181"/>
      <c r="D37" s="204">
        <f>inputPrYr!E31</f>
        <v>2757</v>
      </c>
      <c r="E37" s="66"/>
      <c r="F37" s="380" t="s">
        <v>468</v>
      </c>
      <c r="G37" s="66"/>
      <c r="H37" s="66"/>
      <c r="J37" s="437" t="str">
        <f>CONCATENATE("",H1," Ad Valorem Tax Rev(Township Tot):")</f>
        <v>2013 Ad Valorem Tax Rev(Township Tot):</v>
      </c>
      <c r="K37" s="10"/>
      <c r="L37" s="10"/>
      <c r="M37" s="453">
        <f>SUM(G17,G18,G23,G24,G25,G26,G27)</f>
        <v>9142.75</v>
      </c>
    </row>
    <row r="38" spans="1:13" ht="15.75">
      <c r="A38" s="108" t="s">
        <v>428</v>
      </c>
      <c r="B38" s="92">
        <f>inputPrYr!E62</f>
        <v>7057248</v>
      </c>
      <c r="C38" s="181"/>
      <c r="D38" s="92">
        <f>inputOth!E54</f>
        <v>7557477</v>
      </c>
      <c r="E38" s="181"/>
      <c r="F38" s="92">
        <f>inputOth!E11</f>
        <v>7851415</v>
      </c>
      <c r="G38" s="66"/>
      <c r="H38" s="66"/>
      <c r="J38" s="437" t="str">
        <f>CONCATENATE("Total ",H1," Ad Valorem Tax Revenue:")</f>
        <v>Total 2013 Ad Valorem Tax Revenue:</v>
      </c>
      <c r="K38" s="73"/>
      <c r="L38" s="73"/>
      <c r="M38" s="454">
        <f>M36+M37</f>
        <v>9142.75</v>
      </c>
    </row>
    <row r="39" spans="1:14" ht="15.75">
      <c r="A39" s="82" t="s">
        <v>448</v>
      </c>
      <c r="B39" s="182"/>
      <c r="C39" s="66"/>
      <c r="D39" s="150"/>
      <c r="E39" s="66"/>
      <c r="F39" s="92">
        <f>inputOth!E8</f>
        <v>7389558</v>
      </c>
      <c r="G39" s="66"/>
      <c r="H39" s="66"/>
      <c r="J39" s="437" t="str">
        <f>CONCATENATE("",H1-1," Ad Valorem Tax Rev(Township Only):")</f>
        <v>2012 Ad Valorem Tax Rev(Township Only):</v>
      </c>
      <c r="K39" s="10"/>
      <c r="L39" s="10"/>
      <c r="M39" s="455">
        <f>ROUND(SUM(E19:E22)*F39/1000,0)</f>
        <v>0</v>
      </c>
      <c r="N39" s="447"/>
    </row>
    <row r="40" spans="1:15" ht="15.75">
      <c r="A40" s="111"/>
      <c r="B40" s="150"/>
      <c r="C40" s="66"/>
      <c r="D40" s="150"/>
      <c r="E40" s="66"/>
      <c r="F40" s="150"/>
      <c r="G40" s="66"/>
      <c r="H40" s="66"/>
      <c r="J40" s="437" t="str">
        <f>CONCATENATE("",H1-1," Ad Valorem Tax Rev(Township Tot):")</f>
        <v>2012 Ad Valorem Tax Rev(Township Tot):</v>
      </c>
      <c r="K40" s="73"/>
      <c r="L40" s="73"/>
      <c r="M40" s="456">
        <f>ROUND(SUM(E17,E18,(E23,E24,E25,E26,E27))*F38/1000,0)</f>
        <v>2866</v>
      </c>
      <c r="N40" s="447"/>
      <c r="O40" s="447"/>
    </row>
    <row r="41" spans="1:15" ht="15.75">
      <c r="A41" s="74" t="s">
        <v>263</v>
      </c>
      <c r="B41" s="66"/>
      <c r="C41" s="66"/>
      <c r="D41" s="66"/>
      <c r="E41" s="66"/>
      <c r="F41" s="66"/>
      <c r="G41" s="66"/>
      <c r="H41" s="66"/>
      <c r="J41" s="397" t="str">
        <f>CONCATENATE("Total ",H1-1," Ad Valorem Tax Revenue:")</f>
        <v>Total 2012 Ad Valorem Tax Revenue:</v>
      </c>
      <c r="K41" s="73"/>
      <c r="L41" s="73"/>
      <c r="M41" s="457">
        <f>M39+M40</f>
        <v>2866</v>
      </c>
      <c r="O41" s="447"/>
    </row>
    <row r="42" spans="1:13" ht="15.75">
      <c r="A42" s="74" t="s">
        <v>264</v>
      </c>
      <c r="B42" s="183">
        <f>H1-3</f>
        <v>2010</v>
      </c>
      <c r="C42" s="66"/>
      <c r="D42" s="183">
        <f>H1-2</f>
        <v>2011</v>
      </c>
      <c r="E42" s="66"/>
      <c r="F42" s="183">
        <f>H1-1</f>
        <v>2012</v>
      </c>
      <c r="G42" s="66"/>
      <c r="H42" s="66"/>
      <c r="J42" s="434" t="s">
        <v>233</v>
      </c>
      <c r="K42" s="433"/>
      <c r="L42" s="433"/>
      <c r="M42" s="432">
        <f>M38-M41</f>
        <v>6276.75</v>
      </c>
    </row>
    <row r="43" spans="1:13" ht="15.75">
      <c r="A43" s="74" t="s">
        <v>265</v>
      </c>
      <c r="B43" s="85">
        <f>inputPrYr!D65</f>
        <v>0</v>
      </c>
      <c r="C43" s="71"/>
      <c r="D43" s="85">
        <f>inputPrYr!E65</f>
        <v>0</v>
      </c>
      <c r="E43" s="71"/>
      <c r="F43" s="85">
        <f>debt!E11</f>
        <v>0</v>
      </c>
      <c r="G43" s="66"/>
      <c r="H43" s="66"/>
      <c r="J43" s="458" t="s">
        <v>238</v>
      </c>
      <c r="K43" s="459"/>
      <c r="L43" s="459"/>
      <c r="M43" s="454">
        <f>M36-M39</f>
        <v>0</v>
      </c>
    </row>
    <row r="44" spans="1:13" ht="15.75">
      <c r="A44" s="74" t="s">
        <v>493</v>
      </c>
      <c r="B44" s="85">
        <f>inputPrYr!D66</f>
        <v>0</v>
      </c>
      <c r="C44" s="71"/>
      <c r="D44" s="85">
        <f>inputPrYr!E66</f>
        <v>0</v>
      </c>
      <c r="E44" s="71"/>
      <c r="F44" s="85">
        <f>debt!E15</f>
        <v>0</v>
      </c>
      <c r="G44" s="66"/>
      <c r="H44" s="66"/>
      <c r="J44" s="431" t="s">
        <v>237</v>
      </c>
      <c r="K44" s="419"/>
      <c r="L44" s="419"/>
      <c r="M44" s="430">
        <f>M37-M40</f>
        <v>6276.75</v>
      </c>
    </row>
    <row r="45" spans="1:8" ht="15.75">
      <c r="A45" s="74" t="s">
        <v>230</v>
      </c>
      <c r="B45" s="85">
        <f>inputPrYr!D67</f>
        <v>0</v>
      </c>
      <c r="C45" s="71"/>
      <c r="D45" s="85">
        <f>inputPrYr!E67</f>
        <v>0</v>
      </c>
      <c r="E45" s="71"/>
      <c r="F45" s="85">
        <f>debt!F36</f>
        <v>0</v>
      </c>
      <c r="G45" s="66"/>
      <c r="H45" s="66"/>
    </row>
    <row r="46" spans="1:13" ht="16.5" thickBot="1">
      <c r="A46" s="74" t="s">
        <v>266</v>
      </c>
      <c r="B46" s="102">
        <f>SUM(B43:B45)</f>
        <v>0</v>
      </c>
      <c r="C46" s="71"/>
      <c r="D46" s="102">
        <f>SUM(D43:D45)</f>
        <v>0</v>
      </c>
      <c r="E46" s="71"/>
      <c r="F46" s="102">
        <f>SUM(F43:F45)</f>
        <v>0</v>
      </c>
      <c r="G46" s="66"/>
      <c r="H46" s="66"/>
      <c r="J46" s="535" t="s">
        <v>234</v>
      </c>
      <c r="K46" s="536"/>
      <c r="L46" s="536"/>
      <c r="M46" s="537"/>
    </row>
    <row r="47" spans="1:13" ht="16.5" thickTop="1">
      <c r="A47" s="74" t="s">
        <v>267</v>
      </c>
      <c r="B47" s="66"/>
      <c r="C47" s="66"/>
      <c r="D47" s="66"/>
      <c r="E47" s="66"/>
      <c r="F47" s="66"/>
      <c r="G47" s="66"/>
      <c r="H47" s="66"/>
      <c r="J47" s="437"/>
      <c r="K47" s="10"/>
      <c r="L47" s="10"/>
      <c r="M47" s="436"/>
    </row>
    <row r="48" spans="1:13" ht="15.75">
      <c r="A48" s="66"/>
      <c r="B48" s="66"/>
      <c r="C48" s="66"/>
      <c r="D48" s="66"/>
      <c r="E48" s="66"/>
      <c r="F48" s="66"/>
      <c r="G48" s="66"/>
      <c r="H48" s="66"/>
      <c r="J48" s="444" t="str">
        <f>CONCATENATE("Enter Desired ",$H$1," Mill Rate:")</f>
        <v>Enter Desired 2013 Mill Rate:</v>
      </c>
      <c r="K48" s="445"/>
      <c r="L48" s="446"/>
      <c r="M48" s="443">
        <v>0</v>
      </c>
    </row>
    <row r="49" spans="1:13" ht="15.75">
      <c r="A49" s="534"/>
      <c r="B49" s="534"/>
      <c r="C49" s="66"/>
      <c r="D49" s="66"/>
      <c r="E49" s="66"/>
      <c r="F49" s="66"/>
      <c r="G49" s="66"/>
      <c r="H49" s="66"/>
      <c r="J49" s="437" t="str">
        <f>CONCATENATE("Current ",$H$1," Estimated Mill Rate:")</f>
        <v>Current 2013 Estimated Mill Rate:</v>
      </c>
      <c r="K49" s="10"/>
      <c r="L49" s="10"/>
      <c r="M49" s="450">
        <f>IF(M48=0,0,$H$34)</f>
        <v>0</v>
      </c>
    </row>
    <row r="50" spans="1:13" ht="15.75">
      <c r="A50" s="70" t="s">
        <v>268</v>
      </c>
      <c r="B50" s="67"/>
      <c r="C50" s="66"/>
      <c r="D50" s="66"/>
      <c r="E50" s="66"/>
      <c r="F50" s="66"/>
      <c r="G50" s="66"/>
      <c r="H50" s="66"/>
      <c r="J50" s="437" t="s">
        <v>239</v>
      </c>
      <c r="K50" s="10"/>
      <c r="L50" s="10"/>
      <c r="M50" s="451">
        <f>M48-M49</f>
        <v>0</v>
      </c>
    </row>
    <row r="51" spans="1:13" ht="15.75">
      <c r="A51" s="66"/>
      <c r="B51" s="66"/>
      <c r="C51" s="66"/>
      <c r="D51" s="66"/>
      <c r="E51" s="66"/>
      <c r="F51" s="66"/>
      <c r="G51" s="66"/>
      <c r="H51" s="66"/>
      <c r="J51" s="397" t="s">
        <v>240</v>
      </c>
      <c r="K51" s="73"/>
      <c r="L51" s="73"/>
      <c r="M51" s="448">
        <f>IF(M48=0,0,ROUND(SUM(H19:H22)/M49,2))</f>
        <v>0</v>
      </c>
    </row>
    <row r="52" spans="1:13" ht="15.75">
      <c r="A52" s="66"/>
      <c r="B52" s="184" t="s">
        <v>482</v>
      </c>
      <c r="C52" s="185">
        <v>8</v>
      </c>
      <c r="D52" s="66"/>
      <c r="E52" s="66"/>
      <c r="F52" s="66"/>
      <c r="G52" s="66"/>
      <c r="H52" s="66"/>
      <c r="J52" s="397" t="s">
        <v>241</v>
      </c>
      <c r="K52" s="73"/>
      <c r="L52" s="73"/>
      <c r="M52" s="448">
        <f>IF(M48=0,0,ROUND(SUM(H17+H18+H23+H24+H25+H26+H27)/M49,2))</f>
        <v>0</v>
      </c>
    </row>
    <row r="53" spans="1:13" ht="15.75">
      <c r="A53" s="117"/>
      <c r="B53" s="117"/>
      <c r="C53" s="117"/>
      <c r="H53" s="449"/>
      <c r="J53" s="434" t="str">
        <f>CONCATENATE("",$H$1," Tax Levy Fund Total Exp. Changed By:")</f>
        <v>2013 Tax Levy Fund Total Exp. Changed By:</v>
      </c>
      <c r="K53" s="433"/>
      <c r="L53" s="433"/>
      <c r="M53" s="440"/>
    </row>
    <row r="54" spans="10:13" ht="15.75">
      <c r="J54" s="458" t="s">
        <v>242</v>
      </c>
      <c r="K54" s="459"/>
      <c r="L54" s="459"/>
      <c r="M54" s="454">
        <f>ROUND(F39*M50*M51/1000,0)</f>
        <v>0</v>
      </c>
    </row>
    <row r="55" spans="1:13" ht="15.75">
      <c r="A55" s="117"/>
      <c r="B55" s="117"/>
      <c r="C55" s="117"/>
      <c r="D55" s="117"/>
      <c r="E55" s="117"/>
      <c r="F55" s="117"/>
      <c r="G55" s="117"/>
      <c r="J55" s="431" t="s">
        <v>243</v>
      </c>
      <c r="K55" s="419"/>
      <c r="L55" s="419"/>
      <c r="M55" s="430">
        <f>ROUND(F38*M50*M52/1000,0)</f>
        <v>0</v>
      </c>
    </row>
    <row r="56" spans="8:13" ht="15.75">
      <c r="H56" s="117"/>
      <c r="M56" s="452"/>
    </row>
    <row r="57" ht="15.75">
      <c r="M57" s="452"/>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mergeCells count="11">
    <mergeCell ref="A49:B49"/>
    <mergeCell ref="J27:M27"/>
    <mergeCell ref="J34:M34"/>
    <mergeCell ref="J46:M46"/>
    <mergeCell ref="J22:M22"/>
    <mergeCell ref="A3:H3"/>
    <mergeCell ref="G14:G16"/>
    <mergeCell ref="A6:H6"/>
    <mergeCell ref="A5:H5"/>
    <mergeCell ref="A4:H4"/>
    <mergeCell ref="A8:H8"/>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6">
      <selection activeCell="C39" sqref="C3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198" t="str">
        <f>inputPrYr!D3</f>
        <v>Liberty Township</v>
      </c>
      <c r="B1" s="66"/>
      <c r="C1" s="66"/>
      <c r="D1" s="66"/>
      <c r="E1" s="66"/>
      <c r="F1" s="66">
        <f>inputPrYr!D9</f>
        <v>2013</v>
      </c>
    </row>
    <row r="2" spans="1:6" ht="15.75">
      <c r="A2" s="66"/>
      <c r="B2" s="66"/>
      <c r="C2" s="66"/>
      <c r="D2" s="66"/>
      <c r="E2" s="66"/>
      <c r="F2" s="66"/>
    </row>
    <row r="3" spans="1:6" ht="15.75">
      <c r="A3" s="66"/>
      <c r="B3" s="499" t="str">
        <f>CONCATENATE("",F1," Neighborhood Revitalization Rebate")</f>
        <v>2013 Neighborhood Revitalization Rebate</v>
      </c>
      <c r="C3" s="504"/>
      <c r="D3" s="504"/>
      <c r="E3" s="504"/>
      <c r="F3" s="66"/>
    </row>
    <row r="4" spans="1:6" ht="15.75">
      <c r="A4" s="66"/>
      <c r="B4" s="66"/>
      <c r="C4" s="66"/>
      <c r="D4" s="66"/>
      <c r="E4" s="66"/>
      <c r="F4" s="66"/>
    </row>
    <row r="5" spans="1:6" ht="51" customHeight="1">
      <c r="A5" s="66"/>
      <c r="B5" s="320" t="str">
        <f>CONCATENATE("Budgeted Funds                            for ",F1,"")</f>
        <v>Budgeted Funds                            for 2013</v>
      </c>
      <c r="C5" s="320" t="str">
        <f>CONCATENATE("",F1-1," Ad Valorem before Rebate**")</f>
        <v>2012 Ad Valorem before Rebate**</v>
      </c>
      <c r="D5" s="321" t="str">
        <f>CONCATENATE("",F1-1," Mil Rate before Rebate")</f>
        <v>2012 Mil Rate before Rebate</v>
      </c>
      <c r="E5" s="322" t="str">
        <f>CONCATENATE("Estimate ",F1," NR Rebate")</f>
        <v>Estimate 2013 NR Rebate</v>
      </c>
      <c r="F5" s="164"/>
    </row>
    <row r="6" spans="1:6" ht="15.75">
      <c r="A6" s="66"/>
      <c r="B6" s="108" t="str">
        <f>IF(inputPrYr!B20&gt;0,inputPrYr!B20,"")</f>
        <v>General</v>
      </c>
      <c r="C6" s="323"/>
      <c r="D6" s="324">
        <f aca="true" t="shared" si="0" ref="D6:D16">IF(C6&gt;0,C6/$D$22,"")</f>
      </c>
      <c r="E6" s="319">
        <f>IF(C6&gt;0,ROUND(D6*$D$26,0),"")</f>
      </c>
      <c r="F6" s="164"/>
    </row>
    <row r="7" spans="1:6" ht="15.75">
      <c r="A7" s="66"/>
      <c r="B7" s="108" t="str">
        <f>IF(inputPrYr!B21&gt;0,inputPrYr!B21,"")</f>
        <v>Debt Service</v>
      </c>
      <c r="C7" s="323"/>
      <c r="D7" s="324">
        <f t="shared" si="0"/>
      </c>
      <c r="E7" s="319">
        <f aca="true" t="shared" si="1" ref="E7:E16">IF(C7&gt;0,ROUND(D7*$D$26,0),"")</f>
      </c>
      <c r="F7" s="164"/>
    </row>
    <row r="8" spans="1:6" ht="15.75">
      <c r="A8" s="66"/>
      <c r="B8" s="108" t="str">
        <f>IF(inputPrYr!B22&gt;0,inputPrYr!B22,"")</f>
        <v>Road</v>
      </c>
      <c r="C8" s="323"/>
      <c r="D8" s="324">
        <f t="shared" si="0"/>
      </c>
      <c r="E8" s="319">
        <f t="shared" si="1"/>
      </c>
      <c r="F8" s="164"/>
    </row>
    <row r="9" spans="1:6" ht="15.75">
      <c r="A9" s="66"/>
      <c r="B9" s="108" t="str">
        <f>IF(inputPrYr!B23&gt;0,inputPrYr!B23,"")</f>
        <v>Special Road</v>
      </c>
      <c r="C9" s="323"/>
      <c r="D9" s="324">
        <f t="shared" si="0"/>
      </c>
      <c r="E9" s="319">
        <f t="shared" si="1"/>
      </c>
      <c r="F9" s="164"/>
    </row>
    <row r="10" spans="1:6" ht="15.75">
      <c r="A10" s="66"/>
      <c r="B10" s="108" t="str">
        <f>IF(inputPrYr!B24&gt;0,inputPrYr!B24,"")</f>
        <v>Noxious Weed</v>
      </c>
      <c r="C10" s="323"/>
      <c r="D10" s="324">
        <f t="shared" si="0"/>
      </c>
      <c r="E10" s="319">
        <f t="shared" si="1"/>
      </c>
      <c r="F10" s="164"/>
    </row>
    <row r="11" spans="1:6" ht="15.75">
      <c r="A11" s="66"/>
      <c r="B11" s="108" t="str">
        <f>IF(inputPrYr!B25&gt;0,inputPrYr!B25,"")</f>
        <v>Fire Protection</v>
      </c>
      <c r="C11" s="323"/>
      <c r="D11" s="324">
        <f t="shared" si="0"/>
      </c>
      <c r="E11" s="319">
        <f t="shared" si="1"/>
      </c>
      <c r="F11" s="164"/>
    </row>
    <row r="12" spans="1:6" ht="15.75">
      <c r="A12" s="66"/>
      <c r="B12" s="108" t="str">
        <f>IF(inputPrYr!B26&gt;0,inputPrYr!B26,"")</f>
        <v>Hall</v>
      </c>
      <c r="C12" s="325"/>
      <c r="D12" s="324">
        <f t="shared" si="0"/>
      </c>
      <c r="E12" s="319">
        <f t="shared" si="1"/>
      </c>
      <c r="F12" s="164"/>
    </row>
    <row r="13" spans="1:6" ht="15.75">
      <c r="A13" s="66"/>
      <c r="B13" s="108">
        <f>IF(inputPrYr!B27&gt;0,inputPrYr!B27,"")</f>
      </c>
      <c r="C13" s="325"/>
      <c r="D13" s="324">
        <f t="shared" si="0"/>
      </c>
      <c r="E13" s="319">
        <f t="shared" si="1"/>
      </c>
      <c r="F13" s="164"/>
    </row>
    <row r="14" spans="1:6" ht="15.75">
      <c r="A14" s="66"/>
      <c r="B14" s="108">
        <f>IF(inputPrYr!B28&gt;0,inputPrYr!B28,"")</f>
      </c>
      <c r="C14" s="325"/>
      <c r="D14" s="324">
        <f t="shared" si="0"/>
      </c>
      <c r="E14" s="319">
        <f t="shared" si="1"/>
      </c>
      <c r="F14" s="164"/>
    </row>
    <row r="15" spans="1:6" ht="15.75">
      <c r="A15" s="66"/>
      <c r="B15" s="108">
        <f>IF(inputPrYr!B29&gt;0,inputPrYr!B29,"")</f>
      </c>
      <c r="C15" s="325"/>
      <c r="D15" s="324">
        <f t="shared" si="0"/>
      </c>
      <c r="E15" s="319">
        <f t="shared" si="1"/>
      </c>
      <c r="F15" s="164"/>
    </row>
    <row r="16" spans="1:6" ht="15.75">
      <c r="A16" s="66"/>
      <c r="B16" s="108">
        <f>IF(inputPrYr!B30&gt;0,inputPrYr!B30,"")</f>
      </c>
      <c r="C16" s="325"/>
      <c r="D16" s="324">
        <f t="shared" si="0"/>
      </c>
      <c r="E16" s="319">
        <f t="shared" si="1"/>
      </c>
      <c r="F16" s="164"/>
    </row>
    <row r="17" spans="1:6" ht="16.5" thickBot="1">
      <c r="A17" s="66"/>
      <c r="B17" s="180" t="s">
        <v>444</v>
      </c>
      <c r="C17" s="326">
        <f>SUM(C6:C16)</f>
        <v>0</v>
      </c>
      <c r="D17" s="327">
        <f>SUM(D6:D16)</f>
        <v>0</v>
      </c>
      <c r="E17" s="326">
        <f>SUM(E6:E16)</f>
        <v>0</v>
      </c>
      <c r="F17" s="164"/>
    </row>
    <row r="18" spans="1:6" ht="16.5" thickTop="1">
      <c r="A18" s="66"/>
      <c r="B18" s="66"/>
      <c r="C18" s="66"/>
      <c r="D18" s="66"/>
      <c r="E18" s="66"/>
      <c r="F18" s="164"/>
    </row>
    <row r="19" spans="1:6" ht="15.75">
      <c r="A19" s="66"/>
      <c r="B19" s="66"/>
      <c r="C19" s="66"/>
      <c r="D19" s="66"/>
      <c r="E19" s="66"/>
      <c r="F19" s="164"/>
    </row>
    <row r="20" spans="1:6" ht="15.75">
      <c r="A20" s="544" t="str">
        <f>CONCATENATE("",F1-1," July 1 Valuation:")</f>
        <v>2012 July 1 Valuation:</v>
      </c>
      <c r="B20" s="543"/>
      <c r="C20" s="544"/>
      <c r="D20" s="328">
        <f>inputOth!E11</f>
        <v>7851415</v>
      </c>
      <c r="E20" s="66"/>
      <c r="F20" s="164"/>
    </row>
    <row r="21" spans="1:6" ht="15.75">
      <c r="A21" s="66"/>
      <c r="B21" s="66"/>
      <c r="C21" s="66"/>
      <c r="D21" s="66"/>
      <c r="E21" s="66"/>
      <c r="F21" s="164"/>
    </row>
    <row r="22" spans="1:6" ht="15.75">
      <c r="A22" s="66"/>
      <c r="B22" s="544" t="s">
        <v>543</v>
      </c>
      <c r="C22" s="544"/>
      <c r="D22" s="329">
        <f>IF(D20&gt;0,(D20*0.001),"")</f>
        <v>7851.415</v>
      </c>
      <c r="E22" s="66"/>
      <c r="F22" s="164"/>
    </row>
    <row r="23" spans="1:6" ht="15.75">
      <c r="A23" s="66"/>
      <c r="B23" s="121"/>
      <c r="C23" s="121"/>
      <c r="D23" s="330"/>
      <c r="E23" s="66"/>
      <c r="F23" s="164"/>
    </row>
    <row r="24" spans="1:6" ht="15.75">
      <c r="A24" s="542" t="s">
        <v>544</v>
      </c>
      <c r="B24" s="495"/>
      <c r="C24" s="495"/>
      <c r="D24" s="331">
        <f>inputOth!E33</f>
        <v>0</v>
      </c>
      <c r="E24" s="151"/>
      <c r="F24" s="151"/>
    </row>
    <row r="25" spans="1:6" ht="15.75">
      <c r="A25" s="151"/>
      <c r="B25" s="151"/>
      <c r="C25" s="151"/>
      <c r="D25" s="332"/>
      <c r="E25" s="151"/>
      <c r="F25" s="151"/>
    </row>
    <row r="26" spans="1:6" ht="15.75">
      <c r="A26" s="151"/>
      <c r="B26" s="542" t="s">
        <v>545</v>
      </c>
      <c r="C26" s="543"/>
      <c r="D26" s="333">
        <f>IF(D24&gt;0,(D24*0.001),"")</f>
      </c>
      <c r="E26" s="151"/>
      <c r="F26" s="151"/>
    </row>
    <row r="27" spans="1:6" ht="15.75">
      <c r="A27" s="151"/>
      <c r="B27" s="151"/>
      <c r="C27" s="151"/>
      <c r="D27" s="151"/>
      <c r="E27" s="151"/>
      <c r="F27" s="151"/>
    </row>
    <row r="28" spans="1:6" ht="15.75">
      <c r="A28" s="151"/>
      <c r="B28" s="151"/>
      <c r="C28" s="151"/>
      <c r="D28" s="151"/>
      <c r="E28" s="151"/>
      <c r="F28" s="151"/>
    </row>
    <row r="29" spans="1:6" ht="15.75">
      <c r="A29" s="151"/>
      <c r="B29" s="151"/>
      <c r="C29" s="151"/>
      <c r="D29" s="151"/>
      <c r="E29" s="151"/>
      <c r="F29" s="151"/>
    </row>
    <row r="30" spans="1:6" ht="15.75">
      <c r="A30" s="30" t="str">
        <f>CONCATENATE("**This information comes from the ",F1," Budget Summary page.  See instructions tab #11 for completing")</f>
        <v>**This information comes from the 2013 Budget Summary page.  See instructions tab #11 for completing</v>
      </c>
      <c r="B30" s="151"/>
      <c r="C30" s="151"/>
      <c r="D30" s="151"/>
      <c r="E30" s="151"/>
      <c r="F30" s="151"/>
    </row>
    <row r="31" spans="1:6" ht="15.75">
      <c r="A31" s="30" t="s">
        <v>215</v>
      </c>
      <c r="B31" s="151"/>
      <c r="C31" s="151"/>
      <c r="D31" s="151"/>
      <c r="E31" s="151"/>
      <c r="F31" s="151"/>
    </row>
    <row r="32" spans="1:6" ht="15.75">
      <c r="A32" s="30"/>
      <c r="B32" s="151"/>
      <c r="C32" s="151"/>
      <c r="D32" s="151"/>
      <c r="E32" s="151"/>
      <c r="F32" s="151"/>
    </row>
    <row r="33" spans="1:6" ht="15.75">
      <c r="A33" s="30"/>
      <c r="B33" s="151"/>
      <c r="C33" s="151"/>
      <c r="D33" s="151"/>
      <c r="E33" s="151"/>
      <c r="F33" s="151"/>
    </row>
    <row r="34" spans="1:6" ht="15.75">
      <c r="A34" s="30"/>
      <c r="B34" s="151"/>
      <c r="C34" s="151"/>
      <c r="D34" s="151"/>
      <c r="E34" s="151"/>
      <c r="F34" s="151"/>
    </row>
    <row r="35" spans="1:6" ht="15.75">
      <c r="A35" s="30"/>
      <c r="B35" s="151"/>
      <c r="C35" s="151"/>
      <c r="D35" s="151"/>
      <c r="E35" s="151"/>
      <c r="F35" s="151"/>
    </row>
    <row r="36" spans="1:6" ht="15.75">
      <c r="A36" s="30"/>
      <c r="B36" s="151"/>
      <c r="C36" s="151"/>
      <c r="D36" s="151"/>
      <c r="E36" s="151"/>
      <c r="F36" s="151"/>
    </row>
    <row r="37" spans="1:6" ht="15.75">
      <c r="A37" s="30"/>
      <c r="B37" s="151"/>
      <c r="C37" s="151"/>
      <c r="D37" s="151"/>
      <c r="E37" s="151"/>
      <c r="F37" s="151"/>
    </row>
    <row r="38" spans="1:6" ht="15.75">
      <c r="A38" s="151"/>
      <c r="B38" s="151"/>
      <c r="C38" s="151"/>
      <c r="D38" s="151"/>
      <c r="E38" s="151"/>
      <c r="F38" s="151"/>
    </row>
    <row r="39" spans="1:6" ht="15.75">
      <c r="A39" s="151"/>
      <c r="B39" s="125" t="s">
        <v>482</v>
      </c>
      <c r="C39" s="126">
        <v>9</v>
      </c>
      <c r="D39" s="151"/>
      <c r="E39" s="151"/>
      <c r="F39" s="151"/>
    </row>
    <row r="40" spans="1:6" ht="15.75">
      <c r="A40" s="164"/>
      <c r="B40" s="66"/>
      <c r="C40" s="66"/>
      <c r="D40" s="334"/>
      <c r="E40" s="164"/>
      <c r="F40" s="164"/>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F52" sqref="F52"/>
    </sheetView>
  </sheetViews>
  <sheetFormatPr defaultColWidth="8.796875" defaultRowHeight="15.75"/>
  <sheetData>
    <row r="1" spans="1:7" ht="15.75">
      <c r="A1" s="549" t="s">
        <v>343</v>
      </c>
      <c r="B1" s="549"/>
      <c r="C1" s="549"/>
      <c r="D1" s="549"/>
      <c r="E1" s="549"/>
      <c r="F1" s="549"/>
      <c r="G1" s="549"/>
    </row>
    <row r="2" ht="15.75">
      <c r="A2" s="21"/>
    </row>
    <row r="3" spans="1:7" ht="15.75">
      <c r="A3" s="550" t="s">
        <v>344</v>
      </c>
      <c r="B3" s="550"/>
      <c r="C3" s="550"/>
      <c r="D3" s="550"/>
      <c r="E3" s="550"/>
      <c r="F3" s="550"/>
      <c r="G3" s="550"/>
    </row>
    <row r="4" ht="15.75">
      <c r="A4" s="22"/>
    </row>
    <row r="5" ht="15.75">
      <c r="A5" s="22"/>
    </row>
    <row r="6" spans="1:9" ht="15.75">
      <c r="A6" s="28" t="str">
        <f>CONCATENATE("A resolution expressing the property taxation policy of the Board of ",(inputPrYr!D3)," ")</f>
        <v>A resolution expressing the property taxation policy of the Board of Liberty Township </v>
      </c>
      <c r="I6">
        <f>CONCATENATE(I7)</f>
      </c>
    </row>
    <row r="7" spans="1:7" ht="15.75">
      <c r="A7" s="551" t="str">
        <f>CONCATENATE("   with respect to financing the ",inputPrYr!D9," annual budget for ",(inputPrYr!D3)," , ",(inputPrYr!D4)," , Kansas.")</f>
        <v>   with respect to financing the 2013 annual budget for Liberty Township , Montgomery County , Kansas.</v>
      </c>
      <c r="B7" s="476"/>
      <c r="C7" s="476"/>
      <c r="D7" s="476"/>
      <c r="E7" s="476"/>
      <c r="F7" s="476"/>
      <c r="G7" s="476"/>
    </row>
    <row r="8" spans="1:7" ht="15.75">
      <c r="A8" s="476"/>
      <c r="B8" s="476"/>
      <c r="C8" s="476"/>
      <c r="D8" s="476"/>
      <c r="E8" s="476"/>
      <c r="F8" s="476"/>
      <c r="G8" s="476"/>
    </row>
    <row r="9" ht="15.75">
      <c r="A9" s="21"/>
    </row>
    <row r="10" ht="15.75">
      <c r="A10" s="29" t="s">
        <v>345</v>
      </c>
    </row>
    <row r="11" ht="15.75">
      <c r="A11" s="27" t="str">
        <f>CONCATENATE("to finance the ",inputPrYr!D9," ",(inputPrYr!D3)," budget exceed the amount levied to finance the ",inputPrYr!D9-1,"")</f>
        <v>to finance the 2013 Liberty Township budget exceed the amount levied to finance the 2012</v>
      </c>
    </row>
    <row r="12" spans="1:7" ht="15.75">
      <c r="A12" s="547" t="str">
        <f>CONCATENATE((inputPrYr!D3)," Township budget, except with regard to revenue produced and attributable to the taxation of 1) new improvements to real property; 2) increased personal property valuation, other than increased")</f>
        <v>Liberty Township Township budget, except with regard to revenue produced and attributable to the taxation of 1) new improvements to real property; 2) increased personal property valuation, other than increased</v>
      </c>
      <c r="B12" s="476"/>
      <c r="C12" s="476"/>
      <c r="D12" s="476"/>
      <c r="E12" s="476"/>
      <c r="F12" s="476"/>
      <c r="G12" s="476"/>
    </row>
    <row r="13" spans="1:7" ht="15.75">
      <c r="A13" s="476"/>
      <c r="B13" s="476"/>
      <c r="C13" s="476"/>
      <c r="D13" s="476"/>
      <c r="E13" s="476"/>
      <c r="F13" s="476"/>
      <c r="G13" s="476"/>
    </row>
    <row r="14" spans="1:7" ht="15.75">
      <c r="A14" s="547" t="s">
        <v>350</v>
      </c>
      <c r="B14" s="476"/>
      <c r="C14" s="476"/>
      <c r="D14" s="476"/>
      <c r="E14" s="476"/>
      <c r="F14" s="476"/>
      <c r="G14" s="476"/>
    </row>
    <row r="15" spans="1:7" ht="15.75">
      <c r="A15" s="476"/>
      <c r="B15" s="476"/>
      <c r="C15" s="476"/>
      <c r="D15" s="476"/>
      <c r="E15" s="476"/>
      <c r="F15" s="476"/>
      <c r="G15" s="476"/>
    </row>
    <row r="16" spans="1:7" ht="15.75">
      <c r="A16" s="548"/>
      <c r="B16" s="548"/>
      <c r="C16" s="548"/>
      <c r="D16" s="548"/>
      <c r="E16" s="548"/>
      <c r="F16" s="548"/>
      <c r="G16" s="548"/>
    </row>
    <row r="17" ht="15.75">
      <c r="A17" s="22"/>
    </row>
    <row r="18" spans="1:7" ht="15.75">
      <c r="A18" s="545" t="s">
        <v>346</v>
      </c>
      <c r="B18" s="476"/>
      <c r="C18" s="476"/>
      <c r="D18" s="476"/>
      <c r="E18" s="476"/>
      <c r="F18" s="476"/>
      <c r="G18" s="476"/>
    </row>
    <row r="19" spans="1:7" ht="15.75">
      <c r="A19" s="476"/>
      <c r="B19" s="476"/>
      <c r="C19" s="476"/>
      <c r="D19" s="476"/>
      <c r="E19" s="476"/>
      <c r="F19" s="476"/>
      <c r="G19" s="476"/>
    </row>
    <row r="20" ht="15.75">
      <c r="A20" s="22"/>
    </row>
    <row r="21" spans="1:7" ht="15.75">
      <c r="A21" s="545" t="str">
        <f>CONCATENATE("Whereas, ",(inputPrYr!D3)," provides essential services to protect the safety and well being of the citizens of the township; and")</f>
        <v>Whereas, Liberty Township provides essential services to protect the safety and well being of the citizens of the township; and</v>
      </c>
      <c r="B21" s="476"/>
      <c r="C21" s="476"/>
      <c r="D21" s="476"/>
      <c r="E21" s="476"/>
      <c r="F21" s="476"/>
      <c r="G21" s="476"/>
    </row>
    <row r="22" spans="1:7" ht="15.75">
      <c r="A22" s="476"/>
      <c r="B22" s="476"/>
      <c r="C22" s="476"/>
      <c r="D22" s="476"/>
      <c r="E22" s="476"/>
      <c r="F22" s="476"/>
      <c r="G22" s="476"/>
    </row>
    <row r="23" ht="15.75">
      <c r="A23" s="24"/>
    </row>
    <row r="24" ht="15.75">
      <c r="A24" s="23" t="s">
        <v>347</v>
      </c>
    </row>
    <row r="25" ht="15.75">
      <c r="A25" s="24"/>
    </row>
    <row r="26" spans="1:7" ht="15.75">
      <c r="A26" s="545" t="str">
        <f>CONCATENATE("NOW, THEREFORE, BE IT RESOLVED by the Board of ",(inputPrYr!D3)," of ",(inputPrYr!D4),", Kansas that is our desire to notify the public of increased property taxes to finance the ",inputPrYr!D9," ",(inputPrYr!D3),"  budget as defined above.")</f>
        <v>NOW, THEREFORE, BE IT RESOLVED by the Board of Liberty Township of Montgomery County, Kansas that is our desire to notify the public of increased property taxes to finance the 2013 Liberty Township  budget as defined above.</v>
      </c>
      <c r="B26" s="476"/>
      <c r="C26" s="476"/>
      <c r="D26" s="476"/>
      <c r="E26" s="476"/>
      <c r="F26" s="476"/>
      <c r="G26" s="476"/>
    </row>
    <row r="27" spans="1:7" ht="15.75">
      <c r="A27" s="476"/>
      <c r="B27" s="476"/>
      <c r="C27" s="476"/>
      <c r="D27" s="476"/>
      <c r="E27" s="476"/>
      <c r="F27" s="476"/>
      <c r="G27" s="476"/>
    </row>
    <row r="28" spans="1:7" ht="15.75">
      <c r="A28" s="476"/>
      <c r="B28" s="476"/>
      <c r="C28" s="476"/>
      <c r="D28" s="476"/>
      <c r="E28" s="476"/>
      <c r="F28" s="476"/>
      <c r="G28" s="476"/>
    </row>
    <row r="29" ht="15.75">
      <c r="A29" s="24"/>
    </row>
    <row r="30" spans="1:7" ht="15.75">
      <c r="A30" s="553" t="str">
        <f>CONCATENATE("Adopted this _________ day of ___________, ",inputPrYr!D9-1," by the ",(inputPrYr!D3)," Board, ",(inputPrYr!D4),", Kansas.")</f>
        <v>Adopted this _________ day of ___________, 2012 by the Liberty Township Board, Montgomery County, Kansas.</v>
      </c>
      <c r="B30" s="476"/>
      <c r="C30" s="476"/>
      <c r="D30" s="476"/>
      <c r="E30" s="476"/>
      <c r="F30" s="476"/>
      <c r="G30" s="476"/>
    </row>
    <row r="31" spans="1:7" ht="15.75">
      <c r="A31" s="476"/>
      <c r="B31" s="476"/>
      <c r="C31" s="476"/>
      <c r="D31" s="476"/>
      <c r="E31" s="476"/>
      <c r="F31" s="476"/>
      <c r="G31" s="476"/>
    </row>
    <row r="32" ht="15.75">
      <c r="A32" s="24"/>
    </row>
    <row r="33" spans="4:7" ht="15.75">
      <c r="D33" s="546" t="str">
        <f>CONCATENATE((inputPrYr!D3)," Board")</f>
        <v>Liberty Township Board</v>
      </c>
      <c r="E33" s="546"/>
      <c r="F33" s="546"/>
      <c r="G33" s="546"/>
    </row>
    <row r="35" spans="4:7" ht="15.75">
      <c r="D35" s="552" t="s">
        <v>348</v>
      </c>
      <c r="E35" s="552"/>
      <c r="F35" s="552"/>
      <c r="G35" s="552"/>
    </row>
    <row r="36" spans="1:7" ht="15.75">
      <c r="A36" s="25"/>
      <c r="D36" s="552" t="s">
        <v>352</v>
      </c>
      <c r="E36" s="552"/>
      <c r="F36" s="552"/>
      <c r="G36" s="552"/>
    </row>
    <row r="37" spans="4:7" ht="15.75">
      <c r="D37" s="552"/>
      <c r="E37" s="552"/>
      <c r="F37" s="552"/>
      <c r="G37" s="552"/>
    </row>
    <row r="38" spans="4:7" ht="15.75">
      <c r="D38" s="552" t="s">
        <v>348</v>
      </c>
      <c r="E38" s="552"/>
      <c r="F38" s="552"/>
      <c r="G38" s="552"/>
    </row>
    <row r="39" spans="1:7" ht="15.75">
      <c r="A39" s="24"/>
      <c r="D39" s="552" t="s">
        <v>353</v>
      </c>
      <c r="E39" s="552"/>
      <c r="F39" s="552"/>
      <c r="G39" s="552"/>
    </row>
    <row r="40" spans="4:7" ht="15.75">
      <c r="D40" s="552"/>
      <c r="E40" s="552"/>
      <c r="F40" s="552"/>
      <c r="G40" s="552"/>
    </row>
    <row r="41" spans="4:7" ht="15.75">
      <c r="D41" s="552" t="s">
        <v>351</v>
      </c>
      <c r="E41" s="552"/>
      <c r="F41" s="552"/>
      <c r="G41" s="552"/>
    </row>
    <row r="42" spans="1:7" ht="15.75">
      <c r="A42" s="24"/>
      <c r="D42" s="552" t="s">
        <v>354</v>
      </c>
      <c r="E42" s="552"/>
      <c r="F42" s="552"/>
      <c r="G42" s="552"/>
    </row>
    <row r="43" ht="15.75">
      <c r="A43" s="26"/>
    </row>
    <row r="44" ht="15.75">
      <c r="A44" s="26"/>
    </row>
    <row r="45" ht="15.75">
      <c r="A45" s="26" t="s">
        <v>349</v>
      </c>
    </row>
    <row r="50" spans="3:4" ht="15.75">
      <c r="C50" s="32" t="s">
        <v>482</v>
      </c>
      <c r="D50" s="64">
        <v>10</v>
      </c>
    </row>
  </sheetData>
  <sheetProtection sheet="1" objects="1" scenarios="1"/>
  <mergeCells count="18">
    <mergeCell ref="D36:G36"/>
    <mergeCell ref="D39:G39"/>
    <mergeCell ref="A30:G31"/>
    <mergeCell ref="D42:G42"/>
    <mergeCell ref="D37:G37"/>
    <mergeCell ref="D38:G38"/>
    <mergeCell ref="D40:G40"/>
    <mergeCell ref="D41:G41"/>
    <mergeCell ref="D35:G35"/>
    <mergeCell ref="A21:G22"/>
    <mergeCell ref="A26:G28"/>
    <mergeCell ref="D33:G33"/>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18.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52" t="s">
        <v>578</v>
      </c>
      <c r="B3" s="352"/>
      <c r="C3" s="352"/>
      <c r="D3" s="352"/>
      <c r="E3" s="352"/>
      <c r="F3" s="352"/>
      <c r="G3" s="352"/>
      <c r="H3" s="352"/>
      <c r="I3" s="352"/>
      <c r="J3" s="352"/>
      <c r="K3" s="352"/>
      <c r="L3" s="352"/>
    </row>
    <row r="5" ht="15.75">
      <c r="A5" s="353" t="s">
        <v>579</v>
      </c>
    </row>
    <row r="6" ht="15.75">
      <c r="A6" s="353" t="str">
        <f>CONCATENATE(inputPrYr!D9-2," 'total expenditures' exceed your ",inputPrYr!D9-2," 'budget authority.'")</f>
        <v>2011 'total expenditures' exceed your 2011 'budget authority.'</v>
      </c>
    </row>
    <row r="7" ht="15.75">
      <c r="A7" s="353"/>
    </row>
    <row r="8" ht="15.75">
      <c r="A8" s="353" t="s">
        <v>580</v>
      </c>
    </row>
    <row r="9" ht="15.75">
      <c r="A9" s="353" t="s">
        <v>581</v>
      </c>
    </row>
    <row r="10" ht="15.75">
      <c r="A10" s="353" t="s">
        <v>582</v>
      </c>
    </row>
    <row r="11" ht="15.75">
      <c r="A11" s="353"/>
    </row>
    <row r="12" ht="15.75">
      <c r="A12" s="353"/>
    </row>
    <row r="13" ht="15.75">
      <c r="A13" s="354" t="s">
        <v>583</v>
      </c>
    </row>
    <row r="15" ht="15.75">
      <c r="A15" s="353" t="s">
        <v>584</v>
      </c>
    </row>
    <row r="16" ht="15.75">
      <c r="A16" s="353" t="str">
        <f>CONCATENATE("(i.e. an audit has not been completed, or the ",inputPrYr!D9," adopted")</f>
        <v>(i.e. an audit has not been completed, or the 2013 adopted</v>
      </c>
    </row>
    <row r="17" ht="15.75">
      <c r="A17" s="353" t="s">
        <v>12</v>
      </c>
    </row>
    <row r="18" ht="15.75">
      <c r="A18" s="353" t="s">
        <v>13</v>
      </c>
    </row>
    <row r="19" ht="15.75">
      <c r="A19" s="353" t="s">
        <v>14</v>
      </c>
    </row>
    <row r="21" ht="15.75">
      <c r="A21" s="354" t="s">
        <v>15</v>
      </c>
    </row>
    <row r="22" ht="15.75">
      <c r="A22" s="354"/>
    </row>
    <row r="23" ht="15.75">
      <c r="A23" s="353" t="s">
        <v>16</v>
      </c>
    </row>
    <row r="24" ht="15.75">
      <c r="A24" s="353" t="s">
        <v>17</v>
      </c>
    </row>
    <row r="25" ht="15.75">
      <c r="A25" s="353" t="str">
        <f>CONCATENATE("particular fund.  If your ",inputPrYr!D9-2," budget was amended, did you")</f>
        <v>particular fund.  If your 2011 budget was amended, did you</v>
      </c>
    </row>
    <row r="26" ht="15.75">
      <c r="A26" s="353" t="s">
        <v>18</v>
      </c>
    </row>
    <row r="27" ht="15.75">
      <c r="A27" s="353"/>
    </row>
    <row r="28" ht="15.75">
      <c r="A28" s="353" t="str">
        <f>CONCATENATE("Next, look to see if any of your ",inputPrYr!D9-2," expenditures can be")</f>
        <v>Next, look to see if any of your 2011 expenditures can be</v>
      </c>
    </row>
    <row r="29" ht="15.75">
      <c r="A29" s="353" t="s">
        <v>19</v>
      </c>
    </row>
    <row r="30" ht="15.75">
      <c r="A30" s="353" t="s">
        <v>20</v>
      </c>
    </row>
    <row r="31" ht="15.75">
      <c r="A31" s="353" t="s">
        <v>21</v>
      </c>
    </row>
    <row r="32" ht="15.75">
      <c r="A32" s="353"/>
    </row>
    <row r="33" ht="15.75">
      <c r="A33" s="353" t="str">
        <f>CONCATENATE("Additionally, do your ",inputPrYr!D9-2," receipts contain a reimbursement")</f>
        <v>Additionally, do your 2011 receipts contain a reimbursement</v>
      </c>
    </row>
    <row r="34" ht="15.75">
      <c r="A34" s="353" t="s">
        <v>22</v>
      </c>
    </row>
    <row r="35" ht="15.75">
      <c r="A35" s="353" t="s">
        <v>23</v>
      </c>
    </row>
    <row r="36" ht="15.75">
      <c r="A36" s="353"/>
    </row>
    <row r="37" ht="15.75">
      <c r="A37" s="353" t="s">
        <v>24</v>
      </c>
    </row>
    <row r="38" ht="15.75">
      <c r="A38" s="353" t="s">
        <v>25</v>
      </c>
    </row>
    <row r="39" ht="15.75">
      <c r="A39" s="353" t="s">
        <v>26</v>
      </c>
    </row>
    <row r="40" ht="15.75">
      <c r="A40" s="353" t="s">
        <v>27</v>
      </c>
    </row>
    <row r="41" ht="15.75">
      <c r="A41" s="353" t="s">
        <v>28</v>
      </c>
    </row>
    <row r="42" ht="15.75">
      <c r="A42" s="353" t="s">
        <v>29</v>
      </c>
    </row>
    <row r="43" ht="15.75">
      <c r="A43" s="353" t="s">
        <v>30</v>
      </c>
    </row>
    <row r="44" ht="15.75">
      <c r="A44" s="353" t="s">
        <v>31</v>
      </c>
    </row>
    <row r="45" ht="15.75">
      <c r="A45" s="353"/>
    </row>
    <row r="46" ht="15.75">
      <c r="A46" s="353" t="s">
        <v>32</v>
      </c>
    </row>
    <row r="47" ht="15.75">
      <c r="A47" s="353" t="s">
        <v>33</v>
      </c>
    </row>
    <row r="48" ht="15.75">
      <c r="A48" s="353" t="s">
        <v>34</v>
      </c>
    </row>
    <row r="49" ht="15.75">
      <c r="A49" s="353"/>
    </row>
    <row r="50" ht="15.75">
      <c r="A50" s="353" t="s">
        <v>35</v>
      </c>
    </row>
    <row r="51" ht="15.75">
      <c r="A51" s="353" t="s">
        <v>36</v>
      </c>
    </row>
    <row r="52" ht="15.75">
      <c r="A52" s="353" t="s">
        <v>37</v>
      </c>
    </row>
    <row r="53" ht="15.75">
      <c r="A53" s="353"/>
    </row>
    <row r="54" ht="15.75">
      <c r="A54" s="354" t="s">
        <v>38</v>
      </c>
    </row>
    <row r="55" ht="15.75">
      <c r="A55" s="353"/>
    </row>
    <row r="56" ht="15.75">
      <c r="A56" s="353" t="s">
        <v>39</v>
      </c>
    </row>
    <row r="57" ht="15.75">
      <c r="A57" s="353" t="s">
        <v>40</v>
      </c>
    </row>
    <row r="58" ht="15.75">
      <c r="A58" s="353" t="s">
        <v>41</v>
      </c>
    </row>
    <row r="59" ht="15.75">
      <c r="A59" s="353" t="s">
        <v>42</v>
      </c>
    </row>
    <row r="60" ht="15.75">
      <c r="A60" s="353" t="s">
        <v>43</v>
      </c>
    </row>
    <row r="61" ht="15.75">
      <c r="A61" s="353" t="s">
        <v>44</v>
      </c>
    </row>
    <row r="62" ht="15.75">
      <c r="A62" s="353" t="s">
        <v>45</v>
      </c>
    </row>
    <row r="63" ht="15.75">
      <c r="A63" s="353" t="s">
        <v>46</v>
      </c>
    </row>
    <row r="64" ht="15.75">
      <c r="A64" s="353" t="s">
        <v>47</v>
      </c>
    </row>
    <row r="65" ht="15.75">
      <c r="A65" s="353" t="s">
        <v>48</v>
      </c>
    </row>
    <row r="66" ht="15.75">
      <c r="A66" s="353" t="s">
        <v>49</v>
      </c>
    </row>
    <row r="67" ht="15.75">
      <c r="A67" s="353" t="s">
        <v>50</v>
      </c>
    </row>
    <row r="68" ht="15.75">
      <c r="A68" s="353" t="s">
        <v>51</v>
      </c>
    </row>
    <row r="69" ht="15.75">
      <c r="A69" s="353"/>
    </row>
    <row r="70" ht="15.75">
      <c r="A70" s="353" t="s">
        <v>52</v>
      </c>
    </row>
    <row r="71" ht="15.75">
      <c r="A71" s="353" t="s">
        <v>53</v>
      </c>
    </row>
    <row r="72" ht="15.75">
      <c r="A72" s="353" t="s">
        <v>54</v>
      </c>
    </row>
    <row r="73" ht="15.75">
      <c r="A73" s="353"/>
    </row>
    <row r="74" ht="15.75">
      <c r="A74" s="354" t="str">
        <f>CONCATENATE("What if the ",inputPrYr!D9-2," financial records have been closed?")</f>
        <v>What if the 2011 financial records have been closed?</v>
      </c>
    </row>
    <row r="76" ht="15.75">
      <c r="A76" s="353" t="s">
        <v>55</v>
      </c>
    </row>
    <row r="77" ht="15.75">
      <c r="A77" s="353" t="str">
        <f>CONCATENATE("(i.e. an audit for ",inputPrYr!D9-2," has been completed, or the ",inputPrYr!D9)</f>
        <v>(i.e. an audit for 2011 has been completed, or the 2013</v>
      </c>
    </row>
    <row r="78" ht="15.75">
      <c r="A78" s="353" t="s">
        <v>56</v>
      </c>
    </row>
    <row r="79" ht="15.75">
      <c r="A79" s="353" t="s">
        <v>57</v>
      </c>
    </row>
    <row r="80" ht="15.75">
      <c r="A80" s="353"/>
    </row>
    <row r="81" ht="15.75">
      <c r="A81" s="353" t="s">
        <v>58</v>
      </c>
    </row>
    <row r="82" ht="15.75">
      <c r="A82" s="353" t="s">
        <v>59</v>
      </c>
    </row>
    <row r="83" ht="15.75">
      <c r="A83" s="353" t="s">
        <v>60</v>
      </c>
    </row>
    <row r="84" ht="15.75">
      <c r="A84" s="353"/>
    </row>
    <row r="85" ht="15.75">
      <c r="A85" s="353" t="s">
        <v>61</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52" t="s">
        <v>62</v>
      </c>
      <c r="B3" s="352"/>
      <c r="C3" s="352"/>
      <c r="D3" s="352"/>
      <c r="E3" s="352"/>
      <c r="F3" s="352"/>
      <c r="G3" s="352"/>
      <c r="H3" s="355"/>
      <c r="I3" s="355"/>
      <c r="J3" s="355"/>
    </row>
    <row r="5" ht="15.75">
      <c r="A5" s="353" t="s">
        <v>63</v>
      </c>
    </row>
    <row r="6" ht="15.75">
      <c r="A6" t="str">
        <f>CONCATENATE(inputPrYr!D9-2," expenditures show that you finished the year with a ")</f>
        <v>2011 expenditures show that you finished the year with a </v>
      </c>
    </row>
    <row r="7" ht="15.75">
      <c r="A7" t="s">
        <v>64</v>
      </c>
    </row>
    <row r="9" ht="15.75">
      <c r="A9" t="s">
        <v>65</v>
      </c>
    </row>
    <row r="10" ht="15.75">
      <c r="A10" t="s">
        <v>66</v>
      </c>
    </row>
    <row r="11" ht="15.75">
      <c r="A11" t="s">
        <v>67</v>
      </c>
    </row>
    <row r="13" ht="15.75">
      <c r="A13" s="354" t="s">
        <v>68</v>
      </c>
    </row>
    <row r="14" ht="15.75">
      <c r="A14" s="354"/>
    </row>
    <row r="15" ht="15.75">
      <c r="A15" s="353" t="s">
        <v>69</v>
      </c>
    </row>
    <row r="16" ht="15.75">
      <c r="A16" s="353" t="s">
        <v>70</v>
      </c>
    </row>
    <row r="17" ht="15.75">
      <c r="A17" s="353" t="s">
        <v>71</v>
      </c>
    </row>
    <row r="18" ht="15.75">
      <c r="A18" s="353"/>
    </row>
    <row r="19" ht="15.75">
      <c r="A19" s="354" t="s">
        <v>72</v>
      </c>
    </row>
    <row r="20" ht="15.75">
      <c r="A20" s="354"/>
    </row>
    <row r="21" ht="15.75">
      <c r="A21" s="353" t="s">
        <v>73</v>
      </c>
    </row>
    <row r="22" ht="15.75">
      <c r="A22" s="353" t="s">
        <v>74</v>
      </c>
    </row>
    <row r="23" ht="15.75">
      <c r="A23" s="353" t="s">
        <v>75</v>
      </c>
    </row>
    <row r="24" ht="15.75">
      <c r="A24" s="353"/>
    </row>
    <row r="25" ht="15.75">
      <c r="A25" s="354" t="s">
        <v>76</v>
      </c>
    </row>
    <row r="26" ht="15.75">
      <c r="A26" s="354"/>
    </row>
    <row r="27" ht="15.75">
      <c r="A27" s="353" t="s">
        <v>77</v>
      </c>
    </row>
    <row r="28" ht="15.75">
      <c r="A28" s="353" t="s">
        <v>78</v>
      </c>
    </row>
    <row r="29" ht="15.75">
      <c r="A29" s="353" t="s">
        <v>79</v>
      </c>
    </row>
    <row r="30" ht="15.75">
      <c r="A30" s="353"/>
    </row>
    <row r="31" ht="15.75">
      <c r="A31" s="354" t="s">
        <v>80</v>
      </c>
    </row>
    <row r="32" ht="15.75">
      <c r="A32" s="354"/>
    </row>
    <row r="33" spans="1:8" ht="15.75">
      <c r="A33" s="353" t="str">
        <f>CONCATENATE("If your financial records for ",inputPrYr!D9-2," are not closed")</f>
        <v>If your financial records for 2011 are not closed</v>
      </c>
      <c r="B33" s="353"/>
      <c r="C33" s="353"/>
      <c r="D33" s="353"/>
      <c r="E33" s="353"/>
      <c r="F33" s="353"/>
      <c r="G33" s="353"/>
      <c r="H33" s="353"/>
    </row>
    <row r="34" spans="1:8" ht="15.75">
      <c r="A34" s="353" t="str">
        <f>CONCATENATE("(i.e. an audit has not been completed, or the ",inputPrYr!D9," adopted ")</f>
        <v>(i.e. an audit has not been completed, or the 2013 adopted </v>
      </c>
      <c r="B34" s="353"/>
      <c r="C34" s="353"/>
      <c r="D34" s="353"/>
      <c r="E34" s="353"/>
      <c r="F34" s="353"/>
      <c r="G34" s="353"/>
      <c r="H34" s="353"/>
    </row>
    <row r="35" spans="1:8" ht="15.75">
      <c r="A35" s="353" t="s">
        <v>81</v>
      </c>
      <c r="B35" s="353"/>
      <c r="C35" s="353"/>
      <c r="D35" s="353"/>
      <c r="E35" s="353"/>
      <c r="F35" s="353"/>
      <c r="G35" s="353"/>
      <c r="H35" s="353"/>
    </row>
    <row r="36" spans="1:8" ht="15.75">
      <c r="A36" s="353" t="s">
        <v>82</v>
      </c>
      <c r="B36" s="353"/>
      <c r="C36" s="353"/>
      <c r="D36" s="353"/>
      <c r="E36" s="353"/>
      <c r="F36" s="353"/>
      <c r="G36" s="353"/>
      <c r="H36" s="353"/>
    </row>
    <row r="37" spans="1:8" ht="15.75">
      <c r="A37" s="353" t="s">
        <v>83</v>
      </c>
      <c r="B37" s="353"/>
      <c r="C37" s="353"/>
      <c r="D37" s="353"/>
      <c r="E37" s="353"/>
      <c r="F37" s="353"/>
      <c r="G37" s="353"/>
      <c r="H37" s="353"/>
    </row>
    <row r="38" spans="1:8" ht="15.75">
      <c r="A38" s="353" t="s">
        <v>84</v>
      </c>
      <c r="B38" s="353"/>
      <c r="C38" s="353"/>
      <c r="D38" s="353"/>
      <c r="E38" s="353"/>
      <c r="F38" s="353"/>
      <c r="G38" s="353"/>
      <c r="H38" s="353"/>
    </row>
    <row r="39" spans="1:8" ht="15.75">
      <c r="A39" s="353" t="s">
        <v>85</v>
      </c>
      <c r="B39" s="353"/>
      <c r="C39" s="353"/>
      <c r="D39" s="353"/>
      <c r="E39" s="353"/>
      <c r="F39" s="353"/>
      <c r="G39" s="353"/>
      <c r="H39" s="353"/>
    </row>
    <row r="40" spans="1:8" ht="15.75">
      <c r="A40" s="353"/>
      <c r="B40" s="353"/>
      <c r="C40" s="353"/>
      <c r="D40" s="353"/>
      <c r="E40" s="353"/>
      <c r="F40" s="353"/>
      <c r="G40" s="353"/>
      <c r="H40" s="353"/>
    </row>
    <row r="41" spans="1:8" ht="15.75">
      <c r="A41" s="353" t="s">
        <v>86</v>
      </c>
      <c r="B41" s="353"/>
      <c r="C41" s="353"/>
      <c r="D41" s="353"/>
      <c r="E41" s="353"/>
      <c r="F41" s="353"/>
      <c r="G41" s="353"/>
      <c r="H41" s="353"/>
    </row>
    <row r="42" spans="1:8" ht="15.75">
      <c r="A42" s="353" t="s">
        <v>87</v>
      </c>
      <c r="B42" s="353"/>
      <c r="C42" s="353"/>
      <c r="D42" s="353"/>
      <c r="E42" s="353"/>
      <c r="F42" s="353"/>
      <c r="G42" s="353"/>
      <c r="H42" s="353"/>
    </row>
    <row r="43" spans="1:8" ht="15.75">
      <c r="A43" s="353" t="s">
        <v>88</v>
      </c>
      <c r="B43" s="353"/>
      <c r="C43" s="353"/>
      <c r="D43" s="353"/>
      <c r="E43" s="353"/>
      <c r="F43" s="353"/>
      <c r="G43" s="353"/>
      <c r="H43" s="353"/>
    </row>
    <row r="44" spans="1:8" ht="15.75">
      <c r="A44" s="353" t="s">
        <v>89</v>
      </c>
      <c r="B44" s="353"/>
      <c r="C44" s="353"/>
      <c r="D44" s="353"/>
      <c r="E44" s="353"/>
      <c r="F44" s="353"/>
      <c r="G44" s="353"/>
      <c r="H44" s="353"/>
    </row>
    <row r="45" spans="1:8" ht="15.75">
      <c r="A45" s="353"/>
      <c r="B45" s="353"/>
      <c r="C45" s="353"/>
      <c r="D45" s="353"/>
      <c r="E45" s="353"/>
      <c r="F45" s="353"/>
      <c r="G45" s="353"/>
      <c r="H45" s="353"/>
    </row>
    <row r="46" spans="1:8" ht="15.75">
      <c r="A46" s="353" t="s">
        <v>90</v>
      </c>
      <c r="B46" s="353"/>
      <c r="C46" s="353"/>
      <c r="D46" s="353"/>
      <c r="E46" s="353"/>
      <c r="F46" s="353"/>
      <c r="G46" s="353"/>
      <c r="H46" s="353"/>
    </row>
    <row r="47" spans="1:8" ht="15.75">
      <c r="A47" s="353" t="s">
        <v>91</v>
      </c>
      <c r="B47" s="353"/>
      <c r="C47" s="353"/>
      <c r="D47" s="353"/>
      <c r="E47" s="353"/>
      <c r="F47" s="353"/>
      <c r="G47" s="353"/>
      <c r="H47" s="353"/>
    </row>
    <row r="48" spans="1:8" ht="15.75">
      <c r="A48" s="353" t="s">
        <v>92</v>
      </c>
      <c r="B48" s="353"/>
      <c r="C48" s="353"/>
      <c r="D48" s="353"/>
      <c r="E48" s="353"/>
      <c r="F48" s="353"/>
      <c r="G48" s="353"/>
      <c r="H48" s="353"/>
    </row>
    <row r="49" spans="1:8" ht="15.75">
      <c r="A49" s="353" t="s">
        <v>93</v>
      </c>
      <c r="B49" s="353"/>
      <c r="C49" s="353"/>
      <c r="D49" s="353"/>
      <c r="E49" s="353"/>
      <c r="F49" s="353"/>
      <c r="G49" s="353"/>
      <c r="H49" s="353"/>
    </row>
    <row r="50" spans="1:8" ht="15.75">
      <c r="A50" s="353" t="s">
        <v>94</v>
      </c>
      <c r="B50" s="353"/>
      <c r="C50" s="353"/>
      <c r="D50" s="353"/>
      <c r="E50" s="353"/>
      <c r="F50" s="353"/>
      <c r="G50" s="353"/>
      <c r="H50" s="353"/>
    </row>
    <row r="51" spans="1:8" ht="15.75">
      <c r="A51" s="353"/>
      <c r="B51" s="353"/>
      <c r="C51" s="353"/>
      <c r="D51" s="353"/>
      <c r="E51" s="353"/>
      <c r="F51" s="353"/>
      <c r="G51" s="353"/>
      <c r="H51" s="353"/>
    </row>
    <row r="52" spans="1:8" ht="15.75">
      <c r="A52" s="354" t="s">
        <v>95</v>
      </c>
      <c r="B52" s="354"/>
      <c r="C52" s="354"/>
      <c r="D52" s="354"/>
      <c r="E52" s="354"/>
      <c r="F52" s="354"/>
      <c r="G52" s="354"/>
      <c r="H52" s="353"/>
    </row>
    <row r="53" spans="1:8" ht="15.75">
      <c r="A53" s="354" t="s">
        <v>96</v>
      </c>
      <c r="B53" s="354"/>
      <c r="C53" s="354"/>
      <c r="D53" s="354"/>
      <c r="E53" s="354"/>
      <c r="F53" s="354"/>
      <c r="G53" s="354"/>
      <c r="H53" s="353"/>
    </row>
    <row r="54" spans="1:8" ht="15.75">
      <c r="A54" s="353"/>
      <c r="B54" s="353"/>
      <c r="C54" s="353"/>
      <c r="D54" s="353"/>
      <c r="E54" s="353"/>
      <c r="F54" s="353"/>
      <c r="G54" s="353"/>
      <c r="H54" s="353"/>
    </row>
    <row r="55" spans="1:8" ht="15.75">
      <c r="A55" s="353" t="s">
        <v>97</v>
      </c>
      <c r="B55" s="353"/>
      <c r="C55" s="353"/>
      <c r="D55" s="353"/>
      <c r="E55" s="353"/>
      <c r="F55" s="353"/>
      <c r="G55" s="353"/>
      <c r="H55" s="353"/>
    </row>
    <row r="56" spans="1:8" ht="15.75">
      <c r="A56" s="353" t="s">
        <v>98</v>
      </c>
      <c r="B56" s="353"/>
      <c r="C56" s="353"/>
      <c r="D56" s="353"/>
      <c r="E56" s="353"/>
      <c r="F56" s="353"/>
      <c r="G56" s="353"/>
      <c r="H56" s="353"/>
    </row>
    <row r="57" spans="1:8" ht="15.75">
      <c r="A57" s="353" t="s">
        <v>99</v>
      </c>
      <c r="B57" s="353"/>
      <c r="C57" s="353"/>
      <c r="D57" s="353"/>
      <c r="E57" s="353"/>
      <c r="F57" s="353"/>
      <c r="G57" s="353"/>
      <c r="H57" s="353"/>
    </row>
    <row r="58" spans="1:8" ht="15.75">
      <c r="A58" s="353" t="s">
        <v>100</v>
      </c>
      <c r="B58" s="353"/>
      <c r="C58" s="353"/>
      <c r="D58" s="353"/>
      <c r="E58" s="353"/>
      <c r="F58" s="353"/>
      <c r="G58" s="353"/>
      <c r="H58" s="353"/>
    </row>
    <row r="59" spans="1:8" ht="15.75">
      <c r="A59" s="353"/>
      <c r="B59" s="353"/>
      <c r="C59" s="353"/>
      <c r="D59" s="353"/>
      <c r="E59" s="353"/>
      <c r="F59" s="353"/>
      <c r="G59" s="353"/>
      <c r="H59" s="353"/>
    </row>
    <row r="60" spans="1:8" ht="15.75">
      <c r="A60" s="353" t="s">
        <v>101</v>
      </c>
      <c r="B60" s="353"/>
      <c r="C60" s="353"/>
      <c r="D60" s="353"/>
      <c r="E60" s="353"/>
      <c r="F60" s="353"/>
      <c r="G60" s="353"/>
      <c r="H60" s="353"/>
    </row>
    <row r="61" spans="1:8" ht="15.75">
      <c r="A61" s="353" t="s">
        <v>102</v>
      </c>
      <c r="B61" s="353"/>
      <c r="C61" s="353"/>
      <c r="D61" s="353"/>
      <c r="E61" s="353"/>
      <c r="F61" s="353"/>
      <c r="G61" s="353"/>
      <c r="H61" s="353"/>
    </row>
    <row r="62" spans="1:8" ht="15.75">
      <c r="A62" s="353" t="s">
        <v>103</v>
      </c>
      <c r="B62" s="353"/>
      <c r="C62" s="353"/>
      <c r="D62" s="353"/>
      <c r="E62" s="353"/>
      <c r="F62" s="353"/>
      <c r="G62" s="353"/>
      <c r="H62" s="353"/>
    </row>
    <row r="63" spans="1:8" ht="15.75">
      <c r="A63" s="353" t="s">
        <v>104</v>
      </c>
      <c r="B63" s="353"/>
      <c r="C63" s="353"/>
      <c r="D63" s="353"/>
      <c r="E63" s="353"/>
      <c r="F63" s="353"/>
      <c r="G63" s="353"/>
      <c r="H63" s="353"/>
    </row>
    <row r="64" spans="1:8" ht="15.75">
      <c r="A64" s="353" t="s">
        <v>105</v>
      </c>
      <c r="B64" s="353"/>
      <c r="C64" s="353"/>
      <c r="D64" s="353"/>
      <c r="E64" s="353"/>
      <c r="F64" s="353"/>
      <c r="G64" s="353"/>
      <c r="H64" s="353"/>
    </row>
    <row r="65" spans="1:8" ht="15.75">
      <c r="A65" s="353" t="s">
        <v>106</v>
      </c>
      <c r="B65" s="353"/>
      <c r="C65" s="353"/>
      <c r="D65" s="353"/>
      <c r="E65" s="353"/>
      <c r="F65" s="353"/>
      <c r="G65" s="353"/>
      <c r="H65" s="353"/>
    </row>
    <row r="66" spans="1:8" ht="15.75">
      <c r="A66" s="353"/>
      <c r="B66" s="353"/>
      <c r="C66" s="353"/>
      <c r="D66" s="353"/>
      <c r="E66" s="353"/>
      <c r="F66" s="353"/>
      <c r="G66" s="353"/>
      <c r="H66" s="353"/>
    </row>
    <row r="67" spans="1:8" ht="15.75">
      <c r="A67" s="353" t="s">
        <v>107</v>
      </c>
      <c r="B67" s="353"/>
      <c r="C67" s="353"/>
      <c r="D67" s="353"/>
      <c r="E67" s="353"/>
      <c r="F67" s="353"/>
      <c r="G67" s="353"/>
      <c r="H67" s="353"/>
    </row>
    <row r="68" spans="1:8" ht="15.75">
      <c r="A68" s="353" t="s">
        <v>108</v>
      </c>
      <c r="B68" s="353"/>
      <c r="C68" s="353"/>
      <c r="D68" s="353"/>
      <c r="E68" s="353"/>
      <c r="F68" s="353"/>
      <c r="G68" s="353"/>
      <c r="H68" s="353"/>
    </row>
    <row r="69" spans="1:8" ht="15.75">
      <c r="A69" s="353" t="s">
        <v>109</v>
      </c>
      <c r="B69" s="353"/>
      <c r="C69" s="353"/>
      <c r="D69" s="353"/>
      <c r="E69" s="353"/>
      <c r="F69" s="353"/>
      <c r="G69" s="353"/>
      <c r="H69" s="353"/>
    </row>
    <row r="70" spans="1:8" ht="15.75">
      <c r="A70" s="353" t="s">
        <v>110</v>
      </c>
      <c r="B70" s="353"/>
      <c r="C70" s="353"/>
      <c r="D70" s="353"/>
      <c r="E70" s="353"/>
      <c r="F70" s="353"/>
      <c r="G70" s="353"/>
      <c r="H70" s="353"/>
    </row>
    <row r="71" spans="1:8" ht="15.75">
      <c r="A71" s="353" t="s">
        <v>111</v>
      </c>
      <c r="B71" s="353"/>
      <c r="C71" s="353"/>
      <c r="D71" s="353"/>
      <c r="E71" s="353"/>
      <c r="F71" s="353"/>
      <c r="G71" s="353"/>
      <c r="H71" s="353"/>
    </row>
    <row r="72" spans="1:8" ht="15.75">
      <c r="A72" s="353" t="s">
        <v>112</v>
      </c>
      <c r="B72" s="353"/>
      <c r="C72" s="353"/>
      <c r="D72" s="353"/>
      <c r="E72" s="353"/>
      <c r="F72" s="353"/>
      <c r="G72" s="353"/>
      <c r="H72" s="353"/>
    </row>
    <row r="73" spans="1:8" ht="15.75">
      <c r="A73" s="353" t="s">
        <v>113</v>
      </c>
      <c r="B73" s="353"/>
      <c r="C73" s="353"/>
      <c r="D73" s="353"/>
      <c r="E73" s="353"/>
      <c r="F73" s="353"/>
      <c r="G73" s="353"/>
      <c r="H73" s="353"/>
    </row>
    <row r="74" spans="1:8" ht="15.75">
      <c r="A74" s="353"/>
      <c r="B74" s="353"/>
      <c r="C74" s="353"/>
      <c r="D74" s="353"/>
      <c r="E74" s="353"/>
      <c r="F74" s="353"/>
      <c r="G74" s="353"/>
      <c r="H74" s="353"/>
    </row>
    <row r="75" spans="1:8" ht="15.75">
      <c r="A75" s="353" t="s">
        <v>114</v>
      </c>
      <c r="B75" s="353"/>
      <c r="C75" s="353"/>
      <c r="D75" s="353"/>
      <c r="E75" s="353"/>
      <c r="F75" s="353"/>
      <c r="G75" s="353"/>
      <c r="H75" s="353"/>
    </row>
    <row r="76" spans="1:8" ht="15.75">
      <c r="A76" s="353" t="s">
        <v>115</v>
      </c>
      <c r="B76" s="353"/>
      <c r="C76" s="353"/>
      <c r="D76" s="353"/>
      <c r="E76" s="353"/>
      <c r="F76" s="353"/>
      <c r="G76" s="353"/>
      <c r="H76" s="353"/>
    </row>
    <row r="77" spans="1:8" ht="15.75">
      <c r="A77" s="353" t="s">
        <v>116</v>
      </c>
      <c r="B77" s="353"/>
      <c r="C77" s="353"/>
      <c r="D77" s="353"/>
      <c r="E77" s="353"/>
      <c r="F77" s="353"/>
      <c r="G77" s="353"/>
      <c r="H77" s="353"/>
    </row>
    <row r="78" spans="1:8" ht="15.75">
      <c r="A78" s="353"/>
      <c r="B78" s="353"/>
      <c r="C78" s="353"/>
      <c r="D78" s="353"/>
      <c r="E78" s="353"/>
      <c r="F78" s="353"/>
      <c r="G78" s="353"/>
      <c r="H78" s="353"/>
    </row>
    <row r="79" ht="15.75">
      <c r="A79" s="353" t="s">
        <v>61</v>
      </c>
    </row>
    <row r="80" ht="15.75">
      <c r="A80" s="354"/>
    </row>
    <row r="81" ht="15.75">
      <c r="A81" s="353"/>
    </row>
    <row r="82" ht="15.75">
      <c r="A82" s="353"/>
    </row>
    <row r="83" ht="15.75">
      <c r="A83" s="353"/>
    </row>
    <row r="84" ht="15.75">
      <c r="A84" s="353"/>
    </row>
    <row r="85" ht="15.75">
      <c r="A85" s="353"/>
    </row>
    <row r="86" ht="15.75">
      <c r="A86" s="353"/>
    </row>
    <row r="87" ht="15.75">
      <c r="A87" s="353"/>
    </row>
    <row r="88" ht="15.75">
      <c r="A88" s="353"/>
    </row>
    <row r="89" ht="15.75">
      <c r="A89" s="353"/>
    </row>
    <row r="90" ht="15.75">
      <c r="A90" s="353"/>
    </row>
    <row r="91" ht="15.75">
      <c r="A91" s="353"/>
    </row>
    <row r="92" ht="15.75">
      <c r="A92" s="353"/>
    </row>
    <row r="93" ht="15.75">
      <c r="A93" s="353"/>
    </row>
    <row r="94" ht="15.75">
      <c r="A94" s="353"/>
    </row>
    <row r="95" ht="15.75">
      <c r="A95" s="353"/>
    </row>
    <row r="96" ht="15.75">
      <c r="A96" s="353"/>
    </row>
    <row r="97" ht="15.75">
      <c r="A97" s="353"/>
    </row>
    <row r="98" ht="15.75">
      <c r="A98" s="353"/>
    </row>
    <row r="99" ht="15.75">
      <c r="A99" s="353"/>
    </row>
    <row r="100" ht="15.75">
      <c r="A100" s="353"/>
    </row>
    <row r="101" ht="15.75">
      <c r="A101" s="353"/>
    </row>
    <row r="103" ht="15.75">
      <c r="A103" s="353"/>
    </row>
    <row r="104" ht="15.75">
      <c r="A104" s="353"/>
    </row>
    <row r="105" ht="15.75">
      <c r="A105" s="353"/>
    </row>
    <row r="107" ht="15.75">
      <c r="A107" s="354"/>
    </row>
    <row r="108" ht="15.75">
      <c r="A108" s="354"/>
    </row>
    <row r="109" ht="15.75">
      <c r="A109" s="354"/>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16">
      <selection activeCell="D55" sqref="D55"/>
    </sheetView>
  </sheetViews>
  <sheetFormatPr defaultColWidth="8.796875" defaultRowHeight="15.75"/>
  <cols>
    <col min="1" max="1" width="10.69921875" style="128" customWidth="1"/>
    <col min="2" max="2" width="20.69921875" style="128" customWidth="1"/>
    <col min="3" max="3" width="11.69921875" style="128" customWidth="1"/>
    <col min="4" max="4" width="15" style="128" customWidth="1"/>
    <col min="5" max="5" width="14.09765625" style="128" customWidth="1"/>
    <col min="6" max="6" width="2.69921875" style="128" customWidth="1"/>
    <col min="7" max="16384" width="8.796875" style="128" customWidth="1"/>
  </cols>
  <sheetData>
    <row r="1" spans="1:5" ht="15.75">
      <c r="A1" s="127" t="s">
        <v>401</v>
      </c>
      <c r="B1" s="66"/>
      <c r="C1" s="66"/>
      <c r="D1" s="66"/>
      <c r="E1" s="66"/>
    </row>
    <row r="2" spans="1:5" ht="15.75">
      <c r="A2" s="129" t="s">
        <v>441</v>
      </c>
      <c r="B2" s="66"/>
      <c r="C2" s="66"/>
      <c r="D2" s="66"/>
      <c r="E2" s="66"/>
    </row>
    <row r="3" spans="1:5" ht="15.75">
      <c r="A3" s="129" t="s">
        <v>439</v>
      </c>
      <c r="B3" s="66"/>
      <c r="C3" s="66"/>
      <c r="D3" s="122" t="s">
        <v>587</v>
      </c>
      <c r="E3" s="73"/>
    </row>
    <row r="4" spans="1:5" ht="15.75">
      <c r="A4" s="129" t="s">
        <v>440</v>
      </c>
      <c r="B4" s="66"/>
      <c r="C4" s="66"/>
      <c r="D4" s="130" t="s">
        <v>585</v>
      </c>
      <c r="E4" s="73"/>
    </row>
    <row r="5" spans="1:5" ht="15.75">
      <c r="A5" s="66"/>
      <c r="B5" s="66"/>
      <c r="C5" s="66"/>
      <c r="D5" s="66"/>
      <c r="E5" s="66"/>
    </row>
    <row r="6" spans="1:5" ht="15.75">
      <c r="A6" s="131" t="s">
        <v>402</v>
      </c>
      <c r="B6" s="66"/>
      <c r="C6" s="66"/>
      <c r="D6" s="114" t="s">
        <v>588</v>
      </c>
      <c r="E6" s="66"/>
    </row>
    <row r="7" spans="1:5" ht="15.75">
      <c r="A7" s="131" t="s">
        <v>403</v>
      </c>
      <c r="B7" s="66"/>
      <c r="C7" s="66"/>
      <c r="D7" s="115"/>
      <c r="E7" s="66"/>
    </row>
    <row r="8" spans="1:5" ht="15.75">
      <c r="A8" s="66"/>
      <c r="B8" s="66"/>
      <c r="C8" s="66"/>
      <c r="D8" s="66"/>
      <c r="E8" s="66"/>
    </row>
    <row r="9" spans="1:5" ht="15.75">
      <c r="A9" s="131" t="s">
        <v>359</v>
      </c>
      <c r="B9" s="66"/>
      <c r="C9" s="66"/>
      <c r="D9" s="132">
        <v>2013</v>
      </c>
      <c r="E9" s="66"/>
    </row>
    <row r="10" spans="1:5" ht="15.75">
      <c r="A10" s="66"/>
      <c r="B10" s="66"/>
      <c r="C10" s="66"/>
      <c r="D10" s="66"/>
      <c r="E10" s="66"/>
    </row>
    <row r="11" spans="1:5" ht="15.75">
      <c r="A11" s="133" t="s">
        <v>361</v>
      </c>
      <c r="B11" s="134"/>
      <c r="C11" s="134"/>
      <c r="D11" s="134"/>
      <c r="E11" s="134"/>
    </row>
    <row r="12" spans="1:5" ht="15.75">
      <c r="A12" s="133" t="s">
        <v>416</v>
      </c>
      <c r="B12" s="134"/>
      <c r="C12" s="134"/>
      <c r="D12" s="134"/>
      <c r="E12" s="134"/>
    </row>
    <row r="13" spans="1:5" ht="15.75">
      <c r="A13" s="66"/>
      <c r="B13" s="66"/>
      <c r="C13" s="66"/>
      <c r="D13" s="66"/>
      <c r="E13" s="66"/>
    </row>
    <row r="14" spans="1:5" ht="15.75">
      <c r="A14" s="469" t="s">
        <v>372</v>
      </c>
      <c r="B14" s="470"/>
      <c r="C14" s="470"/>
      <c r="D14" s="470"/>
      <c r="E14" s="470"/>
    </row>
    <row r="15" spans="1:5" ht="15.75">
      <c r="A15" s="129"/>
      <c r="B15" s="66"/>
      <c r="C15" s="66"/>
      <c r="D15" s="66"/>
      <c r="E15" s="66"/>
    </row>
    <row r="16" spans="1:5" ht="15.75">
      <c r="A16" s="135" t="s">
        <v>360</v>
      </c>
      <c r="B16" s="136"/>
      <c r="C16" s="66"/>
      <c r="D16" s="69"/>
      <c r="E16" s="137"/>
    </row>
    <row r="17" spans="1:5" ht="15.75">
      <c r="A17" s="138" t="str">
        <f>CONCATENATE("the ",D9-1," Budget, Certificate Page:")</f>
        <v>the 2012 Budget, Certificate Page:</v>
      </c>
      <c r="B17" s="139"/>
      <c r="C17" s="69"/>
      <c r="D17" s="66"/>
      <c r="E17" s="66"/>
    </row>
    <row r="18" spans="1:5" ht="15.75">
      <c r="A18" s="138" t="s">
        <v>516</v>
      </c>
      <c r="B18" s="139"/>
      <c r="C18" s="69"/>
      <c r="D18" s="140">
        <f>D9-1</f>
        <v>2012</v>
      </c>
      <c r="E18" s="140">
        <f>D9-2</f>
        <v>2011</v>
      </c>
    </row>
    <row r="19" spans="1:5" ht="15.75">
      <c r="A19" s="74" t="s">
        <v>450</v>
      </c>
      <c r="B19" s="66"/>
      <c r="C19" s="141" t="s">
        <v>449</v>
      </c>
      <c r="D19" s="142" t="s">
        <v>521</v>
      </c>
      <c r="E19" s="142" t="s">
        <v>488</v>
      </c>
    </row>
    <row r="20" spans="1:5" ht="15.75">
      <c r="A20" s="66"/>
      <c r="B20" s="108" t="s">
        <v>451</v>
      </c>
      <c r="C20" s="85" t="s">
        <v>452</v>
      </c>
      <c r="D20" s="143">
        <v>5160</v>
      </c>
      <c r="E20" s="143">
        <v>2757</v>
      </c>
    </row>
    <row r="21" spans="1:5" ht="15.75">
      <c r="A21" s="66"/>
      <c r="B21" s="108" t="s">
        <v>513</v>
      </c>
      <c r="C21" s="85" t="s">
        <v>366</v>
      </c>
      <c r="D21" s="143"/>
      <c r="E21" s="143"/>
    </row>
    <row r="22" spans="1:5" ht="15.75">
      <c r="A22" s="66"/>
      <c r="B22" s="108" t="s">
        <v>453</v>
      </c>
      <c r="C22" s="144" t="s">
        <v>442</v>
      </c>
      <c r="D22" s="143"/>
      <c r="E22" s="143"/>
    </row>
    <row r="23" spans="1:5" ht="15.75">
      <c r="A23" s="66"/>
      <c r="B23" s="108" t="s">
        <v>514</v>
      </c>
      <c r="C23" s="90" t="s">
        <v>515</v>
      </c>
      <c r="D23" s="143"/>
      <c r="E23" s="143"/>
    </row>
    <row r="24" spans="1:5" ht="15.75">
      <c r="A24" s="66"/>
      <c r="B24" s="108" t="s">
        <v>426</v>
      </c>
      <c r="C24" s="90" t="s">
        <v>427</v>
      </c>
      <c r="D24" s="143"/>
      <c r="E24" s="143"/>
    </row>
    <row r="25" spans="1:5" ht="15.75">
      <c r="A25" s="66"/>
      <c r="B25" s="180" t="s">
        <v>546</v>
      </c>
      <c r="C25" s="90" t="s">
        <v>547</v>
      </c>
      <c r="D25" s="143"/>
      <c r="E25" s="143"/>
    </row>
    <row r="26" spans="1:5" ht="15.75">
      <c r="A26" s="66"/>
      <c r="B26" s="145" t="s">
        <v>589</v>
      </c>
      <c r="C26" s="383" t="s">
        <v>590</v>
      </c>
      <c r="D26" s="143">
        <v>19500</v>
      </c>
      <c r="E26" s="143">
        <v>0</v>
      </c>
    </row>
    <row r="27" spans="1:5" ht="15.75">
      <c r="A27" s="66"/>
      <c r="B27" s="145"/>
      <c r="C27" s="383"/>
      <c r="D27" s="143"/>
      <c r="E27" s="143"/>
    </row>
    <row r="28" spans="1:5" ht="15.75">
      <c r="A28" s="66"/>
      <c r="B28" s="145"/>
      <c r="C28" s="383"/>
      <c r="D28" s="143"/>
      <c r="E28" s="143"/>
    </row>
    <row r="29" spans="1:5" ht="15.75">
      <c r="A29" s="66"/>
      <c r="B29" s="145"/>
      <c r="C29" s="383"/>
      <c r="D29" s="143"/>
      <c r="E29" s="143"/>
    </row>
    <row r="30" spans="1:5" ht="15.75">
      <c r="A30" s="66"/>
      <c r="B30" s="145"/>
      <c r="C30" s="383"/>
      <c r="D30" s="143"/>
      <c r="E30" s="143"/>
    </row>
    <row r="31" spans="1:5" ht="15.75">
      <c r="A31" s="146" t="str">
        <f>CONCATENATE("Total Ad Valorem Tax for ",D9-1,"")</f>
        <v>Total Ad Valorem Tax for 2012</v>
      </c>
      <c r="B31" s="80"/>
      <c r="C31" s="147"/>
      <c r="D31" s="148"/>
      <c r="E31" s="149">
        <f>SUM(E20:E30)</f>
        <v>2757</v>
      </c>
    </row>
    <row r="32" spans="1:5" ht="15.75">
      <c r="A32" s="73"/>
      <c r="B32" s="73"/>
      <c r="C32" s="73"/>
      <c r="D32" s="150"/>
      <c r="E32" s="151"/>
    </row>
    <row r="33" spans="1:5" ht="15.75">
      <c r="A33" s="66" t="s">
        <v>356</v>
      </c>
      <c r="B33" s="66"/>
      <c r="C33" s="66"/>
      <c r="D33" s="66"/>
      <c r="E33" s="66"/>
    </row>
    <row r="34" spans="1:5" ht="15.75">
      <c r="A34" s="66"/>
      <c r="B34" s="152"/>
      <c r="C34" s="66"/>
      <c r="D34" s="153"/>
      <c r="E34" s="73"/>
    </row>
    <row r="35" spans="1:5" ht="15.75">
      <c r="A35" s="66"/>
      <c r="B35" s="152"/>
      <c r="C35" s="66"/>
      <c r="D35" s="153"/>
      <c r="E35" s="73"/>
    </row>
    <row r="36" spans="1:5" ht="15.75">
      <c r="A36" s="66"/>
      <c r="B36" s="152"/>
      <c r="C36" s="66"/>
      <c r="D36" s="153"/>
      <c r="E36" s="66"/>
    </row>
    <row r="37" spans="1:5" ht="15.75">
      <c r="A37" s="66"/>
      <c r="B37" s="152"/>
      <c r="C37" s="66"/>
      <c r="D37" s="153"/>
      <c r="E37" s="66"/>
    </row>
    <row r="38" spans="1:5" ht="15.75">
      <c r="A38" s="80" t="str">
        <f>CONCATENATE("Total Expenditures for ",D9-1,"")</f>
        <v>Total Expenditures for 2012</v>
      </c>
      <c r="B38" s="80"/>
      <c r="C38" s="80"/>
      <c r="D38" s="154">
        <f>SUM(D20:D30,D34:D37)</f>
        <v>24660</v>
      </c>
      <c r="E38" s="66"/>
    </row>
    <row r="39" spans="1:5" ht="15.75">
      <c r="A39" s="111" t="s">
        <v>520</v>
      </c>
      <c r="B39" s="73"/>
      <c r="C39" s="73"/>
      <c r="D39" s="66"/>
      <c r="E39" s="66"/>
    </row>
    <row r="40" spans="1:5" ht="15.75">
      <c r="A40" s="335">
        <v>1</v>
      </c>
      <c r="B40" s="152"/>
      <c r="C40" s="73"/>
      <c r="D40" s="66"/>
      <c r="E40" s="66"/>
    </row>
    <row r="41" spans="1:5" ht="15.75">
      <c r="A41" s="335">
        <v>2</v>
      </c>
      <c r="B41" s="152"/>
      <c r="C41" s="73"/>
      <c r="D41" s="66"/>
      <c r="E41" s="66"/>
    </row>
    <row r="42" spans="1:5" ht="15.75">
      <c r="A42" s="335">
        <v>3</v>
      </c>
      <c r="B42" s="152"/>
      <c r="C42" s="73"/>
      <c r="D42" s="66"/>
      <c r="E42" s="66"/>
    </row>
    <row r="43" spans="1:5" ht="15.75">
      <c r="A43" s="335">
        <v>4</v>
      </c>
      <c r="B43" s="152"/>
      <c r="C43" s="73"/>
      <c r="D43" s="66"/>
      <c r="E43" s="66"/>
    </row>
    <row r="44" spans="1:5" ht="15.75">
      <c r="A44" s="335">
        <v>5</v>
      </c>
      <c r="B44" s="152"/>
      <c r="C44" s="73"/>
      <c r="D44" s="66"/>
      <c r="E44" s="66"/>
    </row>
    <row r="45" spans="1:5" ht="15.75">
      <c r="A45" s="66"/>
      <c r="B45" s="66"/>
      <c r="C45" s="66"/>
      <c r="D45" s="66"/>
      <c r="E45" s="66"/>
    </row>
    <row r="46" spans="1:5" ht="15.75" customHeight="1">
      <c r="A46" s="135" t="s">
        <v>360</v>
      </c>
      <c r="B46" s="136"/>
      <c r="C46" s="66"/>
      <c r="D46" s="467" t="str">
        <f>CONCATENATE("",D9-3," Tax Rate         (",D9-2," Column)")</f>
        <v>2010 Tax Rate         (2011 Column)</v>
      </c>
      <c r="E46" s="66"/>
    </row>
    <row r="47" spans="1:5" ht="15.75">
      <c r="A47" s="138" t="str">
        <f>CONCATENATE("the ",D9-1," Budget, Budget Summary Page:")</f>
        <v>the 2012 Budget, Budget Summary Page:</v>
      </c>
      <c r="B47" s="155"/>
      <c r="C47" s="66"/>
      <c r="D47" s="468"/>
      <c r="E47" s="66"/>
    </row>
    <row r="48" spans="1:5" ht="15.75">
      <c r="A48" s="66"/>
      <c r="B48" s="92" t="str">
        <f aca="true" t="shared" si="0" ref="B48:B57">B20</f>
        <v>General</v>
      </c>
      <c r="C48" s="66"/>
      <c r="D48" s="156">
        <v>0.029</v>
      </c>
      <c r="E48" s="66"/>
    </row>
    <row r="49" spans="1:5" ht="15.75">
      <c r="A49" s="66"/>
      <c r="B49" s="92" t="str">
        <f t="shared" si="0"/>
        <v>Debt Service</v>
      </c>
      <c r="C49" s="66"/>
      <c r="D49" s="157"/>
      <c r="E49" s="66"/>
    </row>
    <row r="50" spans="1:5" ht="15.75">
      <c r="A50" s="66"/>
      <c r="B50" s="92" t="str">
        <f t="shared" si="0"/>
        <v>Road</v>
      </c>
      <c r="C50" s="66"/>
      <c r="D50" s="157"/>
      <c r="E50" s="66"/>
    </row>
    <row r="51" spans="1:5" ht="15.75">
      <c r="A51" s="66"/>
      <c r="B51" s="108" t="str">
        <f t="shared" si="0"/>
        <v>Special Road</v>
      </c>
      <c r="C51" s="66"/>
      <c r="D51" s="157"/>
      <c r="E51" s="66"/>
    </row>
    <row r="52" spans="1:5" ht="15.75">
      <c r="A52" s="66"/>
      <c r="B52" s="108" t="str">
        <f t="shared" si="0"/>
        <v>Noxious Weed</v>
      </c>
      <c r="C52" s="66"/>
      <c r="D52" s="157"/>
      <c r="E52" s="66"/>
    </row>
    <row r="53" spans="1:5" ht="15.75">
      <c r="A53" s="66"/>
      <c r="B53" s="108" t="str">
        <f t="shared" si="0"/>
        <v>Fire Protection</v>
      </c>
      <c r="C53" s="66"/>
      <c r="D53" s="157"/>
      <c r="E53" s="66"/>
    </row>
    <row r="54" spans="1:5" ht="15.75">
      <c r="A54" s="66"/>
      <c r="B54" s="108" t="str">
        <f t="shared" si="0"/>
        <v>Hall</v>
      </c>
      <c r="C54" s="66"/>
      <c r="D54" s="157">
        <v>0.174</v>
      </c>
      <c r="E54" s="66"/>
    </row>
    <row r="55" spans="1:5" ht="15.75">
      <c r="A55" s="66"/>
      <c r="B55" s="108">
        <f t="shared" si="0"/>
        <v>0</v>
      </c>
      <c r="C55" s="66"/>
      <c r="D55" s="157"/>
      <c r="E55" s="66"/>
    </row>
    <row r="56" spans="1:5" ht="15.75">
      <c r="A56" s="66"/>
      <c r="B56" s="108">
        <f t="shared" si="0"/>
        <v>0</v>
      </c>
      <c r="C56" s="66"/>
      <c r="D56" s="157"/>
      <c r="E56" s="66"/>
    </row>
    <row r="57" spans="1:5" ht="15.75">
      <c r="A57" s="66"/>
      <c r="B57" s="108">
        <f t="shared" si="0"/>
        <v>0</v>
      </c>
      <c r="C57" s="66"/>
      <c r="D57" s="157"/>
      <c r="E57" s="66"/>
    </row>
    <row r="58" spans="1:5" ht="15.75">
      <c r="A58" s="66"/>
      <c r="B58" s="108">
        <f>B30</f>
        <v>0</v>
      </c>
      <c r="C58" s="66"/>
      <c r="D58" s="157"/>
      <c r="E58" s="66"/>
    </row>
    <row r="59" spans="1:5" ht="16.5" thickBot="1">
      <c r="A59" s="79" t="str">
        <f>CONCATENATE("Total ",D9-3," Tax Levy Rate")</f>
        <v>Total 2010 Tax Levy Rate</v>
      </c>
      <c r="B59" s="158"/>
      <c r="C59" s="91"/>
      <c r="D59" s="159">
        <f>SUM(D48:D58)</f>
        <v>0.20299999999999999</v>
      </c>
      <c r="E59" s="66"/>
    </row>
    <row r="60" spans="1:5" ht="16.5" thickTop="1">
      <c r="A60" s="66"/>
      <c r="B60" s="66"/>
      <c r="C60" s="66"/>
      <c r="D60" s="66"/>
      <c r="E60" s="66"/>
    </row>
    <row r="61" spans="1:5" ht="15.75">
      <c r="A61" s="160" t="str">
        <f>CONCATENATE("Total Tax Levy (",D9-2," budget column)")</f>
        <v>Total Tax Levy (2011 budget column)</v>
      </c>
      <c r="B61" s="136"/>
      <c r="C61" s="73"/>
      <c r="D61" s="73"/>
      <c r="E61" s="161">
        <v>1434</v>
      </c>
    </row>
    <row r="62" spans="1:5" ht="15.75">
      <c r="A62" s="160" t="str">
        <f>CONCATENATE("Assessed Valuation (",D9-2," budget column):")</f>
        <v>Assessed Valuation (2011 budget column):</v>
      </c>
      <c r="B62" s="136"/>
      <c r="C62" s="66"/>
      <c r="D62" s="66"/>
      <c r="E62" s="161">
        <v>7057248</v>
      </c>
    </row>
    <row r="63" spans="1:5" ht="15.75">
      <c r="A63" s="66"/>
      <c r="B63" s="66"/>
      <c r="C63" s="66"/>
      <c r="D63" s="66"/>
      <c r="E63" s="162"/>
    </row>
    <row r="64" spans="1:5" ht="15.75">
      <c r="A64" s="163" t="s">
        <v>417</v>
      </c>
      <c r="B64" s="163"/>
      <c r="C64" s="164"/>
      <c r="D64" s="165">
        <f>D9-3</f>
        <v>2010</v>
      </c>
      <c r="E64" s="165">
        <f>D9-2</f>
        <v>2011</v>
      </c>
    </row>
    <row r="65" spans="1:5" ht="15.75">
      <c r="A65" s="163" t="s">
        <v>379</v>
      </c>
      <c r="B65" s="163"/>
      <c r="C65" s="166"/>
      <c r="D65" s="153"/>
      <c r="E65" s="153"/>
    </row>
    <row r="66" spans="1:5" ht="15.75">
      <c r="A66" s="167" t="s">
        <v>413</v>
      </c>
      <c r="B66" s="167"/>
      <c r="C66" s="168"/>
      <c r="D66" s="153"/>
      <c r="E66" s="153"/>
    </row>
    <row r="67" spans="1:5" ht="15.75">
      <c r="A67" s="167" t="s">
        <v>380</v>
      </c>
      <c r="B67" s="167"/>
      <c r="C67" s="168"/>
      <c r="D67" s="153"/>
      <c r="E67" s="153"/>
    </row>
    <row r="68" spans="1:5" ht="15.75">
      <c r="A68" s="167"/>
      <c r="B68" s="167"/>
      <c r="C68" s="169"/>
      <c r="D68" s="153"/>
      <c r="E68" s="153"/>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170"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28"/>
    </row>
    <row r="90" spans="1:7" s="117" customFormat="1" ht="15.75">
      <c r="A90" s="112"/>
      <c r="B90" s="112"/>
      <c r="C90" s="112"/>
      <c r="D90" s="112"/>
      <c r="E90" s="112"/>
      <c r="G90" s="128"/>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52" t="s">
        <v>117</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3" t="s">
        <v>579</v>
      </c>
      <c r="I5" s="352"/>
      <c r="J5" s="352"/>
      <c r="K5" s="352"/>
      <c r="L5" s="352"/>
    </row>
    <row r="6" spans="1:12" ht="15.75">
      <c r="A6" s="353" t="str">
        <f>CONCATENATE("estimated ",inputPrYr!D9-1," 'total expenditures' exceed your ",inputPrYr!D9-1,"")</f>
        <v>estimated 2012 'total expenditures' exceed your 2012</v>
      </c>
      <c r="I6" s="352"/>
      <c r="J6" s="352"/>
      <c r="K6" s="352"/>
      <c r="L6" s="352"/>
    </row>
    <row r="7" spans="1:12" ht="15.75">
      <c r="A7" s="356" t="s">
        <v>118</v>
      </c>
      <c r="I7" s="352"/>
      <c r="J7" s="352"/>
      <c r="K7" s="352"/>
      <c r="L7" s="352"/>
    </row>
    <row r="8" spans="1:12" ht="15.75">
      <c r="A8" s="353"/>
      <c r="I8" s="352"/>
      <c r="J8" s="352"/>
      <c r="K8" s="352"/>
      <c r="L8" s="352"/>
    </row>
    <row r="9" spans="1:12" ht="15.75">
      <c r="A9" s="353" t="s">
        <v>119</v>
      </c>
      <c r="I9" s="352"/>
      <c r="J9" s="352"/>
      <c r="K9" s="352"/>
      <c r="L9" s="352"/>
    </row>
    <row r="10" spans="1:12" ht="15.75">
      <c r="A10" s="353" t="s">
        <v>120</v>
      </c>
      <c r="I10" s="352"/>
      <c r="J10" s="352"/>
      <c r="K10" s="352"/>
      <c r="L10" s="352"/>
    </row>
    <row r="11" spans="1:12" ht="15.75">
      <c r="A11" s="353" t="s">
        <v>121</v>
      </c>
      <c r="I11" s="352"/>
      <c r="J11" s="352"/>
      <c r="K11" s="352"/>
      <c r="L11" s="352"/>
    </row>
    <row r="12" spans="1:12" ht="15.75">
      <c r="A12" s="353" t="s">
        <v>122</v>
      </c>
      <c r="I12" s="352"/>
      <c r="J12" s="352"/>
      <c r="K12" s="352"/>
      <c r="L12" s="352"/>
    </row>
    <row r="13" spans="1:12" ht="15.75">
      <c r="A13" s="353" t="s">
        <v>123</v>
      </c>
      <c r="I13" s="352"/>
      <c r="J13" s="352"/>
      <c r="K13" s="352"/>
      <c r="L13" s="352"/>
    </row>
    <row r="14" spans="1:12" ht="15.75">
      <c r="A14" s="352"/>
      <c r="B14" s="352"/>
      <c r="C14" s="352"/>
      <c r="D14" s="352"/>
      <c r="E14" s="352"/>
      <c r="F14" s="352"/>
      <c r="G14" s="352"/>
      <c r="H14" s="352"/>
      <c r="I14" s="352"/>
      <c r="J14" s="352"/>
      <c r="K14" s="352"/>
      <c r="L14" s="352"/>
    </row>
    <row r="15" ht="15.75">
      <c r="A15" s="354" t="s">
        <v>124</v>
      </c>
    </row>
    <row r="16" ht="15.75">
      <c r="A16" s="354" t="s">
        <v>125</v>
      </c>
    </row>
    <row r="17" ht="15.75">
      <c r="A17" s="354"/>
    </row>
    <row r="18" spans="1:7" ht="15.75">
      <c r="A18" s="353" t="s">
        <v>126</v>
      </c>
      <c r="B18" s="353"/>
      <c r="C18" s="353"/>
      <c r="D18" s="353"/>
      <c r="E18" s="353"/>
      <c r="F18" s="353"/>
      <c r="G18" s="353"/>
    </row>
    <row r="19" spans="1:7" ht="15.75">
      <c r="A19" s="353" t="str">
        <f>CONCATENATE("your ",inputPrYr!D9-1," numbers to see what steps might be necessary to")</f>
        <v>your 2012 numbers to see what steps might be necessary to</v>
      </c>
      <c r="B19" s="353"/>
      <c r="C19" s="353"/>
      <c r="D19" s="353"/>
      <c r="E19" s="353"/>
      <c r="F19" s="353"/>
      <c r="G19" s="353"/>
    </row>
    <row r="20" spans="1:7" ht="15.75">
      <c r="A20" s="353" t="s">
        <v>127</v>
      </c>
      <c r="B20" s="353"/>
      <c r="C20" s="353"/>
      <c r="D20" s="353"/>
      <c r="E20" s="353"/>
      <c r="F20" s="353"/>
      <c r="G20" s="353"/>
    </row>
    <row r="21" spans="1:7" ht="15.75">
      <c r="A21" s="353" t="s">
        <v>128</v>
      </c>
      <c r="B21" s="353"/>
      <c r="C21" s="353"/>
      <c r="D21" s="353"/>
      <c r="E21" s="353"/>
      <c r="F21" s="353"/>
      <c r="G21" s="353"/>
    </row>
    <row r="22" ht="15.75">
      <c r="A22" s="353"/>
    </row>
    <row r="23" ht="15.75">
      <c r="A23" s="354" t="s">
        <v>129</v>
      </c>
    </row>
    <row r="24" ht="15.75">
      <c r="A24" s="354"/>
    </row>
    <row r="25" ht="15.75">
      <c r="A25" s="353" t="s">
        <v>130</v>
      </c>
    </row>
    <row r="26" spans="1:6" ht="15.75">
      <c r="A26" s="353" t="s">
        <v>131</v>
      </c>
      <c r="B26" s="353"/>
      <c r="C26" s="353"/>
      <c r="D26" s="353"/>
      <c r="E26" s="353"/>
      <c r="F26" s="353"/>
    </row>
    <row r="27" spans="1:6" ht="15.75">
      <c r="A27" s="353" t="s">
        <v>132</v>
      </c>
      <c r="B27" s="353"/>
      <c r="C27" s="353"/>
      <c r="D27" s="353"/>
      <c r="E27" s="353"/>
      <c r="F27" s="353"/>
    </row>
    <row r="28" spans="1:6" ht="15.75">
      <c r="A28" s="353" t="s">
        <v>133</v>
      </c>
      <c r="B28" s="353"/>
      <c r="C28" s="353"/>
      <c r="D28" s="353"/>
      <c r="E28" s="353"/>
      <c r="F28" s="353"/>
    </row>
    <row r="29" spans="1:6" ht="15.75">
      <c r="A29" s="353"/>
      <c r="B29" s="353"/>
      <c r="C29" s="353"/>
      <c r="D29" s="353"/>
      <c r="E29" s="353"/>
      <c r="F29" s="353"/>
    </row>
    <row r="30" spans="1:7" ht="15.75">
      <c r="A30" s="354" t="s">
        <v>134</v>
      </c>
      <c r="B30" s="354"/>
      <c r="C30" s="354"/>
      <c r="D30" s="354"/>
      <c r="E30" s="354"/>
      <c r="F30" s="354"/>
      <c r="G30" s="354"/>
    </row>
    <row r="31" spans="1:7" ht="15.75">
      <c r="A31" s="354" t="s">
        <v>135</v>
      </c>
      <c r="B31" s="354"/>
      <c r="C31" s="354"/>
      <c r="D31" s="354"/>
      <c r="E31" s="354"/>
      <c r="F31" s="354"/>
      <c r="G31" s="354"/>
    </row>
    <row r="32" spans="1:6" ht="15.75">
      <c r="A32" s="353"/>
      <c r="B32" s="353"/>
      <c r="C32" s="353"/>
      <c r="D32" s="353"/>
      <c r="E32" s="353"/>
      <c r="F32" s="353"/>
    </row>
    <row r="33" spans="1:6" ht="15.75">
      <c r="A33" s="357" t="str">
        <f>CONCATENATE("Well, let's look to see if any of your ",inputPrYr!D9-1," expenditures can")</f>
        <v>Well, let's look to see if any of your 2012 expenditures can</v>
      </c>
      <c r="B33" s="353"/>
      <c r="C33" s="353"/>
      <c r="D33" s="353"/>
      <c r="E33" s="353"/>
      <c r="F33" s="353"/>
    </row>
    <row r="34" spans="1:6" ht="15.75">
      <c r="A34" s="357" t="s">
        <v>136</v>
      </c>
      <c r="B34" s="353"/>
      <c r="C34" s="353"/>
      <c r="D34" s="353"/>
      <c r="E34" s="353"/>
      <c r="F34" s="353"/>
    </row>
    <row r="35" spans="1:6" ht="15.75">
      <c r="A35" s="357" t="s">
        <v>20</v>
      </c>
      <c r="B35" s="353"/>
      <c r="C35" s="353"/>
      <c r="D35" s="353"/>
      <c r="E35" s="353"/>
      <c r="F35" s="353"/>
    </row>
    <row r="36" spans="1:6" ht="15.75">
      <c r="A36" s="357" t="s">
        <v>21</v>
      </c>
      <c r="B36" s="353"/>
      <c r="C36" s="353"/>
      <c r="D36" s="353"/>
      <c r="E36" s="353"/>
      <c r="F36" s="353"/>
    </row>
    <row r="37" spans="1:6" ht="15.75">
      <c r="A37" s="357"/>
      <c r="B37" s="353"/>
      <c r="C37" s="353"/>
      <c r="D37" s="353"/>
      <c r="E37" s="353"/>
      <c r="F37" s="353"/>
    </row>
    <row r="38" spans="1:6" ht="15.75">
      <c r="A38" s="357" t="str">
        <f>CONCATENATE("Additionally, do your ",inputPrYr!D9-1," receipts contain a reimbursement")</f>
        <v>Additionally, do your 2012 receipts contain a reimbursement</v>
      </c>
      <c r="B38" s="353"/>
      <c r="C38" s="353"/>
      <c r="D38" s="353"/>
      <c r="E38" s="353"/>
      <c r="F38" s="353"/>
    </row>
    <row r="39" spans="1:6" ht="15.75">
      <c r="A39" s="357" t="s">
        <v>22</v>
      </c>
      <c r="B39" s="353"/>
      <c r="C39" s="353"/>
      <c r="D39" s="353"/>
      <c r="E39" s="353"/>
      <c r="F39" s="353"/>
    </row>
    <row r="40" spans="1:6" ht="15.75">
      <c r="A40" s="357" t="s">
        <v>23</v>
      </c>
      <c r="B40" s="353"/>
      <c r="C40" s="353"/>
      <c r="D40" s="353"/>
      <c r="E40" s="353"/>
      <c r="F40" s="353"/>
    </row>
    <row r="41" spans="1:6" ht="15.75">
      <c r="A41" s="357"/>
      <c r="B41" s="353"/>
      <c r="C41" s="353"/>
      <c r="D41" s="353"/>
      <c r="E41" s="353"/>
      <c r="F41" s="353"/>
    </row>
    <row r="42" spans="1:6" ht="15.75">
      <c r="A42" s="357" t="s">
        <v>24</v>
      </c>
      <c r="B42" s="353"/>
      <c r="C42" s="353"/>
      <c r="D42" s="353"/>
      <c r="E42" s="353"/>
      <c r="F42" s="353"/>
    </row>
    <row r="43" spans="1:6" ht="15.75">
      <c r="A43" s="357" t="s">
        <v>25</v>
      </c>
      <c r="B43" s="353"/>
      <c r="C43" s="353"/>
      <c r="D43" s="353"/>
      <c r="E43" s="353"/>
      <c r="F43" s="353"/>
    </row>
    <row r="44" spans="1:6" ht="15.75">
      <c r="A44" s="357" t="s">
        <v>26</v>
      </c>
      <c r="B44" s="353"/>
      <c r="C44" s="353"/>
      <c r="D44" s="353"/>
      <c r="E44" s="353"/>
      <c r="F44" s="353"/>
    </row>
    <row r="45" spans="1:6" ht="15.75">
      <c r="A45" s="357" t="s">
        <v>137</v>
      </c>
      <c r="B45" s="353"/>
      <c r="C45" s="353"/>
      <c r="D45" s="353"/>
      <c r="E45" s="353"/>
      <c r="F45" s="353"/>
    </row>
    <row r="46" spans="1:6" ht="15.75">
      <c r="A46" s="357" t="s">
        <v>28</v>
      </c>
      <c r="B46" s="353"/>
      <c r="C46" s="353"/>
      <c r="D46" s="353"/>
      <c r="E46" s="353"/>
      <c r="F46" s="353"/>
    </row>
    <row r="47" spans="1:6" ht="15.75">
      <c r="A47" s="357" t="s">
        <v>138</v>
      </c>
      <c r="B47" s="353"/>
      <c r="C47" s="353"/>
      <c r="D47" s="353"/>
      <c r="E47" s="353"/>
      <c r="F47" s="353"/>
    </row>
    <row r="48" spans="1:6" ht="15.75">
      <c r="A48" s="357" t="s">
        <v>139</v>
      </c>
      <c r="B48" s="353"/>
      <c r="C48" s="353"/>
      <c r="D48" s="353"/>
      <c r="E48" s="353"/>
      <c r="F48" s="353"/>
    </row>
    <row r="49" spans="1:6" ht="15.75">
      <c r="A49" s="357" t="s">
        <v>31</v>
      </c>
      <c r="B49" s="353"/>
      <c r="C49" s="353"/>
      <c r="D49" s="353"/>
      <c r="E49" s="353"/>
      <c r="F49" s="353"/>
    </row>
    <row r="50" spans="1:6" ht="15.75">
      <c r="A50" s="357"/>
      <c r="B50" s="353"/>
      <c r="C50" s="353"/>
      <c r="D50" s="353"/>
      <c r="E50" s="353"/>
      <c r="F50" s="353"/>
    </row>
    <row r="51" spans="1:6" ht="15.75">
      <c r="A51" s="357" t="s">
        <v>32</v>
      </c>
      <c r="B51" s="353"/>
      <c r="C51" s="353"/>
      <c r="D51" s="353"/>
      <c r="E51" s="353"/>
      <c r="F51" s="353"/>
    </row>
    <row r="52" spans="1:6" ht="15.75">
      <c r="A52" s="357" t="s">
        <v>33</v>
      </c>
      <c r="B52" s="353"/>
      <c r="C52" s="353"/>
      <c r="D52" s="353"/>
      <c r="E52" s="353"/>
      <c r="F52" s="353"/>
    </row>
    <row r="53" spans="1:6" ht="15.75">
      <c r="A53" s="357" t="s">
        <v>34</v>
      </c>
      <c r="B53" s="353"/>
      <c r="C53" s="353"/>
      <c r="D53" s="353"/>
      <c r="E53" s="353"/>
      <c r="F53" s="353"/>
    </row>
    <row r="54" spans="1:6" ht="15.75">
      <c r="A54" s="357"/>
      <c r="B54" s="353"/>
      <c r="C54" s="353"/>
      <c r="D54" s="353"/>
      <c r="E54" s="353"/>
      <c r="F54" s="353"/>
    </row>
    <row r="55" spans="1:6" ht="15.75">
      <c r="A55" s="357" t="s">
        <v>140</v>
      </c>
      <c r="B55" s="353"/>
      <c r="C55" s="353"/>
      <c r="D55" s="353"/>
      <c r="E55" s="353"/>
      <c r="F55" s="353"/>
    </row>
    <row r="56" spans="1:6" ht="15.75">
      <c r="A56" s="357" t="s">
        <v>141</v>
      </c>
      <c r="B56" s="353"/>
      <c r="C56" s="353"/>
      <c r="D56" s="353"/>
      <c r="E56" s="353"/>
      <c r="F56" s="353"/>
    </row>
    <row r="57" spans="1:6" ht="15.75">
      <c r="A57" s="357" t="s">
        <v>142</v>
      </c>
      <c r="B57" s="353"/>
      <c r="C57" s="353"/>
      <c r="D57" s="353"/>
      <c r="E57" s="353"/>
      <c r="F57" s="353"/>
    </row>
    <row r="58" spans="1:6" ht="15.75">
      <c r="A58" s="357" t="s">
        <v>143</v>
      </c>
      <c r="B58" s="353"/>
      <c r="C58" s="353"/>
      <c r="D58" s="353"/>
      <c r="E58" s="353"/>
      <c r="F58" s="353"/>
    </row>
    <row r="59" spans="1:6" ht="15.75">
      <c r="A59" s="357" t="s">
        <v>144</v>
      </c>
      <c r="B59" s="353"/>
      <c r="C59" s="353"/>
      <c r="D59" s="353"/>
      <c r="E59" s="353"/>
      <c r="F59" s="353"/>
    </row>
    <row r="60" spans="1:6" ht="15.75">
      <c r="A60" s="357"/>
      <c r="B60" s="353"/>
      <c r="C60" s="353"/>
      <c r="D60" s="353"/>
      <c r="E60" s="353"/>
      <c r="F60" s="353"/>
    </row>
    <row r="61" spans="1:6" ht="15.75">
      <c r="A61" s="358" t="s">
        <v>145</v>
      </c>
      <c r="B61" s="353"/>
      <c r="C61" s="353"/>
      <c r="D61" s="353"/>
      <c r="E61" s="353"/>
      <c r="F61" s="353"/>
    </row>
    <row r="62" spans="1:6" ht="15.75">
      <c r="A62" s="358" t="s">
        <v>146</v>
      </c>
      <c r="B62" s="353"/>
      <c r="C62" s="353"/>
      <c r="D62" s="353"/>
      <c r="E62" s="353"/>
      <c r="F62" s="353"/>
    </row>
    <row r="63" spans="1:6" ht="15.75">
      <c r="A63" s="358" t="s">
        <v>147</v>
      </c>
      <c r="B63" s="353"/>
      <c r="C63" s="353"/>
      <c r="D63" s="353"/>
      <c r="E63" s="353"/>
      <c r="F63" s="353"/>
    </row>
    <row r="64" ht="15.75">
      <c r="A64" s="358" t="s">
        <v>148</v>
      </c>
    </row>
    <row r="65" ht="15.75">
      <c r="A65" s="358" t="s">
        <v>149</v>
      </c>
    </row>
    <row r="66" ht="15.75">
      <c r="A66" s="358" t="s">
        <v>150</v>
      </c>
    </row>
    <row r="68" ht="15.75">
      <c r="A68" s="353" t="s">
        <v>151</v>
      </c>
    </row>
    <row r="69" ht="15.75">
      <c r="A69" s="353" t="s">
        <v>152</v>
      </c>
    </row>
    <row r="70" ht="15.75">
      <c r="A70" s="353" t="s">
        <v>153</v>
      </c>
    </row>
    <row r="71" ht="15.75">
      <c r="A71" s="353" t="s">
        <v>154</v>
      </c>
    </row>
    <row r="72" ht="15.75">
      <c r="A72" s="353" t="s">
        <v>155</v>
      </c>
    </row>
    <row r="73" ht="15.75">
      <c r="A73" s="353" t="s">
        <v>156</v>
      </c>
    </row>
    <row r="75" ht="15.75">
      <c r="A75" s="353" t="s">
        <v>61</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52" t="s">
        <v>157</v>
      </c>
      <c r="B3" s="352"/>
      <c r="C3" s="352"/>
      <c r="D3" s="352"/>
      <c r="E3" s="352"/>
      <c r="F3" s="352"/>
      <c r="G3" s="352"/>
    </row>
    <row r="4" spans="1:7" ht="15.75">
      <c r="A4" s="352"/>
      <c r="B4" s="352"/>
      <c r="C4" s="352"/>
      <c r="D4" s="352"/>
      <c r="E4" s="352"/>
      <c r="F4" s="352"/>
      <c r="G4" s="352"/>
    </row>
    <row r="5" ht="15.75">
      <c r="A5" s="353" t="s">
        <v>63</v>
      </c>
    </row>
    <row r="6" ht="15.75">
      <c r="A6" s="353" t="str">
        <f>CONCATENATE(inputPrYr!D9," estimated expenditures show that at the end of this year")</f>
        <v>2013 estimated expenditures show that at the end of this year</v>
      </c>
    </row>
    <row r="7" ht="15.75">
      <c r="A7" s="353" t="s">
        <v>158</v>
      </c>
    </row>
    <row r="8" ht="15.75">
      <c r="A8" s="353" t="s">
        <v>159</v>
      </c>
    </row>
    <row r="10" ht="15.75">
      <c r="A10" t="s">
        <v>65</v>
      </c>
    </row>
    <row r="11" ht="15.75">
      <c r="A11" t="s">
        <v>66</v>
      </c>
    </row>
    <row r="12" ht="15.75">
      <c r="A12" t="s">
        <v>67</v>
      </c>
    </row>
    <row r="13" spans="1:7" ht="15.75">
      <c r="A13" s="352"/>
      <c r="B13" s="352"/>
      <c r="C13" s="352"/>
      <c r="D13" s="352"/>
      <c r="E13" s="352"/>
      <c r="F13" s="352"/>
      <c r="G13" s="352"/>
    </row>
    <row r="14" ht="15.75">
      <c r="A14" s="354" t="s">
        <v>160</v>
      </c>
    </row>
    <row r="15" ht="15.75">
      <c r="A15" s="353"/>
    </row>
    <row r="16" ht="15.75">
      <c r="A16" s="353" t="s">
        <v>161</v>
      </c>
    </row>
    <row r="17" ht="15.75">
      <c r="A17" s="353" t="s">
        <v>162</v>
      </c>
    </row>
    <row r="18" ht="15.75">
      <c r="A18" s="353" t="s">
        <v>163</v>
      </c>
    </row>
    <row r="19" ht="15.75">
      <c r="A19" s="353"/>
    </row>
    <row r="20" ht="15.75">
      <c r="A20" s="353" t="s">
        <v>164</v>
      </c>
    </row>
    <row r="21" ht="15.75">
      <c r="A21" s="353" t="s">
        <v>165</v>
      </c>
    </row>
    <row r="22" ht="15.75">
      <c r="A22" s="353" t="s">
        <v>166</v>
      </c>
    </row>
    <row r="23" ht="15.75">
      <c r="A23" s="353" t="s">
        <v>167</v>
      </c>
    </row>
    <row r="24" ht="15.75">
      <c r="A24" s="353"/>
    </row>
    <row r="25" ht="15.75">
      <c r="A25" s="354" t="s">
        <v>129</v>
      </c>
    </row>
    <row r="26" ht="15.75">
      <c r="A26" s="354"/>
    </row>
    <row r="27" ht="15.75">
      <c r="A27" s="353" t="s">
        <v>130</v>
      </c>
    </row>
    <row r="28" spans="1:6" ht="15.75">
      <c r="A28" s="353" t="s">
        <v>131</v>
      </c>
      <c r="B28" s="353"/>
      <c r="C28" s="353"/>
      <c r="D28" s="353"/>
      <c r="E28" s="353"/>
      <c r="F28" s="353"/>
    </row>
    <row r="29" spans="1:6" ht="15.75">
      <c r="A29" s="353" t="s">
        <v>132</v>
      </c>
      <c r="B29" s="353"/>
      <c r="C29" s="353"/>
      <c r="D29" s="353"/>
      <c r="E29" s="353"/>
      <c r="F29" s="353"/>
    </row>
    <row r="30" spans="1:6" ht="15.75">
      <c r="A30" s="353" t="s">
        <v>133</v>
      </c>
      <c r="B30" s="353"/>
      <c r="C30" s="353"/>
      <c r="D30" s="353"/>
      <c r="E30" s="353"/>
      <c r="F30" s="353"/>
    </row>
    <row r="31" ht="15.75">
      <c r="A31" s="353"/>
    </row>
    <row r="32" spans="1:7" ht="15.75">
      <c r="A32" s="354" t="s">
        <v>134</v>
      </c>
      <c r="B32" s="354"/>
      <c r="C32" s="354"/>
      <c r="D32" s="354"/>
      <c r="E32" s="354"/>
      <c r="F32" s="354"/>
      <c r="G32" s="354"/>
    </row>
    <row r="33" spans="1:7" ht="15.75">
      <c r="A33" s="354" t="s">
        <v>135</v>
      </c>
      <c r="B33" s="354"/>
      <c r="C33" s="354"/>
      <c r="D33" s="354"/>
      <c r="E33" s="354"/>
      <c r="F33" s="354"/>
      <c r="G33" s="354"/>
    </row>
    <row r="34" spans="1:7" ht="15.75">
      <c r="A34" s="354"/>
      <c r="B34" s="354"/>
      <c r="C34" s="354"/>
      <c r="D34" s="354"/>
      <c r="E34" s="354"/>
      <c r="F34" s="354"/>
      <c r="G34" s="354"/>
    </row>
    <row r="35" spans="1:7" ht="15.75">
      <c r="A35" s="353" t="s">
        <v>168</v>
      </c>
      <c r="B35" s="353"/>
      <c r="C35" s="353"/>
      <c r="D35" s="353"/>
      <c r="E35" s="353"/>
      <c r="F35" s="353"/>
      <c r="G35" s="353"/>
    </row>
    <row r="36" spans="1:7" ht="15.75">
      <c r="A36" s="353" t="s">
        <v>169</v>
      </c>
      <c r="B36" s="353"/>
      <c r="C36" s="353"/>
      <c r="D36" s="353"/>
      <c r="E36" s="353"/>
      <c r="F36" s="353"/>
      <c r="G36" s="353"/>
    </row>
    <row r="37" spans="1:7" ht="15.75">
      <c r="A37" s="353" t="s">
        <v>170</v>
      </c>
      <c r="B37" s="353"/>
      <c r="C37" s="353"/>
      <c r="D37" s="353"/>
      <c r="E37" s="353"/>
      <c r="F37" s="353"/>
      <c r="G37" s="353"/>
    </row>
    <row r="38" spans="1:7" ht="15.75">
      <c r="A38" s="353" t="s">
        <v>171</v>
      </c>
      <c r="B38" s="353"/>
      <c r="C38" s="353"/>
      <c r="D38" s="353"/>
      <c r="E38" s="353"/>
      <c r="F38" s="353"/>
      <c r="G38" s="353"/>
    </row>
    <row r="39" spans="1:7" ht="15.75">
      <c r="A39" s="353" t="s">
        <v>172</v>
      </c>
      <c r="B39" s="353"/>
      <c r="C39" s="353"/>
      <c r="D39" s="353"/>
      <c r="E39" s="353"/>
      <c r="F39" s="353"/>
      <c r="G39" s="353"/>
    </row>
    <row r="40" spans="1:7" ht="15.75">
      <c r="A40" s="354"/>
      <c r="B40" s="354"/>
      <c r="C40" s="354"/>
      <c r="D40" s="354"/>
      <c r="E40" s="354"/>
      <c r="F40" s="354"/>
      <c r="G40" s="354"/>
    </row>
    <row r="41" spans="1:6" ht="15.75">
      <c r="A41" s="357" t="str">
        <f>CONCATENATE("So, let's look to see if any of your ",inputPrYr!D9-1," expenditures can")</f>
        <v>So, let's look to see if any of your 2012 expenditures can</v>
      </c>
      <c r="B41" s="353"/>
      <c r="C41" s="353"/>
      <c r="D41" s="353"/>
      <c r="E41" s="353"/>
      <c r="F41" s="353"/>
    </row>
    <row r="42" spans="1:6" ht="15.75">
      <c r="A42" s="357" t="s">
        <v>136</v>
      </c>
      <c r="B42" s="353"/>
      <c r="C42" s="353"/>
      <c r="D42" s="353"/>
      <c r="E42" s="353"/>
      <c r="F42" s="353"/>
    </row>
    <row r="43" spans="1:6" ht="15.75">
      <c r="A43" s="357" t="s">
        <v>20</v>
      </c>
      <c r="B43" s="353"/>
      <c r="C43" s="353"/>
      <c r="D43" s="353"/>
      <c r="E43" s="353"/>
      <c r="F43" s="353"/>
    </row>
    <row r="44" spans="1:6" ht="15.75">
      <c r="A44" s="357" t="s">
        <v>21</v>
      </c>
      <c r="B44" s="353"/>
      <c r="C44" s="353"/>
      <c r="D44" s="353"/>
      <c r="E44" s="353"/>
      <c r="F44" s="353"/>
    </row>
    <row r="45" ht="15.75">
      <c r="A45" s="353"/>
    </row>
    <row r="46" spans="1:6" ht="15.75">
      <c r="A46" s="357" t="str">
        <f>CONCATENATE("Additionally, do your ",inputPrYr!D9-1," receipts contain a reimbursement")</f>
        <v>Additionally, do your 2012 receipts contain a reimbursement</v>
      </c>
      <c r="B46" s="353"/>
      <c r="C46" s="353"/>
      <c r="D46" s="353"/>
      <c r="E46" s="353"/>
      <c r="F46" s="353"/>
    </row>
    <row r="47" spans="1:6" ht="15.75">
      <c r="A47" s="357" t="s">
        <v>22</v>
      </c>
      <c r="B47" s="353"/>
      <c r="C47" s="353"/>
      <c r="D47" s="353"/>
      <c r="E47" s="353"/>
      <c r="F47" s="353"/>
    </row>
    <row r="48" spans="1:6" ht="15.75">
      <c r="A48" s="357" t="s">
        <v>23</v>
      </c>
      <c r="B48" s="353"/>
      <c r="C48" s="353"/>
      <c r="D48" s="353"/>
      <c r="E48" s="353"/>
      <c r="F48" s="353"/>
    </row>
    <row r="49" spans="1:7" ht="15.75">
      <c r="A49" s="353"/>
      <c r="B49" s="353"/>
      <c r="C49" s="353"/>
      <c r="D49" s="353"/>
      <c r="E49" s="353"/>
      <c r="F49" s="353"/>
      <c r="G49" s="353"/>
    </row>
    <row r="50" spans="1:7" ht="15.75">
      <c r="A50" s="353" t="s">
        <v>90</v>
      </c>
      <c r="B50" s="353"/>
      <c r="C50" s="353"/>
      <c r="D50" s="353"/>
      <c r="E50" s="353"/>
      <c r="F50" s="353"/>
      <c r="G50" s="353"/>
    </row>
    <row r="51" spans="1:7" ht="15.75">
      <c r="A51" s="353" t="s">
        <v>91</v>
      </c>
      <c r="B51" s="353"/>
      <c r="C51" s="353"/>
      <c r="D51" s="353"/>
      <c r="E51" s="353"/>
      <c r="F51" s="353"/>
      <c r="G51" s="353"/>
    </row>
    <row r="52" spans="1:7" ht="15.75">
      <c r="A52" s="353" t="s">
        <v>92</v>
      </c>
      <c r="B52" s="353"/>
      <c r="C52" s="353"/>
      <c r="D52" s="353"/>
      <c r="E52" s="353"/>
      <c r="F52" s="353"/>
      <c r="G52" s="353"/>
    </row>
    <row r="53" spans="1:7" ht="15.75">
      <c r="A53" s="353" t="s">
        <v>93</v>
      </c>
      <c r="B53" s="353"/>
      <c r="C53" s="353"/>
      <c r="D53" s="353"/>
      <c r="E53" s="353"/>
      <c r="F53" s="353"/>
      <c r="G53" s="353"/>
    </row>
    <row r="54" spans="1:7" ht="15.75">
      <c r="A54" s="353" t="s">
        <v>94</v>
      </c>
      <c r="B54" s="353"/>
      <c r="C54" s="353"/>
      <c r="D54" s="353"/>
      <c r="E54" s="353"/>
      <c r="F54" s="353"/>
      <c r="G54" s="353"/>
    </row>
    <row r="55" spans="1:7" ht="15.75">
      <c r="A55" s="353"/>
      <c r="B55" s="353"/>
      <c r="C55" s="353"/>
      <c r="D55" s="353"/>
      <c r="E55" s="353"/>
      <c r="F55" s="353"/>
      <c r="G55" s="353"/>
    </row>
    <row r="56" spans="1:6" ht="15.75">
      <c r="A56" s="357" t="s">
        <v>32</v>
      </c>
      <c r="B56" s="353"/>
      <c r="C56" s="353"/>
      <c r="D56" s="353"/>
      <c r="E56" s="353"/>
      <c r="F56" s="353"/>
    </row>
    <row r="57" spans="1:6" ht="15.75">
      <c r="A57" s="357" t="s">
        <v>33</v>
      </c>
      <c r="B57" s="353"/>
      <c r="C57" s="353"/>
      <c r="D57" s="353"/>
      <c r="E57" s="353"/>
      <c r="F57" s="353"/>
    </row>
    <row r="58" spans="1:6" ht="15.75">
      <c r="A58" s="357" t="s">
        <v>34</v>
      </c>
      <c r="B58" s="353"/>
      <c r="C58" s="353"/>
      <c r="D58" s="353"/>
      <c r="E58" s="353"/>
      <c r="F58" s="353"/>
    </row>
    <row r="59" spans="1:6" ht="15.75">
      <c r="A59" s="357"/>
      <c r="B59" s="353"/>
      <c r="C59" s="353"/>
      <c r="D59" s="353"/>
      <c r="E59" s="353"/>
      <c r="F59" s="353"/>
    </row>
    <row r="60" spans="1:7" ht="15.75">
      <c r="A60" s="353" t="s">
        <v>173</v>
      </c>
      <c r="B60" s="353"/>
      <c r="C60" s="353"/>
      <c r="D60" s="353"/>
      <c r="E60" s="353"/>
      <c r="F60" s="353"/>
      <c r="G60" s="353"/>
    </row>
    <row r="61" spans="1:7" ht="15.75">
      <c r="A61" s="353" t="s">
        <v>174</v>
      </c>
      <c r="B61" s="353"/>
      <c r="C61" s="353"/>
      <c r="D61" s="353"/>
      <c r="E61" s="353"/>
      <c r="F61" s="353"/>
      <c r="G61" s="353"/>
    </row>
    <row r="62" spans="1:7" ht="15.75">
      <c r="A62" s="353" t="s">
        <v>175</v>
      </c>
      <c r="B62" s="353"/>
      <c r="C62" s="353"/>
      <c r="D62" s="353"/>
      <c r="E62" s="353"/>
      <c r="F62" s="353"/>
      <c r="G62" s="353"/>
    </row>
    <row r="63" spans="1:7" ht="15.75">
      <c r="A63" s="353" t="s">
        <v>176</v>
      </c>
      <c r="B63" s="353"/>
      <c r="C63" s="353"/>
      <c r="D63" s="353"/>
      <c r="E63" s="353"/>
      <c r="F63" s="353"/>
      <c r="G63" s="353"/>
    </row>
    <row r="64" spans="1:7" ht="15.75">
      <c r="A64" s="353" t="s">
        <v>177</v>
      </c>
      <c r="B64" s="353"/>
      <c r="C64" s="353"/>
      <c r="D64" s="353"/>
      <c r="E64" s="353"/>
      <c r="F64" s="353"/>
      <c r="G64" s="353"/>
    </row>
    <row r="66" spans="1:6" ht="15.75">
      <c r="A66" s="357" t="s">
        <v>140</v>
      </c>
      <c r="B66" s="353"/>
      <c r="C66" s="353"/>
      <c r="D66" s="353"/>
      <c r="E66" s="353"/>
      <c r="F66" s="353"/>
    </row>
    <row r="67" spans="1:6" ht="15.75">
      <c r="A67" s="357" t="s">
        <v>141</v>
      </c>
      <c r="B67" s="353"/>
      <c r="C67" s="353"/>
      <c r="D67" s="353"/>
      <c r="E67" s="353"/>
      <c r="F67" s="353"/>
    </row>
    <row r="68" spans="1:6" ht="15.75">
      <c r="A68" s="357" t="s">
        <v>142</v>
      </c>
      <c r="B68" s="353"/>
      <c r="C68" s="353"/>
      <c r="D68" s="353"/>
      <c r="E68" s="353"/>
      <c r="F68" s="353"/>
    </row>
    <row r="69" spans="1:6" ht="15.75">
      <c r="A69" s="357" t="s">
        <v>143</v>
      </c>
      <c r="B69" s="353"/>
      <c r="C69" s="353"/>
      <c r="D69" s="353"/>
      <c r="E69" s="353"/>
      <c r="F69" s="353"/>
    </row>
    <row r="70" spans="1:6" ht="15.75">
      <c r="A70" s="357" t="s">
        <v>144</v>
      </c>
      <c r="B70" s="353"/>
      <c r="C70" s="353"/>
      <c r="D70" s="353"/>
      <c r="E70" s="353"/>
      <c r="F70" s="353"/>
    </row>
    <row r="71" ht="15.75">
      <c r="A71" s="353"/>
    </row>
    <row r="72" ht="15.75">
      <c r="A72" s="353" t="s">
        <v>61</v>
      </c>
    </row>
    <row r="73" ht="15.75">
      <c r="A73" s="353"/>
    </row>
    <row r="74" ht="15.75">
      <c r="A74" s="353"/>
    </row>
    <row r="75" ht="15.75">
      <c r="A75" s="353"/>
    </row>
    <row r="78" ht="15.75">
      <c r="A78" s="354"/>
    </row>
    <row r="80" ht="15.75">
      <c r="A80" s="353"/>
    </row>
    <row r="81" ht="15.75">
      <c r="A81" s="353"/>
    </row>
    <row r="82" ht="15.75">
      <c r="A82" s="353"/>
    </row>
    <row r="83" ht="15.75">
      <c r="A83" s="353"/>
    </row>
    <row r="84" ht="15.75">
      <c r="A84" s="353"/>
    </row>
    <row r="85" ht="15.75">
      <c r="A85" s="353"/>
    </row>
    <row r="86" ht="15.75">
      <c r="A86" s="353"/>
    </row>
    <row r="87" ht="15.75">
      <c r="A87" s="353"/>
    </row>
    <row r="88" ht="15.75">
      <c r="A88" s="353"/>
    </row>
    <row r="89" ht="15.75">
      <c r="A89" s="353"/>
    </row>
    <row r="90" ht="15.75">
      <c r="A90" s="353"/>
    </row>
    <row r="92" ht="15.75">
      <c r="A92" s="353"/>
    </row>
    <row r="93" ht="15.75">
      <c r="A93" s="353"/>
    </row>
    <row r="94" ht="15.75">
      <c r="A94" s="353"/>
    </row>
    <row r="95" ht="15.75">
      <c r="A95" s="353"/>
    </row>
    <row r="96" ht="15.75">
      <c r="A96" s="353"/>
    </row>
    <row r="97" ht="15.75">
      <c r="A97" s="353"/>
    </row>
    <row r="98" ht="15.75">
      <c r="A98" s="353"/>
    </row>
    <row r="99" ht="15.75">
      <c r="A99" s="353"/>
    </row>
    <row r="100" ht="15.75">
      <c r="A100" s="353"/>
    </row>
    <row r="101" ht="15.75">
      <c r="A101" s="353"/>
    </row>
    <row r="102" ht="15.75">
      <c r="A102" s="353"/>
    </row>
    <row r="103" ht="15.75">
      <c r="A103" s="353"/>
    </row>
    <row r="104" ht="15.75">
      <c r="A104" s="353"/>
    </row>
    <row r="105" ht="15.75">
      <c r="A105" s="353"/>
    </row>
    <row r="106" ht="15.75">
      <c r="A106" s="353"/>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52" t="s">
        <v>178</v>
      </c>
      <c r="B3" s="352"/>
      <c r="C3" s="352"/>
      <c r="D3" s="352"/>
      <c r="E3" s="352"/>
      <c r="F3" s="352"/>
      <c r="G3" s="352"/>
    </row>
    <row r="4" spans="1:7" ht="15.75">
      <c r="A4" s="352" t="s">
        <v>179</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3" t="s">
        <v>579</v>
      </c>
    </row>
    <row r="8" ht="15.75">
      <c r="A8" s="353" t="str">
        <f>CONCATENATE("estimated ",inputPrYr!D9," 'total expenditures' exceed your ",inputPrYr!D9,"")</f>
        <v>estimated 2013 'total expenditures' exceed your 2013</v>
      </c>
    </row>
    <row r="9" ht="15.75">
      <c r="A9" s="356" t="s">
        <v>180</v>
      </c>
    </row>
    <row r="10" ht="15.75">
      <c r="A10" s="353"/>
    </row>
    <row r="11" ht="15.75">
      <c r="A11" s="353" t="s">
        <v>181</v>
      </c>
    </row>
    <row r="12" ht="15.75">
      <c r="A12" s="353" t="s">
        <v>182</v>
      </c>
    </row>
    <row r="13" ht="15.75">
      <c r="A13" s="353" t="s">
        <v>183</v>
      </c>
    </row>
    <row r="14" ht="15.75">
      <c r="A14" s="353"/>
    </row>
    <row r="15" ht="15.75">
      <c r="A15" s="354" t="s">
        <v>184</v>
      </c>
    </row>
    <row r="16" spans="1:7" ht="15.75">
      <c r="A16" s="352"/>
      <c r="B16" s="352"/>
      <c r="C16" s="352"/>
      <c r="D16" s="352"/>
      <c r="E16" s="352"/>
      <c r="F16" s="352"/>
      <c r="G16" s="352"/>
    </row>
    <row r="17" spans="1:8" ht="15.75">
      <c r="A17" s="359" t="s">
        <v>185</v>
      </c>
      <c r="B17" s="351"/>
      <c r="C17" s="351"/>
      <c r="D17" s="351"/>
      <c r="E17" s="351"/>
      <c r="F17" s="351"/>
      <c r="G17" s="351"/>
      <c r="H17" s="351"/>
    </row>
    <row r="18" spans="1:7" ht="15.75">
      <c r="A18" s="353" t="s">
        <v>186</v>
      </c>
      <c r="B18" s="360"/>
      <c r="C18" s="360"/>
      <c r="D18" s="360"/>
      <c r="E18" s="360"/>
      <c r="F18" s="360"/>
      <c r="G18" s="360"/>
    </row>
    <row r="19" ht="15.75">
      <c r="A19" s="353" t="s">
        <v>187</v>
      </c>
    </row>
    <row r="20" ht="15.75">
      <c r="A20" s="353" t="s">
        <v>188</v>
      </c>
    </row>
    <row r="22" ht="15.75">
      <c r="A22" s="354" t="s">
        <v>189</v>
      </c>
    </row>
    <row r="24" ht="15.75">
      <c r="A24" s="353" t="s">
        <v>190</v>
      </c>
    </row>
    <row r="25" ht="15.75">
      <c r="A25" s="353" t="s">
        <v>191</v>
      </c>
    </row>
    <row r="26" ht="15.75">
      <c r="A26" s="353" t="s">
        <v>192</v>
      </c>
    </row>
    <row r="28" ht="15.75">
      <c r="A28" s="354" t="s">
        <v>193</v>
      </c>
    </row>
    <row r="30" ht="15.75">
      <c r="A30" t="s">
        <v>194</v>
      </c>
    </row>
    <row r="31" ht="15.75">
      <c r="A31" t="s">
        <v>195</v>
      </c>
    </row>
    <row r="32" ht="15.75">
      <c r="A32" t="s">
        <v>196</v>
      </c>
    </row>
    <row r="33" ht="15.75">
      <c r="A33" s="353" t="s">
        <v>197</v>
      </c>
    </row>
    <row r="35" ht="15.75">
      <c r="A35" t="s">
        <v>198</v>
      </c>
    </row>
    <row r="36" ht="15.75">
      <c r="A36" t="s">
        <v>199</v>
      </c>
    </row>
    <row r="37" ht="15.75">
      <c r="A37" t="s">
        <v>200</v>
      </c>
    </row>
    <row r="38" ht="15.75">
      <c r="A38" t="s">
        <v>201</v>
      </c>
    </row>
    <row r="40" ht="15.75">
      <c r="A40" t="s">
        <v>202</v>
      </c>
    </row>
    <row r="41" ht="15.75">
      <c r="A41" t="s">
        <v>203</v>
      </c>
    </row>
    <row r="42" ht="15.75">
      <c r="A42" t="s">
        <v>204</v>
      </c>
    </row>
    <row r="43" ht="15.75">
      <c r="A43" t="s">
        <v>205</v>
      </c>
    </row>
    <row r="44" ht="15.75">
      <c r="A44" t="s">
        <v>206</v>
      </c>
    </row>
    <row r="45" ht="15.75">
      <c r="A45" t="s">
        <v>207</v>
      </c>
    </row>
    <row r="47" ht="15.75">
      <c r="A47" t="s">
        <v>208</v>
      </c>
    </row>
    <row r="48" ht="15.75">
      <c r="A48" t="s">
        <v>209</v>
      </c>
    </row>
    <row r="49" ht="15.75">
      <c r="A49" s="353" t="s">
        <v>210</v>
      </c>
    </row>
    <row r="50" ht="15.75">
      <c r="A50" s="353" t="s">
        <v>211</v>
      </c>
    </row>
    <row r="52" ht="15.75">
      <c r="A52" t="s">
        <v>61</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22">
      <selection activeCell="D44" sqref="D44"/>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Liberty Township</v>
      </c>
      <c r="B1" s="30"/>
      <c r="C1" s="30"/>
      <c r="D1" s="30"/>
      <c r="E1" s="30">
        <f>inputPrYr!D9</f>
        <v>2013</v>
      </c>
    </row>
    <row r="2" spans="1:5" ht="15.75">
      <c r="A2" s="42" t="str">
        <f>inputPrYr!D4</f>
        <v>Montgomery County</v>
      </c>
      <c r="B2" s="30"/>
      <c r="C2" s="30"/>
      <c r="D2" s="30"/>
      <c r="E2" s="30"/>
    </row>
    <row r="3" spans="1:5" ht="15.75">
      <c r="A3" s="30"/>
      <c r="B3" s="30"/>
      <c r="C3" s="30"/>
      <c r="D3" s="30"/>
      <c r="E3" s="30"/>
    </row>
    <row r="4" spans="1:5" ht="15.75">
      <c r="A4" s="477" t="s">
        <v>372</v>
      </c>
      <c r="B4" s="478"/>
      <c r="C4" s="478"/>
      <c r="D4" s="478"/>
      <c r="E4" s="478"/>
    </row>
    <row r="5" spans="1:5" ht="15.75">
      <c r="A5" s="30"/>
      <c r="B5" s="30"/>
      <c r="C5" s="30"/>
      <c r="D5" s="30"/>
      <c r="E5" s="30"/>
    </row>
    <row r="6" spans="1:5" ht="15.75">
      <c r="A6" s="481" t="str">
        <f>CONCATENATE("From the County Clerks Budget Information for ",E1,":")</f>
        <v>From the County Clerks Budget Information for 2013:</v>
      </c>
      <c r="B6" s="482"/>
      <c r="C6" s="482"/>
      <c r="D6" s="482"/>
      <c r="E6" s="482"/>
    </row>
    <row r="7" spans="1:5" ht="15.75">
      <c r="A7" s="56" t="str">
        <f>CONCATENATE("Assessed Valuation for ",E1-1,":")</f>
        <v>Assessed Valuation for 2012:</v>
      </c>
      <c r="B7" s="10"/>
      <c r="C7" s="10"/>
      <c r="D7" s="10"/>
      <c r="E7" s="36"/>
    </row>
    <row r="8" spans="1:5" ht="15.75">
      <c r="A8" s="13" t="s">
        <v>412</v>
      </c>
      <c r="B8" s="14"/>
      <c r="C8" s="14"/>
      <c r="D8" s="14"/>
      <c r="E8" s="35">
        <v>7389558</v>
      </c>
    </row>
    <row r="9" spans="1:5" ht="15.75">
      <c r="A9" s="15" t="str">
        <f>inputPrYr!$D$6</f>
        <v>Liberty City</v>
      </c>
      <c r="B9" s="16"/>
      <c r="C9" s="16"/>
      <c r="D9" s="16"/>
      <c r="E9" s="35">
        <v>461857</v>
      </c>
    </row>
    <row r="10" spans="1:5" ht="15.75">
      <c r="A10" s="15">
        <f>inputPrYr!$D$7</f>
        <v>0</v>
      </c>
      <c r="B10" s="16"/>
      <c r="C10" s="16"/>
      <c r="D10" s="16"/>
      <c r="E10" s="35"/>
    </row>
    <row r="11" spans="1:5" ht="15.75">
      <c r="A11" s="15" t="str">
        <f>CONCATENATE("Total Assessed Valuation for ",$E$1-1,"")</f>
        <v>Total Assessed Valuation for 2012</v>
      </c>
      <c r="B11" s="16"/>
      <c r="C11" s="16"/>
      <c r="D11" s="16"/>
      <c r="E11" s="54">
        <f>SUM(E8:E10)</f>
        <v>7851415</v>
      </c>
    </row>
    <row r="12" spans="1:5" ht="15.75">
      <c r="A12" s="55" t="str">
        <f>CONCATENATE("New Improvements for ",E1-1,":")</f>
        <v>New Improvements for 2012:</v>
      </c>
      <c r="B12" s="10"/>
      <c r="C12" s="10"/>
      <c r="D12" s="10"/>
      <c r="E12" s="34"/>
    </row>
    <row r="13" spans="1:5" ht="15.75">
      <c r="A13" s="13" t="s">
        <v>412</v>
      </c>
      <c r="B13" s="14"/>
      <c r="C13" s="14"/>
      <c r="D13" s="14"/>
      <c r="E13" s="53">
        <v>38395</v>
      </c>
    </row>
    <row r="14" spans="1:5" ht="15.75">
      <c r="A14" s="15" t="str">
        <f>inputPrYr!$D$6</f>
        <v>Liberty City</v>
      </c>
      <c r="B14" s="14"/>
      <c r="C14" s="14"/>
      <c r="D14" s="14"/>
      <c r="E14" s="3">
        <v>17356</v>
      </c>
    </row>
    <row r="15" spans="1:5" ht="15.75">
      <c r="A15" s="15">
        <f>inputPrYr!$D$7</f>
        <v>0</v>
      </c>
      <c r="B15" s="14"/>
      <c r="C15" s="14"/>
      <c r="D15" s="14"/>
      <c r="E15" s="3"/>
    </row>
    <row r="16" spans="1:5" ht="15.75">
      <c r="A16" s="15" t="str">
        <f>CONCATENATE("Total New Improvements for ",$E$1-1,"")</f>
        <v>Total New Improvements for 2012</v>
      </c>
      <c r="B16" s="16"/>
      <c r="C16" s="16"/>
      <c r="D16" s="16"/>
      <c r="E16" s="52">
        <f>SUM(E13:E15)</f>
        <v>55751</v>
      </c>
    </row>
    <row r="17" spans="1:5" ht="15.75">
      <c r="A17" s="55" t="str">
        <f>CONCATENATE("Personal Property excluding oil, gas, and mobile homes- ",E1-1,":")</f>
        <v>Personal Property excluding oil, gas, and mobile homes- 2012:</v>
      </c>
      <c r="B17" s="10"/>
      <c r="C17" s="10"/>
      <c r="D17" s="10"/>
      <c r="E17" s="34"/>
    </row>
    <row r="18" spans="1:5" ht="15.75">
      <c r="A18" s="13" t="s">
        <v>412</v>
      </c>
      <c r="B18" s="14"/>
      <c r="C18" s="14"/>
      <c r="D18" s="14"/>
      <c r="E18" s="53">
        <v>86009</v>
      </c>
    </row>
    <row r="19" spans="1:5" ht="15.75">
      <c r="A19" s="15" t="str">
        <f>inputPrYr!$D$6</f>
        <v>Liberty City</v>
      </c>
      <c r="B19" s="16"/>
      <c r="C19" s="16"/>
      <c r="D19" s="16"/>
      <c r="E19" s="3">
        <v>3724</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2012</v>
      </c>
      <c r="B21" s="16"/>
      <c r="C21" s="16"/>
      <c r="D21" s="16"/>
      <c r="E21" s="52">
        <f>SUM(E18:E20)</f>
        <v>89733</v>
      </c>
    </row>
    <row r="22" spans="1:5" ht="15.75">
      <c r="A22" s="55" t="str">
        <f>CONCATENATE("Property that has changed in use for ",E1-1,":")</f>
        <v>Property that has changed in use for 2012:</v>
      </c>
      <c r="B22" s="10"/>
      <c r="C22" s="10"/>
      <c r="D22" s="10"/>
      <c r="E22" s="34"/>
    </row>
    <row r="23" spans="1:5" ht="15.75">
      <c r="A23" s="13" t="s">
        <v>412</v>
      </c>
      <c r="B23" s="14"/>
      <c r="C23" s="14"/>
      <c r="D23" s="14"/>
      <c r="E23" s="53">
        <v>0</v>
      </c>
    </row>
    <row r="24" spans="1:5" ht="15.75">
      <c r="A24" s="15" t="str">
        <f>inputPrYr!$D$6</f>
        <v>Liberty City</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2012</v>
      </c>
      <c r="B26" s="16"/>
      <c r="C26" s="16"/>
      <c r="D26" s="16"/>
      <c r="E26" s="52">
        <f>SUM(E23:E25)</f>
        <v>0</v>
      </c>
    </row>
    <row r="27" spans="1:5" ht="15.75">
      <c r="A27" s="55" t="str">
        <f>CONCATENATE("Personal Property excluding oil, gas, and mobile homes- ",E1-2,":")</f>
        <v>Personal Property excluding oil, gas, and mobile homes- 2011:</v>
      </c>
      <c r="B27" s="10"/>
      <c r="C27" s="10"/>
      <c r="D27" s="10"/>
      <c r="E27" s="34"/>
    </row>
    <row r="28" spans="1:5" ht="15.75">
      <c r="A28" s="13" t="s">
        <v>412</v>
      </c>
      <c r="B28" s="14"/>
      <c r="C28" s="14"/>
      <c r="D28" s="14"/>
      <c r="E28" s="53">
        <v>104167</v>
      </c>
    </row>
    <row r="29" spans="1:5" ht="15.75">
      <c r="A29" s="15" t="str">
        <f>inputPrYr!$D$6</f>
        <v>Liberty City</v>
      </c>
      <c r="B29" s="16"/>
      <c r="C29" s="16"/>
      <c r="D29" s="16"/>
      <c r="E29" s="3">
        <v>6395</v>
      </c>
    </row>
    <row r="30" spans="1:5" ht="15.75">
      <c r="A30" s="15">
        <f>inputPrYr!$D$7</f>
        <v>0</v>
      </c>
      <c r="B30" s="16"/>
      <c r="C30" s="16"/>
      <c r="D30" s="16"/>
      <c r="E30" s="3">
        <v>0</v>
      </c>
    </row>
    <row r="31" spans="1:5" ht="15.75">
      <c r="A31" s="15" t="str">
        <f>CONCATENATE("Total Personal Property excluding oil, gas, and mobile homes for ",$E$1-2,"")</f>
        <v>Total Personal Property excluding oil, gas, and mobile homes for 2011</v>
      </c>
      <c r="B31" s="16"/>
      <c r="C31" s="16"/>
      <c r="D31" s="16"/>
      <c r="E31" s="52">
        <f>SUM(E28:E30)</f>
        <v>110562</v>
      </c>
    </row>
    <row r="32" spans="1:5" ht="15.75">
      <c r="A32" s="15" t="str">
        <f>CONCATENATE("Gross earnings (intangible) tax estimate for ",E1,"")</f>
        <v>Gross earnings (intangible) tax estimate for 2013</v>
      </c>
      <c r="B32" s="16"/>
      <c r="C32" s="16"/>
      <c r="D32" s="16"/>
      <c r="E32" s="3">
        <v>0</v>
      </c>
    </row>
    <row r="33" spans="1:5" ht="15.75">
      <c r="A33" s="15" t="str">
        <f>CONCATENATE("Neighborhood Revitalization for ",E1,"")</f>
        <v>Neighborhood Revitalization for 2013</v>
      </c>
      <c r="B33" s="16"/>
      <c r="C33" s="16"/>
      <c r="D33" s="16"/>
      <c r="E33" s="3">
        <v>0</v>
      </c>
    </row>
    <row r="34" spans="1:5" ht="15.75">
      <c r="A34" s="6"/>
      <c r="B34" s="10"/>
      <c r="C34" s="10"/>
      <c r="D34" s="10"/>
      <c r="E34" s="34"/>
    </row>
    <row r="35" spans="1:5" ht="15.75">
      <c r="A35" s="55" t="str">
        <f>CONCATENATE("Actual Tax Rates for the ",E1-1," Budget:")</f>
        <v>Actual Tax Rates for the 2012 Budget:</v>
      </c>
      <c r="B35" s="10"/>
      <c r="C35" s="10"/>
      <c r="D35" s="10"/>
      <c r="E35" s="36"/>
    </row>
    <row r="36" spans="1:5" ht="15.75">
      <c r="A36" s="479" t="s">
        <v>464</v>
      </c>
      <c r="B36" s="480"/>
      <c r="C36" s="30"/>
      <c r="D36" s="37" t="s">
        <v>476</v>
      </c>
      <c r="E36" s="36"/>
    </row>
    <row r="37" spans="1:5" ht="15.75">
      <c r="A37" s="13" t="str">
        <f>inputPrYr!B20</f>
        <v>General</v>
      </c>
      <c r="B37" s="14"/>
      <c r="C37" s="10"/>
      <c r="D37" s="49">
        <v>0.365</v>
      </c>
      <c r="E37" s="36"/>
    </row>
    <row r="38" spans="1:5" ht="15.75">
      <c r="A38" s="13" t="str">
        <f>inputPrYr!B21</f>
        <v>Debt Service</v>
      </c>
      <c r="B38" s="16"/>
      <c r="C38" s="10"/>
      <c r="D38" s="50"/>
      <c r="E38" s="36"/>
    </row>
    <row r="39" spans="1:5" ht="15.75">
      <c r="A39" s="13" t="str">
        <f>inputPrYr!B22</f>
        <v>Road</v>
      </c>
      <c r="B39" s="16"/>
      <c r="C39" s="10"/>
      <c r="D39" s="50"/>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t="str">
        <f>inputPrYr!B26</f>
        <v>Hall</v>
      </c>
      <c r="B43" s="16"/>
      <c r="C43" s="10"/>
      <c r="D43" s="51">
        <v>0</v>
      </c>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454</v>
      </c>
      <c r="C48" s="10"/>
      <c r="D48" s="43">
        <f>SUM(D37:D47)</f>
        <v>0.365</v>
      </c>
      <c r="E48" s="5"/>
    </row>
    <row r="49" spans="1:5" ht="15.75">
      <c r="A49" s="5"/>
      <c r="B49" s="5"/>
      <c r="C49" s="5"/>
      <c r="D49" s="5"/>
      <c r="E49" s="5"/>
    </row>
    <row r="50" spans="1:5" ht="15.75">
      <c r="A50" s="48" t="str">
        <f>CONCATENATE("Final Assessed Valuation from the November 1, ",E1-2," Abstract:")</f>
        <v>Final Assessed Valuation from the November 1, 2011 Abstract:</v>
      </c>
      <c r="B50" s="10"/>
      <c r="C50" s="10"/>
      <c r="D50" s="10"/>
      <c r="E50" s="9"/>
    </row>
    <row r="51" spans="1:5" ht="15.75">
      <c r="A51" s="14" t="s">
        <v>412</v>
      </c>
      <c r="B51" s="14"/>
      <c r="C51" s="14"/>
      <c r="D51" s="14"/>
      <c r="E51" s="4">
        <v>7125361</v>
      </c>
    </row>
    <row r="52" spans="1:5" ht="15.75">
      <c r="A52" s="16" t="str">
        <f>inputPrYr!D6</f>
        <v>Liberty City</v>
      </c>
      <c r="B52" s="16"/>
      <c r="C52" s="16"/>
      <c r="D52" s="20"/>
      <c r="E52" s="4">
        <v>432116</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2011 Abstract:</v>
      </c>
      <c r="B54" s="16"/>
      <c r="C54" s="16"/>
      <c r="D54" s="20"/>
      <c r="E54" s="47">
        <f>SUM(E51:E53)</f>
        <v>7557477</v>
      </c>
    </row>
    <row r="55" spans="1:5" ht="15.75">
      <c r="A55" s="5"/>
      <c r="B55" s="5"/>
      <c r="C55" s="5"/>
      <c r="D55" s="5"/>
      <c r="E55" s="5"/>
    </row>
    <row r="56" spans="1:5" ht="15.75">
      <c r="A56" s="18" t="str">
        <f>CONCATENATE("From the County Treasurer's Budget Information - ",E1," Budget Year Estimates:")</f>
        <v>From the County Treasurer's Budget Information - 2013 Budget Year Estimates:</v>
      </c>
      <c r="B56" s="19"/>
      <c r="C56" s="19"/>
      <c r="D56" s="38"/>
      <c r="E56" s="57"/>
    </row>
    <row r="57" spans="1:5" ht="15.75">
      <c r="A57" s="44" t="s">
        <v>404</v>
      </c>
      <c r="B57" s="14"/>
      <c r="C57" s="14"/>
      <c r="D57" s="8"/>
      <c r="E57" s="7"/>
    </row>
    <row r="58" spans="1:5" ht="15.75">
      <c r="A58" s="13" t="s">
        <v>373</v>
      </c>
      <c r="B58" s="14"/>
      <c r="C58" s="14"/>
      <c r="D58" s="39"/>
      <c r="E58" s="2">
        <v>235</v>
      </c>
    </row>
    <row r="59" spans="1:5" ht="15.75">
      <c r="A59" s="15" t="s">
        <v>455</v>
      </c>
      <c r="B59" s="16"/>
      <c r="C59" s="16"/>
      <c r="D59" s="40"/>
      <c r="E59" s="2">
        <v>4</v>
      </c>
    </row>
    <row r="60" spans="1:5" ht="15.75">
      <c r="A60" s="15" t="s">
        <v>374</v>
      </c>
      <c r="B60" s="16"/>
      <c r="C60" s="16"/>
      <c r="D60" s="40"/>
      <c r="E60" s="2">
        <v>10</v>
      </c>
    </row>
    <row r="61" spans="1:5" ht="15.75">
      <c r="A61" s="45" t="s">
        <v>408</v>
      </c>
      <c r="B61" s="46"/>
      <c r="C61" s="16"/>
      <c r="D61" s="40"/>
      <c r="E61" s="31"/>
    </row>
    <row r="62" spans="1:5" ht="15.75">
      <c r="A62" s="13" t="s">
        <v>405</v>
      </c>
      <c r="B62" s="16"/>
      <c r="C62" s="16"/>
      <c r="D62" s="40"/>
      <c r="E62" s="2"/>
    </row>
    <row r="63" spans="1:5" ht="15.75">
      <c r="A63" s="15" t="s">
        <v>406</v>
      </c>
      <c r="B63" s="16"/>
      <c r="C63" s="16"/>
      <c r="D63" s="40"/>
      <c r="E63" s="2"/>
    </row>
    <row r="64" spans="1:5" ht="15.75">
      <c r="A64" s="15" t="s">
        <v>407</v>
      </c>
      <c r="B64" s="16"/>
      <c r="C64" s="16"/>
      <c r="D64" s="40"/>
      <c r="E64" s="2"/>
    </row>
    <row r="65" spans="1:5" ht="15.75">
      <c r="A65" s="45" t="s">
        <v>409</v>
      </c>
      <c r="B65" s="46"/>
      <c r="C65" s="16"/>
      <c r="D65" s="40"/>
      <c r="E65" s="31"/>
    </row>
    <row r="66" spans="1:5" ht="15.75">
      <c r="A66" s="13" t="s">
        <v>405</v>
      </c>
      <c r="B66" s="16"/>
      <c r="C66" s="16"/>
      <c r="D66" s="40"/>
      <c r="E66" s="2"/>
    </row>
    <row r="67" spans="1:5" ht="15.75">
      <c r="A67" s="15" t="s">
        <v>406</v>
      </c>
      <c r="B67" s="16"/>
      <c r="C67" s="16"/>
      <c r="D67" s="40"/>
      <c r="E67" s="2"/>
    </row>
    <row r="68" spans="1:5" ht="15.75">
      <c r="A68" s="15" t="s">
        <v>407</v>
      </c>
      <c r="B68" s="16"/>
      <c r="C68" s="16"/>
      <c r="D68" s="40"/>
      <c r="E68" s="2"/>
    </row>
    <row r="69" spans="1:5" ht="15.75">
      <c r="A69" s="15"/>
      <c r="B69" s="16"/>
      <c r="C69" s="16"/>
      <c r="D69" s="40"/>
      <c r="E69" s="31"/>
    </row>
    <row r="70" spans="1:5" ht="15.75">
      <c r="A70" s="15" t="s">
        <v>375</v>
      </c>
      <c r="B70" s="16"/>
      <c r="C70" s="16"/>
      <c r="D70" s="40"/>
      <c r="E70" s="2"/>
    </row>
    <row r="71" spans="1:5" ht="15.75">
      <c r="A71" s="15" t="s">
        <v>376</v>
      </c>
      <c r="B71" s="16"/>
      <c r="C71" s="16"/>
      <c r="D71" s="40"/>
      <c r="E71" s="2"/>
    </row>
    <row r="72" spans="1:5" ht="15.75">
      <c r="A72" s="15" t="s">
        <v>317</v>
      </c>
      <c r="B72" s="14"/>
      <c r="C72" s="14"/>
      <c r="D72" s="39"/>
      <c r="E72" s="2"/>
    </row>
    <row r="73" spans="1:5" ht="33" customHeight="1">
      <c r="A73" s="483" t="s">
        <v>410</v>
      </c>
      <c r="B73" s="484"/>
      <c r="C73" s="484"/>
      <c r="D73" s="484"/>
      <c r="E73" s="484"/>
    </row>
    <row r="74" spans="1:5" ht="15.75">
      <c r="A74" s="5"/>
      <c r="B74" s="5"/>
      <c r="C74" s="5"/>
      <c r="D74" s="5"/>
      <c r="E74" s="5"/>
    </row>
    <row r="75" spans="1:5" ht="15.75">
      <c r="A75" s="12" t="s">
        <v>377</v>
      </c>
      <c r="B75" s="11"/>
      <c r="C75" s="11"/>
      <c r="D75" s="5"/>
      <c r="E75" s="5"/>
    </row>
    <row r="76" spans="1:5" ht="15.75">
      <c r="A76" s="17" t="str">
        <f>CONCATENATE("Actual Delinquency for ",E1-3," Tax (round to three decimal places)")</f>
        <v>Actual Delinquency for 2010 Tax (round to three decimal places)</v>
      </c>
      <c r="B76" s="10"/>
      <c r="C76" s="5"/>
      <c r="D76" s="5"/>
      <c r="E76" s="41"/>
    </row>
    <row r="77" spans="1:5" ht="15.75">
      <c r="A77" s="17" t="s">
        <v>411</v>
      </c>
      <c r="B77" s="17"/>
      <c r="C77" s="10"/>
      <c r="D77" s="10"/>
      <c r="E77" s="384"/>
    </row>
    <row r="78" spans="1:5" ht="34.5" customHeight="1">
      <c r="A78" s="475" t="s">
        <v>378</v>
      </c>
      <c r="B78" s="476"/>
      <c r="C78" s="476"/>
      <c r="D78" s="476"/>
      <c r="E78" s="476"/>
    </row>
    <row r="79" spans="1:5" ht="15.75">
      <c r="A79" s="33"/>
      <c r="B79" s="33"/>
      <c r="C79" s="33"/>
      <c r="D79" s="33"/>
      <c r="E79" s="33"/>
    </row>
    <row r="80" spans="1:5" ht="15.75">
      <c r="A80" s="471" t="str">
        <f>CONCATENATE("From the ",E1-2," Budget Certificate Page")</f>
        <v>From the 2011 Budget Certificate Page</v>
      </c>
      <c r="B80" s="472"/>
      <c r="C80" s="33"/>
      <c r="D80" s="33"/>
      <c r="E80" s="33"/>
    </row>
    <row r="81" spans="1:5" ht="15.75">
      <c r="A81" s="58"/>
      <c r="B81" s="58" t="str">
        <f>CONCATENATE("",E1-2," Expenditure Amounts")</f>
        <v>2011 Expenditure Amounts</v>
      </c>
      <c r="C81" s="473" t="str">
        <f>CONCATENATE("Note: If the ",E1-2," budget was amended, then the")</f>
        <v>Note: If the 2011 budget was amended, then the</v>
      </c>
      <c r="D81" s="474"/>
      <c r="E81" s="474"/>
    </row>
    <row r="82" spans="1:5" ht="15.75">
      <c r="A82" s="59" t="s">
        <v>422</v>
      </c>
      <c r="B82" s="59" t="s">
        <v>423</v>
      </c>
      <c r="C82" s="60" t="s">
        <v>424</v>
      </c>
      <c r="D82" s="61"/>
      <c r="E82" s="61"/>
    </row>
    <row r="83" spans="1:5" ht="15.75">
      <c r="A83" s="62" t="str">
        <f>inputPrYr!B20</f>
        <v>General</v>
      </c>
      <c r="B83" s="4">
        <v>2660</v>
      </c>
      <c r="C83" s="60" t="s">
        <v>425</v>
      </c>
      <c r="D83" s="63"/>
      <c r="E83" s="63"/>
    </row>
    <row r="84" spans="1:5" ht="15.75">
      <c r="A84" s="62" t="str">
        <f>inputPrYr!B21</f>
        <v>Debt Service</v>
      </c>
      <c r="B84" s="4"/>
      <c r="C84" s="60"/>
      <c r="D84" s="63"/>
      <c r="E84" s="63"/>
    </row>
    <row r="85" spans="1:5" ht="15.75">
      <c r="A85" s="62" t="str">
        <f>inputPrYr!B22</f>
        <v>Road</v>
      </c>
      <c r="B85" s="4"/>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t="str">
        <f>inputPrYr!B26</f>
        <v>Hall</v>
      </c>
      <c r="B89" s="4">
        <v>19500</v>
      </c>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0" sqref="B10"/>
    </sheetView>
  </sheetViews>
  <sheetFormatPr defaultColWidth="8.796875" defaultRowHeight="15.75"/>
  <cols>
    <col min="1" max="1" width="13.69921875" style="343" customWidth="1"/>
    <col min="2" max="2" width="16" style="343" bestFit="1" customWidth="1"/>
    <col min="3" max="16384" width="8.796875" style="343" customWidth="1"/>
  </cols>
  <sheetData>
    <row r="2" spans="1:6" ht="31.5" customHeight="1">
      <c r="A2" s="485" t="s">
        <v>553</v>
      </c>
      <c r="B2" s="486"/>
      <c r="C2" s="486"/>
      <c r="D2" s="486"/>
      <c r="E2" s="486"/>
      <c r="F2" s="486"/>
    </row>
    <row r="4" ht="15.75">
      <c r="D4" s="344"/>
    </row>
    <row r="5" spans="1:4" ht="15.75">
      <c r="A5" s="188" t="s">
        <v>548</v>
      </c>
      <c r="B5" s="345" t="s">
        <v>598</v>
      </c>
      <c r="C5" s="346"/>
      <c r="D5" s="188" t="s">
        <v>10</v>
      </c>
    </row>
    <row r="6" spans="1:4" ht="15.75">
      <c r="A6" s="188"/>
      <c r="B6" s="347"/>
      <c r="C6" s="348"/>
      <c r="D6" s="188" t="s">
        <v>9</v>
      </c>
    </row>
    <row r="7" spans="1:4" ht="15.75">
      <c r="A7" s="188" t="s">
        <v>549</v>
      </c>
      <c r="B7" s="345" t="s">
        <v>599</v>
      </c>
      <c r="C7" s="349"/>
      <c r="D7" s="188"/>
    </row>
    <row r="8" spans="1:4" ht="15.75">
      <c r="A8" s="188"/>
      <c r="B8" s="188"/>
      <c r="C8" s="188"/>
      <c r="D8" s="188"/>
    </row>
    <row r="9" spans="1:5" ht="15.75">
      <c r="A9" s="188" t="s">
        <v>550</v>
      </c>
      <c r="B9" s="126" t="s">
        <v>600</v>
      </c>
      <c r="C9" s="126"/>
      <c r="D9" s="126"/>
      <c r="E9" s="350"/>
    </row>
    <row r="10" spans="1:4" ht="15.75">
      <c r="A10" s="188"/>
      <c r="B10" s="188"/>
      <c r="C10" s="188"/>
      <c r="D10" s="188"/>
    </row>
    <row r="11" spans="1:4" ht="15.75">
      <c r="A11" s="188"/>
      <c r="B11" s="188"/>
      <c r="C11" s="188"/>
      <c r="D11" s="188"/>
    </row>
    <row r="12" spans="1:5" ht="15.75">
      <c r="A12" s="188" t="s">
        <v>551</v>
      </c>
      <c r="B12" s="126" t="s">
        <v>586</v>
      </c>
      <c r="C12" s="126"/>
      <c r="D12" s="126"/>
      <c r="E12" s="350"/>
    </row>
    <row r="15" spans="1:5" ht="15.75">
      <c r="A15" s="487" t="s">
        <v>554</v>
      </c>
      <c r="B15" s="487"/>
      <c r="C15" s="188"/>
      <c r="D15" s="188"/>
      <c r="E15" s="188"/>
    </row>
    <row r="16" spans="1:5" ht="15.75">
      <c r="A16" s="188"/>
      <c r="B16" s="188"/>
      <c r="C16" s="188"/>
      <c r="D16" s="188"/>
      <c r="E16" s="188"/>
    </row>
    <row r="17" spans="1:5" ht="15.75">
      <c r="A17" s="188" t="s">
        <v>548</v>
      </c>
      <c r="B17" s="347" t="s">
        <v>552</v>
      </c>
      <c r="C17" s="188"/>
      <c r="D17" s="188"/>
      <c r="E17" s="188"/>
    </row>
    <row r="18" spans="1:5" ht="15.75">
      <c r="A18" s="188"/>
      <c r="B18" s="188"/>
      <c r="C18" s="188"/>
      <c r="D18" s="188"/>
      <c r="E18" s="188"/>
    </row>
    <row r="19" spans="1:5" ht="15.75">
      <c r="A19" s="188" t="s">
        <v>549</v>
      </c>
      <c r="B19" s="188" t="s">
        <v>555</v>
      </c>
      <c r="C19" s="188"/>
      <c r="D19" s="188"/>
      <c r="E19" s="188"/>
    </row>
    <row r="20" spans="1:5" ht="15.75">
      <c r="A20" s="188"/>
      <c r="B20" s="188"/>
      <c r="C20" s="188"/>
      <c r="D20" s="188"/>
      <c r="E20" s="188"/>
    </row>
    <row r="21" spans="1:5" ht="15.75">
      <c r="A21" s="188" t="s">
        <v>550</v>
      </c>
      <c r="B21" s="188" t="s">
        <v>556</v>
      </c>
      <c r="C21" s="188"/>
      <c r="D21" s="188"/>
      <c r="E21" s="188"/>
    </row>
    <row r="22" spans="1:5" ht="15.75">
      <c r="A22" s="188"/>
      <c r="B22" s="188"/>
      <c r="C22" s="188"/>
      <c r="D22" s="188"/>
      <c r="E22" s="188"/>
    </row>
    <row r="23" spans="1:5" ht="15.75">
      <c r="A23" s="188" t="s">
        <v>551</v>
      </c>
      <c r="B23" s="188" t="s">
        <v>557</v>
      </c>
      <c r="C23" s="188"/>
      <c r="D23" s="188"/>
      <c r="E23" s="18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16">
      <selection activeCell="F27" sqref="F27:F30"/>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499" t="s">
        <v>287</v>
      </c>
      <c r="B1" s="499"/>
      <c r="C1" s="499"/>
      <c r="D1" s="499"/>
      <c r="E1" s="499"/>
      <c r="F1" s="499"/>
      <c r="G1" s="66">
        <f>inputPrYr!D9</f>
        <v>2013</v>
      </c>
    </row>
    <row r="2" spans="2:6" s="66" customFormat="1" ht="15.75">
      <c r="B2" s="67"/>
      <c r="C2" s="67"/>
      <c r="D2" s="67"/>
      <c r="E2" s="67"/>
      <c r="F2" s="68"/>
    </row>
    <row r="3" spans="1:7" s="66" customFormat="1" ht="15.75">
      <c r="A3" s="503" t="str">
        <f>CONCATENATE("To the Clerk of ",inputPrYr!D4,", State of Kansas")</f>
        <v>To the Clerk of Montgomery County, State of Kansas</v>
      </c>
      <c r="B3" s="504"/>
      <c r="C3" s="504"/>
      <c r="D3" s="504"/>
      <c r="E3" s="504"/>
      <c r="F3" s="504"/>
      <c r="G3" s="504"/>
    </row>
    <row r="4" spans="1:6" s="66" customFormat="1" ht="15.75">
      <c r="A4" s="70" t="s">
        <v>365</v>
      </c>
      <c r="B4" s="67"/>
      <c r="C4" s="67"/>
      <c r="D4" s="67"/>
      <c r="E4" s="67"/>
      <c r="F4" s="67"/>
    </row>
    <row r="5" s="66" customFormat="1" ht="15.75">
      <c r="C5" s="460" t="str">
        <f>inputPrYr!D3</f>
        <v>Liberty Township</v>
      </c>
    </row>
    <row r="6" spans="1:6" s="66" customFormat="1" ht="15.75">
      <c r="A6" s="508" t="s">
        <v>363</v>
      </c>
      <c r="B6" s="504"/>
      <c r="C6" s="504"/>
      <c r="D6" s="504"/>
      <c r="E6" s="504"/>
      <c r="F6" s="504"/>
    </row>
    <row r="7" spans="1:6" s="66" customFormat="1" ht="15.75" customHeight="1">
      <c r="A7" s="503" t="s">
        <v>364</v>
      </c>
      <c r="B7" s="509"/>
      <c r="C7" s="509"/>
      <c r="D7" s="509"/>
      <c r="E7" s="509"/>
      <c r="F7" s="509"/>
    </row>
    <row r="8" spans="1:6" s="66" customFormat="1" ht="15.75" customHeight="1">
      <c r="A8" s="70" t="str">
        <f>CONCATENATE("maximum expenditures for the various funds for the year ",G1,"; and (3) the")</f>
        <v>maximum expenditures for the various funds for the year 2013; and (3) the</v>
      </c>
      <c r="B8" s="67"/>
      <c r="C8" s="67"/>
      <c r="D8" s="67"/>
      <c r="E8" s="67"/>
      <c r="F8" s="67"/>
    </row>
    <row r="9" spans="1:6" s="66" customFormat="1" ht="15.75" customHeight="1">
      <c r="A9" s="70" t="str">
        <f>CONCATENATE("Amount(s) of ",G1-1," Ad Valorem Tax are within statutory limitations for the ",G1," Budget.")</f>
        <v>Amount(s) of 2012 Ad Valorem Tax are within statutory limitations for the 2013 Budget.</v>
      </c>
      <c r="B9" s="67"/>
      <c r="C9" s="67"/>
      <c r="D9" s="67"/>
      <c r="E9" s="67"/>
      <c r="F9" s="67"/>
    </row>
    <row r="10" spans="4:6" s="66" customFormat="1" ht="15.75" customHeight="1">
      <c r="D10" s="72"/>
      <c r="E10" s="72"/>
      <c r="F10" s="72"/>
    </row>
    <row r="11" spans="3:6" s="66" customFormat="1" ht="15.75">
      <c r="C11" s="73"/>
      <c r="D11" s="505" t="str">
        <f>CONCATENATE("",G1," Adopted Budget")</f>
        <v>2013 Adopted Budget</v>
      </c>
      <c r="E11" s="506"/>
      <c r="F11" s="507"/>
    </row>
    <row r="12" spans="1:6" s="66" customFormat="1" ht="15.75">
      <c r="A12" s="74"/>
      <c r="C12" s="72"/>
      <c r="D12" s="75" t="s">
        <v>456</v>
      </c>
      <c r="E12" s="500" t="str">
        <f>CONCATENATE("Amount of ",G1-1," Ad Valorem Tax")</f>
        <v>Amount of 2012 Ad Valorem Tax</v>
      </c>
      <c r="F12" s="76" t="s">
        <v>457</v>
      </c>
    </row>
    <row r="13" spans="3:6" s="66" customFormat="1" ht="15.75">
      <c r="C13" s="76" t="s">
        <v>458</v>
      </c>
      <c r="D13" s="389" t="s">
        <v>423</v>
      </c>
      <c r="E13" s="501"/>
      <c r="F13" s="78" t="s">
        <v>459</v>
      </c>
    </row>
    <row r="14" spans="1:6" s="66" customFormat="1" ht="15.75">
      <c r="A14" s="79" t="s">
        <v>460</v>
      </c>
      <c r="B14" s="80"/>
      <c r="C14" s="81" t="s">
        <v>461</v>
      </c>
      <c r="D14" s="390" t="s">
        <v>225</v>
      </c>
      <c r="E14" s="502"/>
      <c r="F14" s="81" t="s">
        <v>463</v>
      </c>
    </row>
    <row r="15" spans="1:6" s="66" customFormat="1" ht="15.75">
      <c r="A15" s="82" t="str">
        <f>CONCATENATE("Computation to Determine Limit for ",G1,"")</f>
        <v>Computation to Determine Limit for 2013</v>
      </c>
      <c r="B15" s="83"/>
      <c r="C15" s="76">
        <v>2</v>
      </c>
      <c r="D15" s="73"/>
      <c r="E15" s="73"/>
      <c r="F15" s="84"/>
    </row>
    <row r="16" spans="1:6" s="66" customFormat="1" ht="15.75">
      <c r="A16" s="82" t="s">
        <v>421</v>
      </c>
      <c r="B16" s="83"/>
      <c r="C16" s="85">
        <v>3</v>
      </c>
      <c r="D16" s="73"/>
      <c r="E16" s="73"/>
      <c r="F16" s="86"/>
    </row>
    <row r="17" spans="1:6" s="66" customFormat="1" ht="15.75">
      <c r="A17" s="87" t="s">
        <v>382</v>
      </c>
      <c r="B17" s="83"/>
      <c r="C17" s="85">
        <v>4</v>
      </c>
      <c r="D17" s="73"/>
      <c r="E17" s="73"/>
      <c r="F17" s="86"/>
    </row>
    <row r="18" spans="1:6" s="66" customFormat="1" ht="15.75">
      <c r="A18" s="87" t="s">
        <v>355</v>
      </c>
      <c r="B18" s="83"/>
      <c r="C18" s="85">
        <v>5</v>
      </c>
      <c r="D18" s="73"/>
      <c r="E18" s="73"/>
      <c r="F18" s="86"/>
    </row>
    <row r="19" spans="1:6" s="66" customFormat="1" ht="15.75">
      <c r="A19" s="88" t="s">
        <v>464</v>
      </c>
      <c r="B19" s="89" t="s">
        <v>465</v>
      </c>
      <c r="C19" s="90"/>
      <c r="F19" s="91"/>
    </row>
    <row r="20" spans="1:6" s="66" customFormat="1" ht="15.75">
      <c r="A20" s="92" t="str">
        <f>inputPrYr!B20</f>
        <v>General</v>
      </c>
      <c r="B20" s="93" t="str">
        <f>inputPrYr!C20</f>
        <v>79-1962</v>
      </c>
      <c r="C20" s="94">
        <f>IF(gen!C57&gt;0,gen!C57,"  ")</f>
        <v>6</v>
      </c>
      <c r="D20" s="85">
        <f>IF(gen!$E$46&lt;&gt;0,gen!$E$46,"  ")</f>
        <v>5160</v>
      </c>
      <c r="E20" s="85">
        <f>IF(gen!$E$53&lt;&gt;0,gen!$E$53,0)</f>
        <v>1736</v>
      </c>
      <c r="F20" s="95" t="str">
        <f>IF(AND(gen!E53=0,$B$45&gt;=0)," ",IF(AND(E20&gt;0,$B$45=0)," ",IF(AND(E20&gt;0,$B$45&gt;0),ROUND(E20/$B$45*1000,3))))</f>
        <v> </v>
      </c>
    </row>
    <row r="21" spans="1:6" s="66" customFormat="1" ht="15.75">
      <c r="A21" s="92" t="s">
        <v>513</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c r="D22" s="85"/>
      <c r="E22" s="85"/>
      <c r="F22" s="95"/>
    </row>
    <row r="23" spans="1:6" s="66" customFormat="1" ht="15.75">
      <c r="A23" s="92" t="str">
        <f>IF(inputPrYr!$B23&gt;"  ",inputPrYr!$B23,"  ")</f>
        <v>Special Road</v>
      </c>
      <c r="B23" s="93" t="str">
        <f>IF(inputPrYr!C23&gt;0,inputPrYr!C23,"  ")</f>
        <v>80-1413</v>
      </c>
      <c r="C23" s="94"/>
      <c r="D23" s="85"/>
      <c r="E23" s="85"/>
      <c r="F23" s="95"/>
    </row>
    <row r="24" spans="1:6" s="66" customFormat="1" ht="15.75">
      <c r="A24" s="92" t="str">
        <f>IF(inputPrYr!$B24&gt;"  ",inputPrYr!$B24,"  ")</f>
        <v>Noxious Weed</v>
      </c>
      <c r="B24" s="93" t="str">
        <f>IF(inputPrYr!C24&gt;0,inputPrYr!C24,"  ")</f>
        <v>2-1318</v>
      </c>
      <c r="C24" s="94"/>
      <c r="D24" s="85"/>
      <c r="E24" s="85"/>
      <c r="F24" s="95"/>
    </row>
    <row r="25" spans="1:6" s="66" customFormat="1" ht="15.75">
      <c r="A25" s="92" t="str">
        <f>IF(inputPrYr!$B25&gt;"  ",inputPrYr!$B25,"  ")</f>
        <v>Fire Protection</v>
      </c>
      <c r="B25" s="93" t="str">
        <f>IF(inputPrYr!C25&gt;0,inputPrYr!C25,"  ")</f>
        <v>80-1503</v>
      </c>
      <c r="C25" s="94">
        <f>IF(levypage10!C75&gt;0,levypage10!C75,"  ")</f>
        <v>7</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Hall</v>
      </c>
      <c r="B26" s="93" t="str">
        <f>IF(inputPrYr!C26&gt;0,inputPrYr!C26,"  ")</f>
        <v>80-115</v>
      </c>
      <c r="C26" s="94">
        <f>IF(levypage10!C75&gt;0,levypage10!C75,"  ")</f>
        <v>7</v>
      </c>
      <c r="D26" s="85">
        <f>IF(levypage10!$E$67&lt;&gt;0,levypage10!$E$67,"  ")</f>
        <v>19500</v>
      </c>
      <c r="E26" s="85">
        <f>IF(levypage10!$E$74&lt;&gt;0,levypage10!$E$74,"  ")</f>
        <v>7406.75</v>
      </c>
      <c r="F26" s="95" t="str">
        <f>IF(AND(levypage10!$E$74=0,$B$45&gt;=0)," ",IF(AND(E26&gt;0,$B$45=0)," ",IF(AND(E26&gt;0,$B$45&gt;0),ROUND(E26/$B$45*1000,3))))</f>
        <v> </v>
      </c>
    </row>
    <row r="27" spans="1:6" s="66" customFormat="1" ht="15.75">
      <c r="A27" s="92" t="str">
        <f>IF(inputPrYr!$B27&gt;"  ",inputPrYr!$B27,"  ")</f>
        <v>  </v>
      </c>
      <c r="B27" s="93" t="str">
        <f>IF(inputPrYr!C27&gt;0,inputPrYr!C27,"  ")</f>
        <v>  </v>
      </c>
      <c r="C27" s="94"/>
      <c r="D27" s="85"/>
      <c r="E27" s="85"/>
      <c r="F27" s="95"/>
    </row>
    <row r="28" spans="1:6" s="66" customFormat="1" ht="15.75">
      <c r="A28" s="92" t="str">
        <f>IF(inputPrYr!$B28&gt;"  ",inputPrYr!$B28,"  ")</f>
        <v>  </v>
      </c>
      <c r="B28" s="93" t="str">
        <f>IF(inputPrYr!C28&gt;0,inputPrYr!C28,"  ")</f>
        <v>  </v>
      </c>
      <c r="C28" s="94"/>
      <c r="D28" s="85"/>
      <c r="E28" s="85"/>
      <c r="F28" s="95"/>
    </row>
    <row r="29" spans="1:6" s="66" customFormat="1" ht="15.75">
      <c r="A29" s="92" t="str">
        <f>IF(inputPrYr!$B29&gt;"  ",inputPrYr!$B29,"  ")</f>
        <v>  </v>
      </c>
      <c r="B29" s="93" t="str">
        <f>IF(inputPrYr!C29&gt;0,inputPrYr!C29,"  ")</f>
        <v>  </v>
      </c>
      <c r="C29" s="94"/>
      <c r="D29" s="85"/>
      <c r="E29" s="85"/>
      <c r="F29" s="95"/>
    </row>
    <row r="30" spans="1:6" s="66" customFormat="1" ht="15.75">
      <c r="A30" s="92" t="str">
        <f>IF(inputPrYr!$B30&gt;"  ",inputPrYr!$B30,"  ")</f>
        <v>  </v>
      </c>
      <c r="B30" s="93" t="str">
        <f>IF(inputPrYr!C30&gt;0,inputPrYr!C30,"  ")</f>
        <v>  </v>
      </c>
      <c r="C30" s="94"/>
      <c r="D30" s="85"/>
      <c r="E30" s="85"/>
      <c r="F30" s="95"/>
    </row>
    <row r="31" spans="1:6" s="66" customFormat="1" ht="15.75">
      <c r="A31" s="96" t="str">
        <f>IF(inputPrYr!$B34&gt;"  ",inputPrYr!$B34,"  ")</f>
        <v>  </v>
      </c>
      <c r="B31" s="97"/>
      <c r="C31" s="98"/>
      <c r="D31" s="85"/>
      <c r="E31" s="85"/>
      <c r="F31" s="95"/>
    </row>
    <row r="32" spans="1:6" s="66" customFormat="1" ht="15.75">
      <c r="A32" s="96" t="str">
        <f>IF(inputPrYr!$B35&gt;"  ",inputPrYr!$B35,"  ")</f>
        <v>  </v>
      </c>
      <c r="B32" s="99"/>
      <c r="C32" s="98"/>
      <c r="D32" s="85"/>
      <c r="E32" s="85"/>
      <c r="F32" s="95"/>
    </row>
    <row r="33" spans="1:6" s="66" customFormat="1" ht="15.75">
      <c r="A33" s="96" t="str">
        <f>IF(inputPrYr!$B36&gt;"  ",inputPrYr!$B36,"  ")</f>
        <v>  </v>
      </c>
      <c r="B33" s="97"/>
      <c r="C33" s="98"/>
      <c r="D33" s="85"/>
      <c r="E33" s="85"/>
      <c r="F33" s="95"/>
    </row>
    <row r="34" spans="1:6" s="66" customFormat="1" ht="15.75">
      <c r="A34" s="96" t="str">
        <f>IF(inputPrYr!$B37&gt;"  ",inputPrYr!$B37,"  ")</f>
        <v>  </v>
      </c>
      <c r="B34" s="97"/>
      <c r="C34" s="98"/>
      <c r="D34" s="85"/>
      <c r="E34" s="85"/>
      <c r="F34" s="95"/>
    </row>
    <row r="35" spans="1:6" s="66" customFormat="1" ht="15.75">
      <c r="A35" s="96">
        <f>IF(inputPrYr!B40&gt;"",#REF!,"")</f>
      </c>
      <c r="B35" s="99"/>
      <c r="C35" s="98"/>
      <c r="D35" s="85"/>
      <c r="E35" s="85"/>
      <c r="F35" s="95"/>
    </row>
    <row r="36" spans="1:6" s="66" customFormat="1" ht="15.75">
      <c r="A36" s="82" t="s">
        <v>466</v>
      </c>
      <c r="B36" s="97"/>
      <c r="C36" s="98"/>
      <c r="D36" s="90"/>
      <c r="E36" s="90"/>
      <c r="F36" s="95"/>
    </row>
    <row r="37" spans="1:6" s="66" customFormat="1" ht="16.5" thickBot="1">
      <c r="A37" s="100" t="s">
        <v>467</v>
      </c>
      <c r="B37" s="91"/>
      <c r="C37" s="101" t="s">
        <v>468</v>
      </c>
      <c r="D37" s="102">
        <f>SUM(D20:D36)</f>
        <v>24660</v>
      </c>
      <c r="E37" s="102">
        <f>SUM(E20:E36)</f>
        <v>9142.75</v>
      </c>
      <c r="F37" s="103">
        <f>IF(SUM(F20:F36)&gt;0,SUM(F20:F36),"")</f>
      </c>
    </row>
    <row r="38" spans="1:3" s="66" customFormat="1" ht="16.5" thickTop="1">
      <c r="A38" s="87" t="s">
        <v>381</v>
      </c>
      <c r="B38" s="83"/>
      <c r="C38" s="98">
        <f>summ!C52</f>
        <v>8</v>
      </c>
    </row>
    <row r="39" spans="1:5" s="66" customFormat="1" ht="15.75">
      <c r="A39" s="82" t="s">
        <v>418</v>
      </c>
      <c r="B39" s="83"/>
      <c r="C39" s="98">
        <f>IF(nhood!C39&gt;0,nhood!C39,"")</f>
        <v>9</v>
      </c>
      <c r="D39" s="104" t="s">
        <v>371</v>
      </c>
      <c r="E39" s="105" t="str">
        <f>IF(E37&gt;computation!J34,"Yes","No")</f>
        <v>Yes</v>
      </c>
    </row>
    <row r="40" spans="1:5" s="66" customFormat="1" ht="15.75">
      <c r="A40" s="87" t="s">
        <v>370</v>
      </c>
      <c r="B40" s="83"/>
      <c r="C40" s="98">
        <f>IF(Resolution!D50&gt;0,Resolution!D50,"")</f>
        <v>10</v>
      </c>
      <c r="D40" s="106"/>
      <c r="E40" s="107"/>
    </row>
    <row r="41" spans="1:6" s="66" customFormat="1" ht="15.75">
      <c r="A41" s="82" t="s">
        <v>315</v>
      </c>
      <c r="B41" s="488" t="s">
        <v>339</v>
      </c>
      <c r="C41" s="489"/>
      <c r="D41" s="109"/>
      <c r="F41" s="74" t="s">
        <v>469</v>
      </c>
    </row>
    <row r="42" spans="1:6" s="66" customFormat="1" ht="15.75">
      <c r="A42" s="82" t="str">
        <f>inputPrYr!D3</f>
        <v>Liberty Township</v>
      </c>
      <c r="B42" s="490"/>
      <c r="C42" s="491"/>
      <c r="D42" s="110"/>
      <c r="F42" s="74"/>
    </row>
    <row r="43" spans="1:6" s="66" customFormat="1" ht="15.75">
      <c r="A43" s="82" t="str">
        <f>inputPrYr!D6</f>
        <v>Liberty City</v>
      </c>
      <c r="B43" s="490"/>
      <c r="C43" s="498"/>
      <c r="D43" s="110"/>
      <c r="F43" s="74"/>
    </row>
    <row r="44" spans="1:6" s="66" customFormat="1" ht="15.75">
      <c r="A44" s="82">
        <f>inputPrYr!D7</f>
        <v>0</v>
      </c>
      <c r="B44" s="490"/>
      <c r="C44" s="498"/>
      <c r="D44" s="110"/>
      <c r="F44" s="74"/>
    </row>
    <row r="45" spans="1:6" s="66" customFormat="1" ht="15.75">
      <c r="A45" s="82" t="s">
        <v>428</v>
      </c>
      <c r="B45" s="496">
        <f>SUM(B42:C44)</f>
        <v>0</v>
      </c>
      <c r="C45" s="497"/>
      <c r="D45" s="110"/>
      <c r="F45" s="74"/>
    </row>
    <row r="46" spans="1:6" s="66" customFormat="1" ht="15.75">
      <c r="A46" s="111"/>
      <c r="B46" s="492" t="str">
        <f>CONCATENATE("Nov. 1, ",G1-1," Valuation")</f>
        <v>Nov. 1, 2012 Valuation</v>
      </c>
      <c r="C46" s="493"/>
      <c r="D46" s="109"/>
      <c r="F46" s="74"/>
    </row>
    <row r="47" spans="1:6" s="66" customFormat="1" ht="15.75">
      <c r="A47" s="111" t="s">
        <v>470</v>
      </c>
      <c r="D47" s="73"/>
      <c r="F47" s="74"/>
    </row>
    <row r="48" spans="1:6" s="66" customFormat="1" ht="15.75">
      <c r="A48" s="114"/>
      <c r="D48" s="109"/>
      <c r="E48" s="73"/>
      <c r="F48" s="73"/>
    </row>
    <row r="49" spans="1:2" s="66" customFormat="1" ht="15.75">
      <c r="A49" s="115"/>
      <c r="B49" s="72"/>
    </row>
    <row r="50" spans="1:6" s="66" customFormat="1" ht="15.75">
      <c r="A50" s="111" t="s">
        <v>358</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382" t="s">
        <v>362</v>
      </c>
      <c r="B56" s="120">
        <f>G1-1</f>
        <v>2012</v>
      </c>
      <c r="C56" s="66"/>
      <c r="D56" s="80"/>
      <c r="E56" s="113"/>
      <c r="F56" s="113"/>
      <c r="G56" s="116"/>
    </row>
    <row r="57" spans="1:7" ht="15.75">
      <c r="A57" s="66"/>
      <c r="B57" s="66"/>
      <c r="C57" s="66"/>
      <c r="D57" s="66"/>
      <c r="E57" s="74"/>
      <c r="F57" s="66"/>
      <c r="G57" s="116"/>
    </row>
    <row r="58" spans="1:7" ht="15.75">
      <c r="A58" s="381"/>
      <c r="B58" s="66"/>
      <c r="C58" s="66"/>
      <c r="D58" s="80"/>
      <c r="E58" s="80"/>
      <c r="F58" s="80"/>
      <c r="G58" s="116"/>
    </row>
    <row r="59" spans="1:6" ht="15.75">
      <c r="A59" s="69" t="s">
        <v>472</v>
      </c>
      <c r="B59" s="66"/>
      <c r="C59" s="66"/>
      <c r="D59" s="494" t="s">
        <v>471</v>
      </c>
      <c r="E59" s="495"/>
      <c r="F59" s="495"/>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473</v>
      </c>
      <c r="B63" s="118"/>
      <c r="C63" s="118"/>
      <c r="D63" s="118"/>
      <c r="E63" s="118"/>
      <c r="F63" s="66"/>
    </row>
    <row r="64" spans="1:6" ht="15.75">
      <c r="A64" s="119" t="s">
        <v>474</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464"/>
      <c r="B67" s="465"/>
      <c r="C67" s="465"/>
      <c r="D67" s="465"/>
      <c r="E67" s="465"/>
      <c r="F67" s="465"/>
    </row>
    <row r="68" spans="1:6" ht="15.75">
      <c r="A68" s="464"/>
      <c r="B68" s="465"/>
      <c r="C68" s="465"/>
      <c r="D68" s="465"/>
      <c r="E68" s="465"/>
      <c r="F68" s="465"/>
    </row>
    <row r="69" spans="1:6" ht="15.75">
      <c r="A69" s="464"/>
      <c r="B69" s="465"/>
      <c r="C69" s="465"/>
      <c r="D69" s="466"/>
      <c r="E69" s="463"/>
      <c r="F69" s="465"/>
    </row>
  </sheetData>
  <sheetProtection/>
  <mergeCells count="13">
    <mergeCell ref="A1:F1"/>
    <mergeCell ref="E12:E14"/>
    <mergeCell ref="A3:G3"/>
    <mergeCell ref="D11:F11"/>
    <mergeCell ref="A6:F6"/>
    <mergeCell ref="A7:F7"/>
    <mergeCell ref="B41:C41"/>
    <mergeCell ref="B42:C42"/>
    <mergeCell ref="B46:C46"/>
    <mergeCell ref="D59:F59"/>
    <mergeCell ref="B45:C45"/>
    <mergeCell ref="B43:C43"/>
    <mergeCell ref="B44:C44"/>
  </mergeCells>
  <conditionalFormatting sqref="E20">
    <cfRule type="cellIs" priority="1" dxfId="39"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3">
      <selection activeCell="A1" sqref="A1"/>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198" t="str">
        <f>inputPrYr!D3</f>
        <v>Liberty Township</v>
      </c>
      <c r="D1" s="66"/>
      <c r="E1" s="66"/>
      <c r="F1" s="66"/>
      <c r="G1" s="66"/>
      <c r="H1" s="66"/>
      <c r="I1" s="66"/>
      <c r="J1" s="66">
        <f>inputPrYr!D9</f>
        <v>2013</v>
      </c>
    </row>
    <row r="2" spans="1:10" ht="15.75">
      <c r="A2" s="66"/>
      <c r="B2" s="66"/>
      <c r="C2" s="66"/>
      <c r="D2" s="66"/>
      <c r="E2" s="66"/>
      <c r="F2" s="66"/>
      <c r="G2" s="66"/>
      <c r="H2" s="66"/>
      <c r="I2" s="66"/>
      <c r="J2" s="66"/>
    </row>
    <row r="3" spans="1:10" ht="15.75">
      <c r="A3" s="511" t="str">
        <f>CONCATENATE("Computation to Determine Limit for ",J1,"")</f>
        <v>Computation to Determine Limit for 2013</v>
      </c>
      <c r="B3" s="499"/>
      <c r="C3" s="499"/>
      <c r="D3" s="499"/>
      <c r="E3" s="499"/>
      <c r="F3" s="499"/>
      <c r="G3" s="499"/>
      <c r="H3" s="499"/>
      <c r="I3" s="499"/>
      <c r="J3" s="499"/>
    </row>
    <row r="4" spans="1:10" ht="15.75">
      <c r="A4" s="66"/>
      <c r="B4" s="66"/>
      <c r="C4" s="66"/>
      <c r="D4" s="66"/>
      <c r="E4" s="499"/>
      <c r="F4" s="499"/>
      <c r="G4" s="499"/>
      <c r="H4" s="65"/>
      <c r="I4" s="66"/>
      <c r="J4" s="236" t="s">
        <v>297</v>
      </c>
    </row>
    <row r="5" spans="1:10" ht="15.75">
      <c r="A5" s="237" t="s">
        <v>298</v>
      </c>
      <c r="B5" s="66" t="str">
        <f>CONCATENATE("Total Tax Levy Amount in ",J1-1,"")</f>
        <v>Total Tax Levy Amount in 2012</v>
      </c>
      <c r="C5" s="66"/>
      <c r="D5" s="66"/>
      <c r="E5" s="162"/>
      <c r="F5" s="162"/>
      <c r="G5" s="162"/>
      <c r="H5" s="238" t="s">
        <v>487</v>
      </c>
      <c r="I5" s="162" t="s">
        <v>475</v>
      </c>
      <c r="J5" s="239">
        <f>inputPrYr!E31</f>
        <v>2757</v>
      </c>
    </row>
    <row r="6" spans="1:10" ht="15.75">
      <c r="A6" s="237" t="s">
        <v>299</v>
      </c>
      <c r="B6" s="66" t="str">
        <f>CONCATENATE("Debt Service Levy in ",J1-1,"")</f>
        <v>Debt Service Levy in 2012</v>
      </c>
      <c r="C6" s="66"/>
      <c r="D6" s="66"/>
      <c r="E6" s="162"/>
      <c r="F6" s="162"/>
      <c r="G6" s="162"/>
      <c r="H6" s="238" t="s">
        <v>300</v>
      </c>
      <c r="I6" s="162" t="s">
        <v>475</v>
      </c>
      <c r="J6" s="240">
        <f>inputPrYr!E21</f>
        <v>0</v>
      </c>
    </row>
    <row r="7" spans="1:10" ht="15.75">
      <c r="A7" s="237" t="s">
        <v>301</v>
      </c>
      <c r="B7" s="131" t="s">
        <v>322</v>
      </c>
      <c r="C7" s="66"/>
      <c r="D7" s="66"/>
      <c r="E7" s="162"/>
      <c r="F7" s="162"/>
      <c r="G7" s="162"/>
      <c r="H7" s="162"/>
      <c r="I7" s="162" t="s">
        <v>475</v>
      </c>
      <c r="J7" s="241">
        <f>J5-J6</f>
        <v>2757</v>
      </c>
    </row>
    <row r="8" spans="1:10" ht="15.75">
      <c r="A8" s="66"/>
      <c r="B8" s="66"/>
      <c r="C8" s="66"/>
      <c r="D8" s="66"/>
      <c r="E8" s="162"/>
      <c r="F8" s="162"/>
      <c r="G8" s="162"/>
      <c r="H8" s="162"/>
      <c r="I8" s="162"/>
      <c r="J8" s="162"/>
    </row>
    <row r="9" spans="1:10" ht="15.75">
      <c r="A9" s="66"/>
      <c r="B9" s="131" t="str">
        <f>CONCATENATE("",J1-1," Valuation Information for Valuation Adjustments:")</f>
        <v>2012 Valuation Information for Valuation Adjustments:</v>
      </c>
      <c r="C9" s="66"/>
      <c r="D9" s="66"/>
      <c r="E9" s="162"/>
      <c r="F9" s="162"/>
      <c r="G9" s="162"/>
      <c r="H9" s="162"/>
      <c r="I9" s="162"/>
      <c r="J9" s="162"/>
    </row>
    <row r="10" spans="1:10" ht="15.75">
      <c r="A10" s="66"/>
      <c r="B10" s="66"/>
      <c r="C10" s="131"/>
      <c r="D10" s="66"/>
      <c r="E10" s="162"/>
      <c r="F10" s="162"/>
      <c r="G10" s="162"/>
      <c r="H10" s="162"/>
      <c r="I10" s="162"/>
      <c r="J10" s="162"/>
    </row>
    <row r="11" spans="1:10" ht="15.75">
      <c r="A11" s="237" t="s">
        <v>302</v>
      </c>
      <c r="B11" s="131" t="str">
        <f>CONCATENATE("New Improvements for ",J1-1,":")</f>
        <v>New Improvements for 2012:</v>
      </c>
      <c r="C11" s="66"/>
      <c r="D11" s="66"/>
      <c r="E11" s="238"/>
      <c r="F11" s="238" t="s">
        <v>487</v>
      </c>
      <c r="G11" s="215">
        <f>inputOth!E16</f>
        <v>55751</v>
      </c>
      <c r="H11" s="242"/>
      <c r="I11" s="162"/>
      <c r="J11" s="162"/>
    </row>
    <row r="12" spans="1:10" ht="15.75">
      <c r="A12" s="237"/>
      <c r="B12" s="237"/>
      <c r="C12" s="66"/>
      <c r="D12" s="66"/>
      <c r="E12" s="238"/>
      <c r="F12" s="238"/>
      <c r="G12" s="242"/>
      <c r="H12" s="242"/>
      <c r="I12" s="162"/>
      <c r="J12" s="162"/>
    </row>
    <row r="13" spans="1:10" ht="15.75">
      <c r="A13" s="237" t="s">
        <v>303</v>
      </c>
      <c r="B13" s="131" t="str">
        <f>CONCATENATE("Increase in Personal Property for ",J1-1,":")</f>
        <v>Increase in Personal Property for 2012:</v>
      </c>
      <c r="C13" s="66"/>
      <c r="D13" s="66"/>
      <c r="E13" s="238"/>
      <c r="F13" s="238"/>
      <c r="G13" s="242"/>
      <c r="H13" s="242"/>
      <c r="I13" s="162"/>
      <c r="J13" s="162"/>
    </row>
    <row r="14" spans="1:10" ht="15.75">
      <c r="A14" s="66"/>
      <c r="B14" s="66" t="s">
        <v>304</v>
      </c>
      <c r="C14" s="66" t="str">
        <f>CONCATENATE("Personal Property ",J1-1,"")</f>
        <v>Personal Property 2012</v>
      </c>
      <c r="D14" s="237" t="s">
        <v>487</v>
      </c>
      <c r="E14" s="215">
        <f>inputOth!E21</f>
        <v>89733</v>
      </c>
      <c r="F14" s="238"/>
      <c r="G14" s="162"/>
      <c r="H14" s="162"/>
      <c r="I14" s="242"/>
      <c r="J14" s="162"/>
    </row>
    <row r="15" spans="1:10" ht="15.75">
      <c r="A15" s="237"/>
      <c r="B15" s="66" t="s">
        <v>305</v>
      </c>
      <c r="C15" s="66" t="str">
        <f>CONCATENATE("Personal Property ",J1-2,"")</f>
        <v>Personal Property 2011</v>
      </c>
      <c r="D15" s="237" t="s">
        <v>300</v>
      </c>
      <c r="E15" s="241">
        <f>inputOth!E31</f>
        <v>110562</v>
      </c>
      <c r="F15" s="238"/>
      <c r="G15" s="242"/>
      <c r="H15" s="242"/>
      <c r="I15" s="162"/>
      <c r="J15" s="162"/>
    </row>
    <row r="16" spans="1:10" ht="15.75">
      <c r="A16" s="237"/>
      <c r="B16" s="66" t="s">
        <v>306</v>
      </c>
      <c r="C16" s="66" t="s">
        <v>323</v>
      </c>
      <c r="D16" s="66"/>
      <c r="E16" s="162"/>
      <c r="F16" s="162" t="s">
        <v>487</v>
      </c>
      <c r="G16" s="215">
        <f>IF(E14&gt;E15,E14-E15,0)</f>
        <v>0</v>
      </c>
      <c r="H16" s="242"/>
      <c r="I16" s="162"/>
      <c r="J16" s="162"/>
    </row>
    <row r="17" spans="1:10" ht="15.75">
      <c r="A17" s="237"/>
      <c r="B17" s="237"/>
      <c r="C17" s="66"/>
      <c r="D17" s="66"/>
      <c r="E17" s="162"/>
      <c r="F17" s="162"/>
      <c r="G17" s="242" t="s">
        <v>314</v>
      </c>
      <c r="H17" s="242"/>
      <c r="I17" s="162"/>
      <c r="J17" s="162"/>
    </row>
    <row r="18" spans="1:10" ht="15.75">
      <c r="A18" s="237" t="s">
        <v>307</v>
      </c>
      <c r="B18" s="131" t="str">
        <f>CONCATENATE("Valuation of Property that has Changed in Use during ",J1-1,":")</f>
        <v>Valuation of Property that has Changed in Use during 2012:</v>
      </c>
      <c r="C18" s="66"/>
      <c r="D18" s="66"/>
      <c r="E18" s="162"/>
      <c r="F18" s="238" t="s">
        <v>487</v>
      </c>
      <c r="G18" s="215">
        <f>inputOth!E26</f>
        <v>0</v>
      </c>
      <c r="H18" s="162"/>
      <c r="I18" s="162"/>
      <c r="J18" s="162"/>
    </row>
    <row r="19" spans="1:10" ht="15.75">
      <c r="A19" s="66" t="s">
        <v>456</v>
      </c>
      <c r="B19" s="66"/>
      <c r="C19" s="66"/>
      <c r="D19" s="237"/>
      <c r="E19" s="242"/>
      <c r="F19" s="242"/>
      <c r="G19" s="242"/>
      <c r="H19" s="162"/>
      <c r="I19" s="162"/>
      <c r="J19" s="162"/>
    </row>
    <row r="20" spans="1:10" ht="15.75">
      <c r="A20" s="237" t="s">
        <v>308</v>
      </c>
      <c r="B20" s="131" t="s">
        <v>324</v>
      </c>
      <c r="C20" s="66"/>
      <c r="D20" s="66"/>
      <c r="E20" s="162"/>
      <c r="F20" s="162"/>
      <c r="G20" s="215">
        <f>G11+G16+G18</f>
        <v>55751</v>
      </c>
      <c r="H20" s="242"/>
      <c r="I20" s="162"/>
      <c r="J20" s="162"/>
    </row>
    <row r="21" spans="1:10" ht="15.75">
      <c r="A21" s="237"/>
      <c r="B21" s="237"/>
      <c r="C21" s="131"/>
      <c r="D21" s="66"/>
      <c r="E21" s="162"/>
      <c r="F21" s="162"/>
      <c r="G21" s="242"/>
      <c r="H21" s="242"/>
      <c r="I21" s="162"/>
      <c r="J21" s="162"/>
    </row>
    <row r="22" spans="1:10" ht="15.75">
      <c r="A22" s="237" t="s">
        <v>309</v>
      </c>
      <c r="B22" s="66" t="str">
        <f>CONCATENATE("Total Estimated Valuation July 1,",J1-1,"")</f>
        <v>Total Estimated Valuation July 1,2012</v>
      </c>
      <c r="C22" s="66"/>
      <c r="D22" s="66"/>
      <c r="E22" s="215">
        <f>inputOth!E11</f>
        <v>7851415</v>
      </c>
      <c r="F22" s="162"/>
      <c r="G22" s="162"/>
      <c r="H22" s="162"/>
      <c r="I22" s="238"/>
      <c r="J22" s="162"/>
    </row>
    <row r="23" spans="1:10" ht="15.75">
      <c r="A23" s="237"/>
      <c r="B23" s="237"/>
      <c r="C23" s="66"/>
      <c r="D23" s="66"/>
      <c r="E23" s="242"/>
      <c r="F23" s="162"/>
      <c r="G23" s="162"/>
      <c r="H23" s="162"/>
      <c r="I23" s="238"/>
      <c r="J23" s="162"/>
    </row>
    <row r="24" spans="1:10" ht="15.75">
      <c r="A24" s="237" t="s">
        <v>310</v>
      </c>
      <c r="B24" s="131" t="s">
        <v>325</v>
      </c>
      <c r="C24" s="66"/>
      <c r="D24" s="66"/>
      <c r="E24" s="162"/>
      <c r="F24" s="162"/>
      <c r="G24" s="215">
        <f>E22-G20</f>
        <v>7795664</v>
      </c>
      <c r="H24" s="242"/>
      <c r="I24" s="238"/>
      <c r="J24" s="162"/>
    </row>
    <row r="25" spans="1:10" ht="15.75">
      <c r="A25" s="237"/>
      <c r="B25" s="237"/>
      <c r="C25" s="131"/>
      <c r="D25" s="66"/>
      <c r="E25" s="66"/>
      <c r="F25" s="66"/>
      <c r="G25" s="243"/>
      <c r="H25" s="73"/>
      <c r="I25" s="237"/>
      <c r="J25" s="66"/>
    </row>
    <row r="26" spans="1:10" ht="15.75">
      <c r="A26" s="237" t="s">
        <v>311</v>
      </c>
      <c r="B26" s="66" t="s">
        <v>326</v>
      </c>
      <c r="C26" s="66"/>
      <c r="D26" s="66"/>
      <c r="E26" s="66"/>
      <c r="F26" s="66"/>
      <c r="G26" s="244">
        <f>IF(G20&gt;0,G20/G24,0)</f>
        <v>0.007151539625104417</v>
      </c>
      <c r="H26" s="73"/>
      <c r="I26" s="66"/>
      <c r="J26" s="66"/>
    </row>
    <row r="27" spans="1:10" ht="15.75">
      <c r="A27" s="237"/>
      <c r="B27" s="237"/>
      <c r="C27" s="66"/>
      <c r="D27" s="66"/>
      <c r="E27" s="66"/>
      <c r="F27" s="66"/>
      <c r="G27" s="73"/>
      <c r="H27" s="73"/>
      <c r="I27" s="66"/>
      <c r="J27" s="66"/>
    </row>
    <row r="28" spans="1:10" ht="15.75">
      <c r="A28" s="237" t="s">
        <v>312</v>
      </c>
      <c r="B28" s="66" t="s">
        <v>327</v>
      </c>
      <c r="C28" s="66"/>
      <c r="D28" s="66"/>
      <c r="E28" s="66"/>
      <c r="F28" s="66"/>
      <c r="G28" s="73"/>
      <c r="H28" s="245" t="s">
        <v>487</v>
      </c>
      <c r="I28" s="66" t="s">
        <v>475</v>
      </c>
      <c r="J28" s="215">
        <f>ROUND(G26*J7,0)</f>
        <v>20</v>
      </c>
    </row>
    <row r="29" spans="1:10" ht="15.75">
      <c r="A29" s="237"/>
      <c r="B29" s="237"/>
      <c r="C29" s="66"/>
      <c r="D29" s="66"/>
      <c r="E29" s="66"/>
      <c r="F29" s="66"/>
      <c r="G29" s="73"/>
      <c r="H29" s="245"/>
      <c r="I29" s="66"/>
      <c r="J29" s="242"/>
    </row>
    <row r="30" spans="1:10" ht="16.5" thickBot="1">
      <c r="A30" s="237" t="s">
        <v>313</v>
      </c>
      <c r="B30" s="131" t="s">
        <v>331</v>
      </c>
      <c r="C30" s="66"/>
      <c r="D30" s="66"/>
      <c r="E30" s="66"/>
      <c r="F30" s="66"/>
      <c r="G30" s="66"/>
      <c r="H30" s="66"/>
      <c r="I30" s="66" t="s">
        <v>475</v>
      </c>
      <c r="J30" s="246">
        <f>J7+J28</f>
        <v>2777</v>
      </c>
    </row>
    <row r="31" spans="1:10" ht="16.5" thickTop="1">
      <c r="A31" s="66"/>
      <c r="B31" s="66"/>
      <c r="C31" s="66"/>
      <c r="D31" s="66"/>
      <c r="E31" s="66"/>
      <c r="F31" s="66"/>
      <c r="G31" s="66"/>
      <c r="H31" s="66"/>
      <c r="I31" s="66"/>
      <c r="J31" s="66"/>
    </row>
    <row r="32" spans="1:10" ht="15.75">
      <c r="A32" s="237" t="s">
        <v>329</v>
      </c>
      <c r="B32" s="131" t="str">
        <f>CONCATENATE("Debt Service Levy in this ",J1,"")</f>
        <v>Debt Service Levy in this 2013</v>
      </c>
      <c r="C32" s="66"/>
      <c r="D32" s="66"/>
      <c r="E32" s="66"/>
      <c r="F32" s="66"/>
      <c r="G32" s="66"/>
      <c r="H32" s="66"/>
      <c r="I32" s="66"/>
      <c r="J32" s="215">
        <f>DebtService!E58</f>
        <v>0</v>
      </c>
    </row>
    <row r="33" spans="1:10" ht="15.75">
      <c r="A33" s="237"/>
      <c r="B33" s="131"/>
      <c r="C33" s="66"/>
      <c r="D33" s="66"/>
      <c r="E33" s="66"/>
      <c r="F33" s="66"/>
      <c r="G33" s="66"/>
      <c r="H33" s="66"/>
      <c r="I33" s="66"/>
      <c r="J33" s="73"/>
    </row>
    <row r="34" spans="1:10" ht="16.5" thickBot="1">
      <c r="A34" s="237" t="s">
        <v>330</v>
      </c>
      <c r="B34" s="131" t="s">
        <v>332</v>
      </c>
      <c r="C34" s="66"/>
      <c r="D34" s="66"/>
      <c r="E34" s="66"/>
      <c r="F34" s="66"/>
      <c r="G34" s="66"/>
      <c r="H34" s="66"/>
      <c r="I34" s="66"/>
      <c r="J34" s="246">
        <f>J30+J32</f>
        <v>2777</v>
      </c>
    </row>
    <row r="35" spans="1:10" ht="16.5" thickTop="1">
      <c r="A35" s="66"/>
      <c r="B35" s="66"/>
      <c r="C35" s="66"/>
      <c r="D35" s="66"/>
      <c r="E35" s="66"/>
      <c r="F35" s="66"/>
      <c r="G35" s="66"/>
      <c r="H35" s="66"/>
      <c r="I35" s="66"/>
      <c r="J35" s="66"/>
    </row>
    <row r="36" spans="1:10" s="247" customFormat="1" ht="18.75">
      <c r="A36" s="510" t="str">
        <f>CONCATENATE("If the ",J1," budget includes tax levies exceeding the total on line 14, you must")</f>
        <v>If the 2013 budget includes tax levies exceeding the total on line 14, you must</v>
      </c>
      <c r="B36" s="510"/>
      <c r="C36" s="510"/>
      <c r="D36" s="510"/>
      <c r="E36" s="510"/>
      <c r="F36" s="510"/>
      <c r="G36" s="510"/>
      <c r="H36" s="510"/>
      <c r="I36" s="510"/>
      <c r="J36" s="510"/>
    </row>
    <row r="37" spans="1:10" s="247" customFormat="1" ht="18.75">
      <c r="A37" s="510" t="s">
        <v>328</v>
      </c>
      <c r="B37" s="510"/>
      <c r="C37" s="510"/>
      <c r="D37" s="510"/>
      <c r="E37" s="510"/>
      <c r="F37" s="510"/>
      <c r="G37" s="510"/>
      <c r="H37" s="510"/>
      <c r="I37" s="510"/>
      <c r="J37" s="510"/>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00" customWidth="1"/>
    <col min="2" max="2" width="19.796875" style="200" customWidth="1"/>
    <col min="3" max="3" width="8.69921875" style="200" hidden="1" customWidth="1"/>
    <col min="4" max="4" width="12.09765625" style="200" customWidth="1"/>
    <col min="5" max="5" width="12.09765625" style="200" hidden="1" customWidth="1"/>
    <col min="6" max="6" width="0.1015625" style="200" hidden="1" customWidth="1"/>
    <col min="7" max="7" width="13.69921875" style="200" customWidth="1"/>
    <col min="8" max="8" width="0.1015625" style="200" customWidth="1"/>
    <col min="9" max="11" width="13.69921875" style="200" customWidth="1"/>
    <col min="12" max="16384" width="8.796875" style="200" customWidth="1"/>
  </cols>
  <sheetData>
    <row r="1" spans="1:11" ht="15.75">
      <c r="A1" s="66"/>
      <c r="B1" s="198" t="str">
        <f>inputPrYr!D3</f>
        <v>Liberty Township</v>
      </c>
      <c r="C1" s="66"/>
      <c r="D1" s="66"/>
      <c r="E1" s="66"/>
      <c r="F1" s="66"/>
      <c r="G1" s="66"/>
      <c r="H1" s="66"/>
      <c r="I1" s="66"/>
      <c r="J1" s="66"/>
      <c r="K1" s="199">
        <f>inputPrYr!D9</f>
        <v>2013</v>
      </c>
    </row>
    <row r="2" spans="1:11" ht="15.75">
      <c r="A2" s="66"/>
      <c r="B2" s="198"/>
      <c r="C2" s="66"/>
      <c r="D2" s="66"/>
      <c r="E2" s="66"/>
      <c r="F2" s="66"/>
      <c r="G2" s="66"/>
      <c r="H2" s="66"/>
      <c r="I2" s="66"/>
      <c r="J2" s="184"/>
      <c r="K2" s="184"/>
    </row>
    <row r="3" spans="1:11" ht="15.75">
      <c r="A3" s="66"/>
      <c r="B3" s="198"/>
      <c r="C3" s="66"/>
      <c r="D3" s="66"/>
      <c r="E3" s="66"/>
      <c r="F3" s="66"/>
      <c r="G3" s="66"/>
      <c r="H3" s="66"/>
      <c r="I3" s="66"/>
      <c r="J3" s="184"/>
      <c r="K3" s="184"/>
    </row>
    <row r="4" spans="1:11" ht="15.75">
      <c r="A4" s="66"/>
      <c r="B4" s="198"/>
      <c r="C4" s="66"/>
      <c r="D4" s="66"/>
      <c r="E4" s="66"/>
      <c r="F4" s="66"/>
      <c r="G4" s="66"/>
      <c r="H4" s="66"/>
      <c r="I4" s="66"/>
      <c r="J4" s="184"/>
      <c r="K4" s="184"/>
    </row>
    <row r="5" spans="1:11" ht="15.75">
      <c r="A5" s="66"/>
      <c r="B5" s="66"/>
      <c r="C5" s="66"/>
      <c r="D5" s="66"/>
      <c r="E5" s="66"/>
      <c r="F5" s="66"/>
      <c r="G5" s="66"/>
      <c r="H5" s="66"/>
      <c r="I5" s="66"/>
      <c r="J5" s="66"/>
      <c r="K5" s="66"/>
    </row>
    <row r="6" spans="1:11" ht="15.75">
      <c r="A6" s="66"/>
      <c r="B6" s="512" t="s">
        <v>443</v>
      </c>
      <c r="C6" s="495"/>
      <c r="D6" s="495"/>
      <c r="E6" s="495"/>
      <c r="F6" s="495"/>
      <c r="G6" s="495"/>
      <c r="H6" s="495"/>
      <c r="I6" s="495"/>
      <c r="J6" s="495"/>
      <c r="K6" s="495"/>
    </row>
    <row r="7" spans="1:11" ht="16.5">
      <c r="A7" s="66"/>
      <c r="B7" s="499"/>
      <c r="C7" s="513"/>
      <c r="D7" s="513"/>
      <c r="E7" s="513"/>
      <c r="F7" s="513"/>
      <c r="G7" s="513"/>
      <c r="H7" s="513"/>
      <c r="I7" s="513"/>
      <c r="J7" s="513"/>
      <c r="K7" s="513"/>
    </row>
    <row r="8" spans="1:11" ht="16.5">
      <c r="A8" s="66"/>
      <c r="B8" s="499"/>
      <c r="C8" s="513"/>
      <c r="D8" s="513"/>
      <c r="E8" s="513"/>
      <c r="F8" s="513"/>
      <c r="G8" s="513"/>
      <c r="H8" s="513"/>
      <c r="I8" s="513"/>
      <c r="J8" s="513"/>
      <c r="K8" s="513"/>
    </row>
    <row r="9" spans="1:11" ht="15.75">
      <c r="A9" s="66"/>
      <c r="B9" s="66"/>
      <c r="C9" s="201"/>
      <c r="D9" s="201"/>
      <c r="E9" s="201"/>
      <c r="F9" s="201"/>
      <c r="G9" s="202"/>
      <c r="H9" s="67"/>
      <c r="I9" s="67"/>
      <c r="J9" s="66"/>
      <c r="K9" s="66"/>
    </row>
    <row r="10" spans="1:11" ht="21" customHeight="1">
      <c r="A10" s="66"/>
      <c r="B10" s="178"/>
      <c r="C10" s="203"/>
      <c r="D10" s="514" t="str">
        <f>CONCATENATE("Budget Tax Levy Amount for ",K1-2,"")</f>
        <v>Budget Tax Levy Amount for 2011</v>
      </c>
      <c r="E10" s="514" t="str">
        <f>CONCATENATE("Budget Tax Levy Rate for ",K1-1,"")</f>
        <v>Budget Tax Levy Rate for 2012</v>
      </c>
      <c r="F10" s="85"/>
      <c r="G10" s="505" t="str">
        <f>CONCATENATE("Allocation for Year ",K1,"")</f>
        <v>Allocation for Year 2013</v>
      </c>
      <c r="H10" s="516"/>
      <c r="I10" s="516"/>
      <c r="J10" s="516"/>
      <c r="K10" s="517"/>
    </row>
    <row r="11" spans="1:11" ht="15.75">
      <c r="A11" s="66"/>
      <c r="B11" s="204" t="str">
        <f>CONCATENATE("",K1-1," Budgeted Funds")</f>
        <v>2012 Budgeted Funds</v>
      </c>
      <c r="C11" s="205"/>
      <c r="D11" s="515"/>
      <c r="E11" s="515"/>
      <c r="F11" s="81"/>
      <c r="G11" s="81" t="s">
        <v>295</v>
      </c>
      <c r="H11" s="81"/>
      <c r="I11" s="81" t="s">
        <v>296</v>
      </c>
      <c r="J11" s="78" t="s">
        <v>336</v>
      </c>
      <c r="K11" s="78" t="s">
        <v>376</v>
      </c>
    </row>
    <row r="12" spans="1:11" ht="15.75">
      <c r="A12" s="66"/>
      <c r="B12" s="92" t="str">
        <f>inputPrYr!B20</f>
        <v>General</v>
      </c>
      <c r="C12" s="206"/>
      <c r="D12" s="92">
        <f>IF(inputPrYr!E20&gt;0,inputPrYr!E20,"  ")</f>
        <v>2757</v>
      </c>
      <c r="E12" s="207">
        <f>IF(inputOth!D37&gt;0,inputOth!D37,"  ")</f>
        <v>0.365</v>
      </c>
      <c r="F12" s="208"/>
      <c r="G12" s="92">
        <f>IF(inputPrYr!E20=0,0,G25-SUM(G13:G22))</f>
        <v>235</v>
      </c>
      <c r="H12" s="209"/>
      <c r="I12" s="92">
        <f>IF(inputPrYr!E20=0,0,I27-SUM(I13:I22))</f>
        <v>4</v>
      </c>
      <c r="J12" s="92">
        <f>IF(inputPrYr!E20=0,0,J29-SUM(J13:J22))</f>
        <v>10</v>
      </c>
      <c r="K12" s="92">
        <f>IF(inputPrYr!E20=0,0,K31-SUM(K13:K22))</f>
        <v>0</v>
      </c>
    </row>
    <row r="13" spans="1:11" ht="15.75">
      <c r="A13" s="66"/>
      <c r="B13" s="92" t="str">
        <f>inputPrYr!B21</f>
        <v>Debt Service</v>
      </c>
      <c r="C13" s="206"/>
      <c r="D13" s="92" t="str">
        <f>IF(inputPrYr!E21&gt;0,inputPrYr!E21,"  ")</f>
        <v>  </v>
      </c>
      <c r="E13" s="207" t="str">
        <f>IF(inputOth!D38&gt;0,inputOth!D38,"  ")</f>
        <v>  </v>
      </c>
      <c r="F13" s="208"/>
      <c r="G13" s="92">
        <f>IF(inputPrYr!E21=0,0,ROUND(D13*$G$33,0))</f>
        <v>0</v>
      </c>
      <c r="H13" s="209"/>
      <c r="I13" s="92">
        <f>IF(inputPrYr!$E$21=0,0,ROUND($D$13*$I$35,0))</f>
        <v>0</v>
      </c>
      <c r="J13" s="92">
        <f>IF(inputPrYr!E21=0,0,ROUND($D13*$J$37,0))</f>
        <v>0</v>
      </c>
      <c r="K13" s="92">
        <f>IF(inputPrYr!E21=0,0,ROUND($D13*$K$39,0))</f>
        <v>0</v>
      </c>
    </row>
    <row r="14" spans="1:11" ht="15.75">
      <c r="A14" s="66"/>
      <c r="B14" s="92" t="str">
        <f>IF(inputPrYr!$B22&gt;"  ",inputPrYr!$B22,"  ")</f>
        <v>Road</v>
      </c>
      <c r="C14" s="206"/>
      <c r="D14" s="92" t="str">
        <f>IF(inputPrYr!E22&gt;0,inputPrYr!E22,"  ")</f>
        <v>  </v>
      </c>
      <c r="E14" s="207" t="str">
        <f>IF(inputOth!D39&gt;0,inputOth!D39,"  ")</f>
        <v>  </v>
      </c>
      <c r="F14" s="208"/>
      <c r="G14" s="92">
        <f>IF(inputPrYr!E22=0,0,ROUND(D14*$G$33,0))</f>
        <v>0</v>
      </c>
      <c r="H14" s="209"/>
      <c r="I14" s="92">
        <f>IF(inputPrYr!$E$22=0,0,ROUND($D$14*$I$35,0))</f>
        <v>0</v>
      </c>
      <c r="J14" s="92">
        <f>IF(inputPrYr!E22=0,0,ROUND($D14*$J$37,0))</f>
        <v>0</v>
      </c>
      <c r="K14" s="92">
        <f>IF(inputPrYr!E22=0,0,ROUND($D14*$K$39,0))</f>
        <v>0</v>
      </c>
    </row>
    <row r="15" spans="1:11" ht="15.75">
      <c r="A15" s="66"/>
      <c r="B15" s="92" t="str">
        <f>IF(inputPrYr!$B23&gt;"  ",inputPrYr!$B23,"  ")</f>
        <v>Special Road</v>
      </c>
      <c r="C15" s="206"/>
      <c r="D15" s="92" t="str">
        <f>IF(inputPrYr!E23&gt;0,inputPrYr!E23,"  ")</f>
        <v>  </v>
      </c>
      <c r="E15" s="207" t="str">
        <f>IF(inputOth!D40&gt;0,inputOth!D40,"  ")</f>
        <v>  </v>
      </c>
      <c r="F15" s="208"/>
      <c r="G15" s="92">
        <f>IF(inputPrYr!E23=0,0,ROUND(D15*$G$33,0))</f>
        <v>0</v>
      </c>
      <c r="H15" s="209"/>
      <c r="I15" s="92">
        <f>IF(inputPrYr!$E$23=0,0,ROUND($D$15*$I$35,0))</f>
        <v>0</v>
      </c>
      <c r="J15" s="92">
        <f>IF(inputPrYr!E23=0,0,ROUND($D15*$J$37,0))</f>
        <v>0</v>
      </c>
      <c r="K15" s="92">
        <f>IF(inputPrYr!E23=0,0,ROUND($D15*$K$39,0))</f>
        <v>0</v>
      </c>
    </row>
    <row r="16" spans="1:11" ht="15.75">
      <c r="A16" s="66"/>
      <c r="B16" s="92" t="str">
        <f>IF(inputPrYr!$B24&gt;"  ",inputPrYr!$B24,"  ")</f>
        <v>Noxious Weed</v>
      </c>
      <c r="C16" s="206"/>
      <c r="D16" s="92" t="str">
        <f>IF(inputPrYr!E24&gt;0,inputPrYr!E24,"  ")</f>
        <v>  </v>
      </c>
      <c r="E16" s="207" t="str">
        <f>IF(inputOth!D41&gt;0,inputOth!D41,"  ")</f>
        <v>  </v>
      </c>
      <c r="F16" s="208"/>
      <c r="G16" s="92">
        <f>IF(inputPrYr!E24=0,0,ROUND(D16*$G$33,0))</f>
        <v>0</v>
      </c>
      <c r="H16" s="209"/>
      <c r="I16" s="92">
        <f>IF(inputPrYr!$E$24=0,0,ROUND($D$16*$I$35,0))</f>
        <v>0</v>
      </c>
      <c r="J16" s="92">
        <f>IF(inputPrYr!E24=0,0,ROUND($D16*$J$37,0))</f>
        <v>0</v>
      </c>
      <c r="K16" s="92">
        <f>IF(inputPrYr!E24=0,0,ROUND($D16*$K$39,0))</f>
        <v>0</v>
      </c>
    </row>
    <row r="17" spans="1:11" ht="15.75">
      <c r="A17" s="66"/>
      <c r="B17" s="92" t="str">
        <f>IF(inputPrYr!$B25&gt;"  ",inputPrYr!$B25,"  ")</f>
        <v>Fire Protection</v>
      </c>
      <c r="C17" s="206"/>
      <c r="D17" s="92" t="str">
        <f>IF(inputPrYr!E25&gt;0,inputPrYr!E25,"  ")</f>
        <v>  </v>
      </c>
      <c r="E17" s="207" t="str">
        <f>IF(inputOth!D42&gt;0,inputOth!D42,"  ")</f>
        <v>  </v>
      </c>
      <c r="F17" s="208"/>
      <c r="G17" s="92">
        <f>IF(inputPrYr!E25=0,0,ROUND(D17*$G$33,0))</f>
        <v>0</v>
      </c>
      <c r="H17" s="209"/>
      <c r="I17" s="92">
        <f>IF(inputPrYr!$E$25=0,0,ROUND($D$17*$I$35,0))</f>
        <v>0</v>
      </c>
      <c r="J17" s="92">
        <f>IF(inputPrYr!E25=0,0,ROUND($D17*$J$37,0))</f>
        <v>0</v>
      </c>
      <c r="K17" s="92">
        <f>IF(inputPrYr!E25=0,0,ROUND($D17*$K$39,0))</f>
        <v>0</v>
      </c>
    </row>
    <row r="18" spans="1:11" ht="15.75">
      <c r="A18" s="66"/>
      <c r="B18" s="92" t="str">
        <f>IF(inputPrYr!$B26&gt;"  ",inputPrYr!$B26,"  ")</f>
        <v>Hall</v>
      </c>
      <c r="C18" s="206"/>
      <c r="D18" s="92" t="str">
        <f>IF(inputPrYr!E26&gt;0,inputPrYr!E26,"  ")</f>
        <v>  </v>
      </c>
      <c r="E18" s="207" t="str">
        <f>IF(inputOth!D43&gt;0,inputOth!D43,"  ")</f>
        <v>  </v>
      </c>
      <c r="F18" s="208"/>
      <c r="G18" s="92">
        <f>IF(inputPrYr!E26=0,0,ROUND(D18*$G$33,0))</f>
        <v>0</v>
      </c>
      <c r="H18" s="209"/>
      <c r="I18" s="92">
        <f>IF(inputPrYr!$E$26=0,0,ROUND($D$18*$I$35,0))</f>
        <v>0</v>
      </c>
      <c r="J18" s="92">
        <f>IF(inputPrYr!E26=0,0,ROUND($D18*$J$37,0))</f>
        <v>0</v>
      </c>
      <c r="K18" s="92">
        <f>IF(inputPrYr!E26=0,0,ROUND($D18*$K$39,0))</f>
        <v>0</v>
      </c>
    </row>
    <row r="19" spans="1:11" ht="15.75">
      <c r="A19" s="66"/>
      <c r="B19" s="92" t="str">
        <f>IF(inputPrYr!$B27&gt;"  ",inputPrYr!$B27,"  ")</f>
        <v>  </v>
      </c>
      <c r="C19" s="206"/>
      <c r="D19" s="92" t="str">
        <f>IF(inputPrYr!E27&gt;0,inputPrYr!E27,"  ")</f>
        <v>  </v>
      </c>
      <c r="E19" s="207" t="str">
        <f>IF(inputOth!D44&gt;0,inputOth!D44,"  ")</f>
        <v>  </v>
      </c>
      <c r="F19" s="208"/>
      <c r="G19" s="92">
        <f>IF(inputPrYr!E27=0,0,ROUND(D19*$G$33,0))</f>
        <v>0</v>
      </c>
      <c r="H19" s="209"/>
      <c r="I19" s="92">
        <f>IF(inputPrYr!$E$27=0,0,ROUND($D$19*$I$35,0))</f>
        <v>0</v>
      </c>
      <c r="J19" s="92">
        <f>IF(inputPrYr!E27=0,0,ROUND($D19*$J$37,0))</f>
        <v>0</v>
      </c>
      <c r="K19" s="92">
        <f>IF(inputPrYr!E27=0,0,ROUND($D19*$K$39,0))</f>
        <v>0</v>
      </c>
    </row>
    <row r="20" spans="1:11" ht="15.75">
      <c r="A20" s="66"/>
      <c r="B20" s="92" t="str">
        <f>IF(inputPrYr!$B28&gt;"  ",inputPrYr!$B28,"  ")</f>
        <v>  </v>
      </c>
      <c r="C20" s="206"/>
      <c r="D20" s="92" t="str">
        <f>IF(inputPrYr!E28&gt;0,inputPrYr!E28,"  ")</f>
        <v>  </v>
      </c>
      <c r="E20" s="207" t="str">
        <f>IF(inputOth!D45&gt;0,inputOth!D45,"  ")</f>
        <v>  </v>
      </c>
      <c r="F20" s="208"/>
      <c r="G20" s="92">
        <f>IF(inputPrYr!E28=0,0,ROUND(D20*$G$33,0))</f>
        <v>0</v>
      </c>
      <c r="H20" s="209"/>
      <c r="I20" s="92">
        <f>IF(inputPrYr!$E$28=0,0,ROUND($D$20*$I$35,0))</f>
        <v>0</v>
      </c>
      <c r="J20" s="92">
        <f>IF(inputPrYr!E28=0,0,ROUND($D20*$J$37,0))</f>
        <v>0</v>
      </c>
      <c r="K20" s="92">
        <f>IF(inputPrYr!E28=0,0,ROUND($D20*$K$39,0))</f>
        <v>0</v>
      </c>
    </row>
    <row r="21" spans="1:11" ht="15.75">
      <c r="A21" s="66"/>
      <c r="B21" s="92" t="str">
        <f>IF(inputPrYr!$B29&gt;"  ",inputPrYr!$B29,"  ")</f>
        <v>  </v>
      </c>
      <c r="C21" s="206"/>
      <c r="D21" s="92" t="str">
        <f>IF(inputPrYr!E29&gt;0,inputPrYr!E29,"  ")</f>
        <v>  </v>
      </c>
      <c r="E21" s="207" t="str">
        <f>IF(inputOth!D46&gt;0,inputOth!D46,"  ")</f>
        <v>  </v>
      </c>
      <c r="F21" s="208"/>
      <c r="G21" s="92">
        <f>IF(inputPrYr!E29=0,0,ROUND(D21*$G$33,0))</f>
        <v>0</v>
      </c>
      <c r="H21" s="209"/>
      <c r="I21" s="92">
        <f>IF(inputPrYr!$E$29=0,0,ROUND($D$21*$I$35,0))</f>
        <v>0</v>
      </c>
      <c r="J21" s="92">
        <f>IF(inputPrYr!E29=0,0,ROUND($D21*$J$37,0))</f>
        <v>0</v>
      </c>
      <c r="K21" s="92">
        <f>IF(inputPrYr!E29=0,0,ROUND($D21*$K$39,0))</f>
        <v>0</v>
      </c>
    </row>
    <row r="22" spans="1:11" ht="15.75">
      <c r="A22" s="66"/>
      <c r="B22" s="92" t="str">
        <f>IF(inputPrYr!$B30&gt;"  ",inputPrYr!$B30,"  ")</f>
        <v>  </v>
      </c>
      <c r="C22" s="206"/>
      <c r="D22" s="92" t="str">
        <f>IF(inputPrYr!E30&gt;0,inputPrYr!E30,"  ")</f>
        <v>  </v>
      </c>
      <c r="E22" s="207" t="str">
        <f>IF(inputOth!D47&gt;0,inputOth!D47,"  ")</f>
        <v>  </v>
      </c>
      <c r="F22" s="208"/>
      <c r="G22" s="92">
        <f>IF(inputPrYr!E30=0,0,ROUND(D22*$G$33,0))</f>
        <v>0</v>
      </c>
      <c r="H22" s="209"/>
      <c r="I22" s="92">
        <f>IF(inputPrYr!E30=0,0,ROUND($D$22*$I$35,0))</f>
        <v>0</v>
      </c>
      <c r="J22" s="92">
        <f>IF(inputPrYr!E30=0,0,ROUND($D22*$J$37,0))</f>
        <v>0</v>
      </c>
      <c r="K22" s="92">
        <f>IF(inputPrYr!E30=0,0,ROUND($D22*$K$39,0))</f>
        <v>0</v>
      </c>
    </row>
    <row r="23" spans="1:11" ht="16.5" thickBot="1">
      <c r="A23" s="66"/>
      <c r="B23" s="108" t="s">
        <v>454</v>
      </c>
      <c r="C23" s="210"/>
      <c r="D23" s="211">
        <f aca="true" t="shared" si="0" ref="D23:J23">SUM(D12:D22)</f>
        <v>2757</v>
      </c>
      <c r="E23" s="212">
        <f>SUM(E12:E22)</f>
        <v>0.365</v>
      </c>
      <c r="F23" s="213"/>
      <c r="G23" s="211">
        <f t="shared" si="0"/>
        <v>235</v>
      </c>
      <c r="H23" s="211"/>
      <c r="I23" s="211">
        <f t="shared" si="0"/>
        <v>4</v>
      </c>
      <c r="J23" s="211">
        <f t="shared" si="0"/>
        <v>10</v>
      </c>
      <c r="K23" s="211">
        <f>SUM(K12:K22)</f>
        <v>0</v>
      </c>
    </row>
    <row r="24" spans="1:11" ht="16.5" thickTop="1">
      <c r="A24" s="66"/>
      <c r="B24" s="66"/>
      <c r="C24" s="66"/>
      <c r="D24" s="66"/>
      <c r="E24" s="66"/>
      <c r="F24" s="66"/>
      <c r="G24" s="66"/>
      <c r="H24" s="66"/>
      <c r="I24" s="66"/>
      <c r="J24" s="66"/>
      <c r="K24" s="66"/>
    </row>
    <row r="25" spans="1:11" ht="15.75">
      <c r="A25" s="66"/>
      <c r="B25" s="74" t="s">
        <v>478</v>
      </c>
      <c r="C25" s="181"/>
      <c r="D25" s="66"/>
      <c r="E25" s="66"/>
      <c r="F25" s="66"/>
      <c r="G25" s="214">
        <f>SUM(inputOth!E58,inputOth!E62,inputOth!E66)</f>
        <v>235</v>
      </c>
      <c r="H25" s="66"/>
      <c r="I25" s="66"/>
      <c r="J25" s="66"/>
      <c r="K25" s="66"/>
    </row>
    <row r="26" spans="1:11" ht="15.75">
      <c r="A26" s="66"/>
      <c r="B26" s="66"/>
      <c r="C26" s="66"/>
      <c r="D26" s="66"/>
      <c r="E26" s="66"/>
      <c r="F26" s="66"/>
      <c r="G26" s="66"/>
      <c r="H26" s="66"/>
      <c r="I26" s="66"/>
      <c r="J26" s="66"/>
      <c r="K26" s="66"/>
    </row>
    <row r="27" spans="1:11" ht="15.75">
      <c r="A27" s="66"/>
      <c r="B27" s="74" t="s">
        <v>479</v>
      </c>
      <c r="C27" s="66"/>
      <c r="D27" s="66"/>
      <c r="E27" s="66"/>
      <c r="F27" s="66"/>
      <c r="G27" s="66"/>
      <c r="H27" s="214">
        <f>inputPrYr!E81</f>
        <v>0</v>
      </c>
      <c r="I27" s="214">
        <f>SUM(inputOth!E59,inputOth!E63,inputOth!E67)</f>
        <v>4</v>
      </c>
      <c r="J27" s="66"/>
      <c r="K27" s="66"/>
    </row>
    <row r="28" spans="1:11" ht="15.75">
      <c r="A28" s="66"/>
      <c r="B28" s="66"/>
      <c r="C28" s="66"/>
      <c r="D28" s="66"/>
      <c r="E28" s="66"/>
      <c r="F28" s="66"/>
      <c r="G28" s="66"/>
      <c r="H28" s="66"/>
      <c r="I28" s="66"/>
      <c r="J28" s="66"/>
      <c r="K28" s="66"/>
    </row>
    <row r="29" spans="1:11" ht="15.75">
      <c r="A29" s="66"/>
      <c r="B29" s="74" t="s">
        <v>292</v>
      </c>
      <c r="C29" s="66"/>
      <c r="D29" s="66"/>
      <c r="E29" s="66"/>
      <c r="F29" s="66"/>
      <c r="G29" s="66"/>
      <c r="H29" s="66"/>
      <c r="I29" s="66"/>
      <c r="J29" s="214">
        <f>SUM(inputOth!E60,inputOth!E64,inputOth!E68)</f>
        <v>10</v>
      </c>
      <c r="K29" s="150"/>
    </row>
    <row r="30" spans="1:11" ht="15.75">
      <c r="A30" s="66"/>
      <c r="B30" s="66"/>
      <c r="C30" s="66"/>
      <c r="D30" s="66"/>
      <c r="E30" s="66"/>
      <c r="F30" s="66"/>
      <c r="G30" s="66"/>
      <c r="H30" s="66"/>
      <c r="I30" s="66"/>
      <c r="J30" s="66"/>
      <c r="K30" s="66"/>
    </row>
    <row r="31" spans="1:11" ht="15.75">
      <c r="A31" s="66"/>
      <c r="B31" s="66" t="s">
        <v>419</v>
      </c>
      <c r="C31" s="66"/>
      <c r="D31" s="66"/>
      <c r="E31" s="66"/>
      <c r="F31" s="66"/>
      <c r="G31" s="66"/>
      <c r="H31" s="66"/>
      <c r="I31" s="66"/>
      <c r="J31" s="66"/>
      <c r="K31" s="215">
        <f>inputOth!E71</f>
        <v>0</v>
      </c>
    </row>
    <row r="32" spans="1:11" ht="15.75">
      <c r="A32" s="66"/>
      <c r="B32" s="66"/>
      <c r="C32" s="66"/>
      <c r="D32" s="66"/>
      <c r="E32" s="66"/>
      <c r="F32" s="66"/>
      <c r="G32" s="66"/>
      <c r="H32" s="66"/>
      <c r="I32" s="66"/>
      <c r="J32" s="66"/>
      <c r="K32" s="66"/>
    </row>
    <row r="33" spans="1:11" ht="15.75">
      <c r="A33" s="66"/>
      <c r="B33" s="74" t="s">
        <v>480</v>
      </c>
      <c r="C33" s="66"/>
      <c r="D33" s="66"/>
      <c r="E33" s="66"/>
      <c r="F33" s="66"/>
      <c r="G33" s="216">
        <f>IF(D23=0,0,G25/D23)</f>
        <v>0.08523757707653247</v>
      </c>
      <c r="H33" s="66"/>
      <c r="I33" s="66"/>
      <c r="J33" s="66"/>
      <c r="K33" s="66"/>
    </row>
    <row r="34" spans="1:11" ht="15.75">
      <c r="A34" s="66"/>
      <c r="B34" s="66"/>
      <c r="C34" s="217"/>
      <c r="D34" s="66"/>
      <c r="E34" s="66"/>
      <c r="F34" s="66"/>
      <c r="G34" s="66"/>
      <c r="H34" s="66"/>
      <c r="I34" s="66"/>
      <c r="J34" s="66"/>
      <c r="K34" s="66"/>
    </row>
    <row r="35" spans="1:11" ht="15.75">
      <c r="A35" s="66"/>
      <c r="B35" s="74" t="s">
        <v>481</v>
      </c>
      <c r="C35" s="66"/>
      <c r="D35" s="66"/>
      <c r="E35" s="66"/>
      <c r="F35" s="66"/>
      <c r="G35" s="66"/>
      <c r="H35" s="218">
        <f>IF(D23=0,0,H27/D23)</f>
        <v>0</v>
      </c>
      <c r="I35" s="219">
        <f>IF(D23=0,0,I27/D23)</f>
        <v>0.0014508523757707653</v>
      </c>
      <c r="J35" s="66"/>
      <c r="K35" s="66"/>
    </row>
    <row r="36" spans="1:11" ht="15.75">
      <c r="A36" s="66"/>
      <c r="B36" s="66"/>
      <c r="C36" s="66"/>
      <c r="D36" s="66"/>
      <c r="E36" s="66"/>
      <c r="F36" s="66"/>
      <c r="G36" s="66"/>
      <c r="H36" s="66"/>
      <c r="I36" s="66"/>
      <c r="J36" s="66"/>
      <c r="K36" s="66"/>
    </row>
    <row r="37" spans="1:11" ht="15.75">
      <c r="A37" s="66"/>
      <c r="B37" s="74" t="s">
        <v>294</v>
      </c>
      <c r="C37" s="66"/>
      <c r="D37" s="66"/>
      <c r="E37" s="66"/>
      <c r="F37" s="66"/>
      <c r="G37" s="66"/>
      <c r="H37" s="66"/>
      <c r="I37" s="66"/>
      <c r="J37" s="216">
        <f>IF(D23=0,0,J29/D23)</f>
        <v>0.003627130939426913</v>
      </c>
      <c r="K37" s="220"/>
    </row>
    <row r="38" spans="1:11" ht="15.75">
      <c r="A38" s="66"/>
      <c r="B38" s="66"/>
      <c r="C38" s="66"/>
      <c r="D38" s="66"/>
      <c r="E38" s="66"/>
      <c r="F38" s="66"/>
      <c r="G38" s="66"/>
      <c r="H38" s="66"/>
      <c r="I38" s="66"/>
      <c r="J38" s="66"/>
      <c r="K38" s="66"/>
    </row>
    <row r="39" spans="1:11" ht="15.75">
      <c r="A39" s="66"/>
      <c r="B39" s="66" t="s">
        <v>420</v>
      </c>
      <c r="C39" s="66"/>
      <c r="D39" s="66"/>
      <c r="E39" s="66"/>
      <c r="F39" s="66"/>
      <c r="G39" s="66"/>
      <c r="H39" s="66"/>
      <c r="I39" s="66"/>
      <c r="J39" s="66"/>
      <c r="K39" s="216">
        <f>IF(D23=0,0,K31/D23)</f>
        <v>0</v>
      </c>
    </row>
    <row r="40" spans="1:11" ht="15.75">
      <c r="A40" s="66"/>
      <c r="B40" s="66"/>
      <c r="C40" s="66"/>
      <c r="D40" s="66"/>
      <c r="E40" s="66"/>
      <c r="F40" s="66"/>
      <c r="G40" s="66"/>
      <c r="H40" s="66"/>
      <c r="I40" s="66"/>
      <c r="J40" s="66"/>
      <c r="K40" s="66"/>
    </row>
    <row r="44" spans="2:8" ht="15.75">
      <c r="B44" s="221"/>
      <c r="C44" s="221"/>
      <c r="D44" s="221"/>
      <c r="E44" s="221"/>
      <c r="F44" s="221"/>
      <c r="G44" s="221"/>
      <c r="H44" s="221"/>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18" sqref="C18"/>
    </sheetView>
  </sheetViews>
  <sheetFormatPr defaultColWidth="8.796875" defaultRowHeight="15.75"/>
  <cols>
    <col min="1" max="2" width="16" style="128" customWidth="1"/>
    <col min="3" max="6" width="11.5" style="128" customWidth="1"/>
    <col min="7" max="16384" width="8.796875" style="128" customWidth="1"/>
  </cols>
  <sheetData>
    <row r="1" spans="1:6" ht="15.75">
      <c r="A1" s="198"/>
      <c r="B1" s="66"/>
      <c r="C1" s="66"/>
      <c r="D1" s="66"/>
      <c r="E1" s="184"/>
      <c r="F1" s="66">
        <f>inputPrYr!D9</f>
        <v>2013</v>
      </c>
    </row>
    <row r="2" spans="1:6" ht="15.75">
      <c r="A2" s="123" t="str">
        <f>inputPrYr!D3</f>
        <v>Liberty Township</v>
      </c>
      <c r="B2" s="123"/>
      <c r="C2" s="66"/>
      <c r="D2" s="66"/>
      <c r="E2" s="184"/>
      <c r="F2" s="66"/>
    </row>
    <row r="3" spans="1:6" ht="15.75">
      <c r="A3" s="198"/>
      <c r="B3" s="123"/>
      <c r="C3" s="66"/>
      <c r="D3" s="66"/>
      <c r="E3" s="184"/>
      <c r="F3" s="66"/>
    </row>
    <row r="4" spans="1:6" ht="15.75">
      <c r="A4" s="198"/>
      <c r="B4" s="66"/>
      <c r="C4" s="66"/>
      <c r="D4" s="66"/>
      <c r="E4" s="184"/>
      <c r="F4" s="66"/>
    </row>
    <row r="5" spans="1:6" ht="15" customHeight="1">
      <c r="A5" s="499" t="s">
        <v>382</v>
      </c>
      <c r="B5" s="499"/>
      <c r="C5" s="499"/>
      <c r="D5" s="499"/>
      <c r="E5" s="499"/>
      <c r="F5" s="499"/>
    </row>
    <row r="6" spans="1:6" ht="14.25" customHeight="1">
      <c r="A6" s="65"/>
      <c r="B6" s="222"/>
      <c r="C6" s="222"/>
      <c r="D6" s="222"/>
      <c r="E6" s="222"/>
      <c r="F6" s="222"/>
    </row>
    <row r="7" spans="1:6" ht="15" customHeight="1">
      <c r="A7" s="223" t="s">
        <v>462</v>
      </c>
      <c r="B7" s="223" t="s">
        <v>221</v>
      </c>
      <c r="C7" s="224" t="s">
        <v>501</v>
      </c>
      <c r="D7" s="224" t="s">
        <v>383</v>
      </c>
      <c r="E7" s="223" t="s">
        <v>384</v>
      </c>
      <c r="F7" s="223" t="s">
        <v>385</v>
      </c>
    </row>
    <row r="8" spans="1:6" ht="15" customHeight="1">
      <c r="A8" s="225" t="s">
        <v>222</v>
      </c>
      <c r="B8" s="225" t="s">
        <v>223</v>
      </c>
      <c r="C8" s="226" t="s">
        <v>386</v>
      </c>
      <c r="D8" s="226" t="s">
        <v>386</v>
      </c>
      <c r="E8" s="226" t="s">
        <v>386</v>
      </c>
      <c r="F8" s="226" t="s">
        <v>387</v>
      </c>
    </row>
    <row r="9" spans="1:6" s="229" customFormat="1" ht="15" customHeight="1" thickBot="1">
      <c r="A9" s="227" t="s">
        <v>388</v>
      </c>
      <c r="B9" s="228" t="s">
        <v>389</v>
      </c>
      <c r="C9" s="228">
        <f>F1-2</f>
        <v>2011</v>
      </c>
      <c r="D9" s="228">
        <f>F1-1</f>
        <v>2012</v>
      </c>
      <c r="E9" s="228">
        <f>F1</f>
        <v>2013</v>
      </c>
      <c r="F9" s="228" t="s">
        <v>449</v>
      </c>
    </row>
    <row r="10" spans="1:6" ht="15" customHeight="1" thickTop="1">
      <c r="A10" s="230"/>
      <c r="B10" s="230"/>
      <c r="C10" s="231" t="s">
        <v>456</v>
      </c>
      <c r="D10" s="231"/>
      <c r="E10" s="231"/>
      <c r="F10" s="230"/>
    </row>
    <row r="11" spans="1:6" ht="15" customHeight="1">
      <c r="A11" s="180" t="s">
        <v>437</v>
      </c>
      <c r="B11" s="180" t="s">
        <v>466</v>
      </c>
      <c r="C11" s="232">
        <f>gen!$C$39</f>
        <v>0</v>
      </c>
      <c r="D11" s="232">
        <f>gen!$D$39</f>
        <v>0</v>
      </c>
      <c r="E11" s="232">
        <f>gen!$E$39</f>
        <v>0</v>
      </c>
      <c r="F11" s="180">
        <f>IF(C11+D11+E11&gt;0,"80-1406b","")</f>
      </c>
    </row>
    <row r="12" spans="1:6" ht="15" customHeight="1">
      <c r="A12" s="180" t="s">
        <v>437</v>
      </c>
      <c r="B12" s="180" t="s">
        <v>466</v>
      </c>
      <c r="C12" s="232">
        <f>gen!$C$41</f>
        <v>0</v>
      </c>
      <c r="D12" s="232">
        <f>gen!$D$41</f>
        <v>0</v>
      </c>
      <c r="E12" s="232">
        <f>gen!$E$41</f>
        <v>0</v>
      </c>
      <c r="F12" s="180">
        <f>IF(C12+D12+E12&gt;0,"80-122","")</f>
      </c>
    </row>
    <row r="13" spans="1:6" ht="15" customHeight="1">
      <c r="A13" s="180" t="s">
        <v>453</v>
      </c>
      <c r="B13" s="180" t="s">
        <v>466</v>
      </c>
      <c r="C13" s="232" t="e">
        <f>#REF!</f>
        <v>#REF!</v>
      </c>
      <c r="D13" s="232" t="e">
        <f>#REF!</f>
        <v>#REF!</v>
      </c>
      <c r="E13" s="232" t="e">
        <f>#REF!</f>
        <v>#REF!</v>
      </c>
      <c r="F13" s="180" t="e">
        <f>IF(C13+D13+E13&gt;0,"68-141g","")</f>
        <v>#REF!</v>
      </c>
    </row>
    <row r="14" spans="1:6" ht="15" customHeight="1">
      <c r="A14" s="152"/>
      <c r="B14" s="152"/>
      <c r="C14" s="233"/>
      <c r="D14" s="233"/>
      <c r="E14" s="233"/>
      <c r="F14" s="152"/>
    </row>
    <row r="15" spans="1:6" ht="15" customHeight="1">
      <c r="A15" s="152"/>
      <c r="B15" s="152"/>
      <c r="C15" s="233"/>
      <c r="D15" s="233"/>
      <c r="E15" s="233"/>
      <c r="F15" s="152"/>
    </row>
    <row r="16" spans="1:6" ht="15" customHeight="1">
      <c r="A16" s="152"/>
      <c r="B16" s="152"/>
      <c r="C16" s="233"/>
      <c r="D16" s="233"/>
      <c r="E16" s="233"/>
      <c r="F16" s="152"/>
    </row>
    <row r="17" spans="1:6" ht="15" customHeight="1">
      <c r="A17" s="152"/>
      <c r="B17" s="152"/>
      <c r="C17" s="233"/>
      <c r="D17" s="233"/>
      <c r="E17" s="233"/>
      <c r="F17" s="152"/>
    </row>
    <row r="18" spans="1:6" ht="15" customHeight="1">
      <c r="A18" s="152"/>
      <c r="B18" s="152"/>
      <c r="C18" s="233"/>
      <c r="D18" s="233"/>
      <c r="E18" s="233"/>
      <c r="F18" s="152"/>
    </row>
    <row r="19" spans="1:6" ht="15" customHeight="1">
      <c r="A19" s="152"/>
      <c r="B19" s="234"/>
      <c r="C19" s="233"/>
      <c r="D19" s="233"/>
      <c r="E19" s="233"/>
      <c r="F19" s="152"/>
    </row>
    <row r="20" spans="1:6" ht="15" customHeight="1">
      <c r="A20" s="152"/>
      <c r="B20" s="152"/>
      <c r="C20" s="233"/>
      <c r="D20" s="233"/>
      <c r="E20" s="233"/>
      <c r="F20" s="152"/>
    </row>
    <row r="21" spans="1:6" ht="15" customHeight="1">
      <c r="A21" s="152"/>
      <c r="B21" s="152"/>
      <c r="C21" s="233"/>
      <c r="D21" s="233"/>
      <c r="E21" s="233"/>
      <c r="F21" s="152"/>
    </row>
    <row r="22" spans="1:6" ht="15" customHeight="1">
      <c r="A22" s="152"/>
      <c r="B22" s="152"/>
      <c r="C22" s="233"/>
      <c r="D22" s="233"/>
      <c r="E22" s="233"/>
      <c r="F22" s="152"/>
    </row>
    <row r="23" spans="1:6" ht="15" customHeight="1">
      <c r="A23" s="152"/>
      <c r="B23" s="152"/>
      <c r="C23" s="233"/>
      <c r="D23" s="233"/>
      <c r="E23" s="233"/>
      <c r="F23" s="152"/>
    </row>
    <row r="24" spans="1:6" ht="15" customHeight="1">
      <c r="A24" s="152"/>
      <c r="B24" s="152"/>
      <c r="C24" s="233"/>
      <c r="D24" s="233"/>
      <c r="E24" s="233"/>
      <c r="F24" s="152"/>
    </row>
    <row r="25" spans="1:6" ht="15" customHeight="1">
      <c r="A25" s="152"/>
      <c r="B25" s="152"/>
      <c r="C25" s="233"/>
      <c r="D25" s="233"/>
      <c r="E25" s="233"/>
      <c r="F25" s="152"/>
    </row>
    <row r="26" spans="1:6" ht="15" customHeight="1">
      <c r="A26" s="152"/>
      <c r="B26" s="152"/>
      <c r="C26" s="233"/>
      <c r="D26" s="233"/>
      <c r="E26" s="233"/>
      <c r="F26" s="152"/>
    </row>
    <row r="27" spans="1:6" ht="15.75">
      <c r="A27" s="164"/>
      <c r="B27" s="90" t="s">
        <v>454</v>
      </c>
      <c r="C27" s="235" t="e">
        <f>SUM(C10:C26)</f>
        <v>#REF!</v>
      </c>
      <c r="D27" s="235" t="e">
        <f>SUM(D10:D26)</f>
        <v>#REF!</v>
      </c>
      <c r="E27" s="235" t="e">
        <f>SUM(E10:E26)</f>
        <v>#REF!</v>
      </c>
      <c r="F27" s="164"/>
    </row>
    <row r="28" spans="1:6" ht="15.75">
      <c r="A28" s="164"/>
      <c r="B28" s="90" t="s">
        <v>220</v>
      </c>
      <c r="C28" s="66"/>
      <c r="D28" s="152"/>
      <c r="E28" s="152"/>
      <c r="F28" s="164"/>
    </row>
    <row r="29" spans="1:6" ht="15.75">
      <c r="A29" s="164"/>
      <c r="B29" s="90" t="s">
        <v>390</v>
      </c>
      <c r="C29" s="154" t="e">
        <f>C27</f>
        <v>#REF!</v>
      </c>
      <c r="D29" s="154" t="e">
        <f>SUM(D27-D28)</f>
        <v>#REF!</v>
      </c>
      <c r="E29" s="154" t="e">
        <f>SUM(E27-E28)</f>
        <v>#REF!</v>
      </c>
      <c r="F29" s="164"/>
    </row>
    <row r="30" spans="1:6" ht="15.75">
      <c r="A30" s="164"/>
      <c r="B30" s="66"/>
      <c r="C30" s="66"/>
      <c r="D30" s="66"/>
      <c r="E30" s="66"/>
      <c r="F30" s="164"/>
    </row>
    <row r="31" spans="1:6" ht="15.75">
      <c r="A31" s="164"/>
      <c r="B31" s="66"/>
      <c r="C31" s="66"/>
      <c r="D31" s="66"/>
      <c r="E31" s="66"/>
      <c r="F31" s="164"/>
    </row>
    <row r="32" spans="1:6" ht="15.75">
      <c r="A32" s="361" t="s">
        <v>224</v>
      </c>
      <c r="B32" s="362" t="str">
        <f>CONCATENATE("Adjustments are required only if the transfer is being made in ",D9," and/or ",E9," from a non-budgeted fund.")</f>
        <v>Adjustments are required only if the transfer is being made in 2012 and/or 2013 from a non-budgeted fund.</v>
      </c>
      <c r="C32" s="66"/>
      <c r="D32" s="66"/>
      <c r="E32" s="66"/>
      <c r="F32" s="164"/>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4">
      <selection activeCell="B2" sqref="B2"/>
    </sheetView>
  </sheetViews>
  <sheetFormatPr defaultColWidth="8.796875" defaultRowHeight="15.75"/>
  <cols>
    <col min="1" max="1" width="70.09765625" style="112" customWidth="1"/>
    <col min="2" max="16384" width="8.796875" style="112" customWidth="1"/>
  </cols>
  <sheetData>
    <row r="1" ht="18.75">
      <c r="A1" s="342" t="s">
        <v>517</v>
      </c>
    </row>
    <row r="2" ht="15.75">
      <c r="A2" s="117"/>
    </row>
    <row r="3" ht="15.75">
      <c r="A3" s="117"/>
    </row>
    <row r="4" ht="52.5" customHeight="1">
      <c r="A4" s="191" t="s">
        <v>535</v>
      </c>
    </row>
    <row r="5" ht="15.75">
      <c r="A5" s="117"/>
    </row>
    <row r="6" ht="15.75">
      <c r="A6" s="117"/>
    </row>
    <row r="7" ht="70.5" customHeight="1">
      <c r="A7" s="191" t="s">
        <v>536</v>
      </c>
    </row>
    <row r="8" ht="15.75">
      <c r="A8" s="337"/>
    </row>
    <row r="9" ht="15.75">
      <c r="A9" s="117"/>
    </row>
    <row r="10" ht="56.25" customHeight="1">
      <c r="A10" s="191" t="s">
        <v>537</v>
      </c>
    </row>
    <row r="11" ht="15.75">
      <c r="A11" s="337"/>
    </row>
    <row r="12" ht="15.75">
      <c r="A12" s="337"/>
    </row>
    <row r="13" ht="57.75" customHeight="1">
      <c r="A13" s="191" t="s">
        <v>538</v>
      </c>
    </row>
    <row r="14" ht="15.75">
      <c r="A14" s="337"/>
    </row>
    <row r="15" ht="15.75">
      <c r="A15" s="337"/>
    </row>
    <row r="16" ht="87.75" customHeight="1">
      <c r="A16" s="191" t="s">
        <v>539</v>
      </c>
    </row>
    <row r="17" ht="15.75">
      <c r="A17" s="337"/>
    </row>
    <row r="18" ht="15.75">
      <c r="A18" s="117"/>
    </row>
    <row r="19" ht="54.75" customHeight="1">
      <c r="A19" s="191" t="s">
        <v>540</v>
      </c>
    </row>
    <row r="20" ht="15.75">
      <c r="A20" s="117"/>
    </row>
    <row r="21" ht="15.75">
      <c r="A21" s="117"/>
    </row>
    <row r="22" ht="69" customHeight="1">
      <c r="A22" s="191" t="s">
        <v>541</v>
      </c>
    </row>
    <row r="23" ht="15.75">
      <c r="A23" s="117"/>
    </row>
    <row r="24" ht="15.75">
      <c r="A24" s="339"/>
    </row>
    <row r="25" ht="47.25" customHeight="1">
      <c r="A25" s="340" t="s">
        <v>542</v>
      </c>
    </row>
    <row r="26" ht="15.75">
      <c r="A26" s="341"/>
    </row>
    <row r="27" ht="15.75">
      <c r="A27" s="339"/>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2012-08-17T18:19:09Z</cp:lastPrinted>
  <dcterms:created xsi:type="dcterms:W3CDTF">1998-08-26T16:30:41Z</dcterms:created>
  <dcterms:modified xsi:type="dcterms:W3CDTF">2012-08-17T18:22:35Z</dcterms:modified>
  <cp:category/>
  <cp:version/>
  <cp:contentType/>
  <cp:contentStatus/>
</cp:coreProperties>
</file>