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levypage9" sheetId="23" r:id="rId23"/>
    <sheet name="levypage10" sheetId="24" r:id="rId24"/>
    <sheet name="levypage11" sheetId="25" r:id="rId25"/>
    <sheet name="nolevypage12" sheetId="26" r:id="rId26"/>
    <sheet name="DebtSvs-Library" sheetId="27" r:id="rId27"/>
    <sheet name="nonbud" sheetId="28" r:id="rId28"/>
    <sheet name="NonBudFunds" sheetId="29" r:id="rId29"/>
    <sheet name="Helpful Links" sheetId="30" r:id="rId30"/>
    <sheet name="legend" sheetId="31" r:id="rId31"/>
  </sheets>
  <definedNames>
    <definedName name="_xlnm.Print_Area" localSheetId="26">'DebtSvs-Library'!$B$1:$E$83</definedName>
    <definedName name="_xlnm.Print_Area" localSheetId="11">'gen'!$B$1:$E$51</definedName>
    <definedName name="_xlnm.Print_Area" localSheetId="1">'inputPrYr'!$A$1:$E$85</definedName>
    <definedName name="_xlnm.Print_Area" localSheetId="23">'levypage10'!$A$1:$E$86</definedName>
    <definedName name="_xlnm.Print_Area" localSheetId="24">'levypage11'!$A$1:$E$86</definedName>
    <definedName name="_xlnm.Print_Area" localSheetId="22">'levypage9'!$A$1:$E$86</definedName>
    <definedName name="_xlnm.Print_Area" localSheetId="10">'Library Grant'!$A$1:$J$40</definedName>
    <definedName name="_xlnm.Print_Area" localSheetId="12">'road'!$B$1:$F$65</definedName>
    <definedName name="_xlnm.Print_Area" localSheetId="13">'summ'!$B$2:$I$33</definedName>
  </definedNames>
  <calcPr fullCalcOnLoad="1"/>
</workbook>
</file>

<file path=xl/sharedStrings.xml><?xml version="1.0" encoding="utf-8"?>
<sst xmlns="http://schemas.openxmlformats.org/spreadsheetml/2006/main" count="1559" uniqueCount="947">
  <si>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</si>
  <si>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</si>
  <si>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</si>
  <si>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</si>
  <si>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</si>
  <si>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</si>
  <si>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</si>
  <si>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</si>
  <si>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</si>
  <si>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</si>
  <si>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</si>
  <si>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</si>
  <si>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</si>
  <si>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</si>
  <si>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</si>
  <si>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</si>
  <si>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</si>
  <si>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</si>
  <si>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</si>
  <si>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</si>
  <si>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</si>
  <si>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</si>
  <si>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</si>
  <si>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</si>
  <si>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</si>
  <si>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</si>
  <si>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</si>
  <si>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</si>
  <si>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</si>
  <si>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</si>
  <si>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</si>
  <si>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</si>
  <si>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</si>
  <si>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</si>
  <si>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</si>
  <si>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</si>
  <si>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</si>
  <si>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</si>
  <si>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</si>
  <si>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</si>
  <si>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</si>
  <si>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</si>
  <si>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</si>
  <si>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</si>
  <si>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</si>
  <si>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</si>
  <si>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</si>
  <si>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</si>
  <si>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</si>
  <si>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</si>
  <si>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</si>
  <si>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</si>
  <si>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</si>
  <si>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</si>
  <si>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</si>
  <si>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</si>
  <si>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</si>
  <si>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</si>
  <si>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</si>
  <si>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</si>
  <si>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</si>
  <si>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</si>
  <si>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</si>
  <si>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</si>
  <si>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</si>
  <si>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</si>
  <si>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</si>
  <si>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</si>
  <si>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</si>
  <si>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</si>
  <si>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</si>
  <si>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</si>
  <si>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</si>
  <si>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</si>
  <si>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</si>
  <si>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</si>
  <si>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</si>
  <si>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</si>
  <si>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</si>
  <si>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</si>
  <si>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</si>
  <si>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</si>
  <si>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</si>
  <si>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</si>
  <si>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</si>
  <si>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</si>
  <si>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</si>
  <si>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</si>
  <si>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</si>
  <si>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</si>
  <si>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</si>
  <si>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</si>
  <si>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</si>
  <si>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</si>
  <si>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</si>
  <si>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</si>
  <si>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</si>
  <si>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</si>
  <si>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</si>
  <si>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</si>
  <si>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</si>
  <si>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</si>
  <si>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</si>
  <si>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</si>
  <si>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</si>
  <si>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</si>
  <si>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</si>
  <si>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</si>
  <si>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</si>
  <si>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</si>
  <si>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</si>
  <si>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</si>
  <si>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</si>
  <si>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</si>
  <si>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</si>
  <si>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</si>
  <si>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</si>
  <si>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</si>
  <si>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</si>
  <si>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</si>
  <si>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</si>
  <si>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</si>
  <si>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</si>
  <si>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</si>
  <si>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</si>
  <si>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</si>
  <si>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</si>
  <si>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</si>
  <si>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</si>
  <si>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</si>
  <si>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</si>
  <si>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</si>
  <si>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</si>
  <si>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</si>
  <si>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</si>
  <si>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</si>
  <si>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</si>
  <si>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</si>
  <si>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</si>
  <si>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</si>
  <si>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</si>
  <si>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</si>
  <si>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</si>
  <si>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</si>
  <si>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</si>
  <si>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</si>
  <si>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</si>
  <si>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</si>
  <si>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</si>
  <si>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</si>
  <si>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</si>
  <si>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</si>
  <si>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</si>
  <si>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</si>
  <si>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</si>
  <si>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</si>
  <si>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</si>
  <si>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</si>
  <si>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</si>
  <si>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</si>
  <si>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</si>
  <si>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</si>
  <si>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</si>
  <si>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</si>
  <si>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</si>
  <si>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</si>
  <si>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</si>
  <si>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</si>
  <si>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</si>
  <si>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</si>
  <si>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</si>
  <si>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</si>
  <si>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</si>
  <si>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</si>
  <si>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</si>
  <si>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</si>
  <si>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</si>
  <si>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</si>
  <si>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</si>
  <si>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</si>
  <si>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</si>
  <si>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</si>
  <si>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</si>
  <si>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</si>
  <si>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</si>
  <si>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</si>
  <si>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</si>
  <si>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</si>
  <si>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</si>
  <si>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</si>
  <si>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</si>
  <si>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</si>
  <si>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</si>
  <si>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</si>
  <si>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</si>
  <si>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</si>
  <si>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</si>
  <si>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</si>
  <si>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</si>
  <si>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</si>
  <si>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</si>
  <si>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</si>
  <si>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</si>
  <si>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</si>
  <si>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</si>
  <si>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</si>
  <si>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</si>
  <si>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</si>
  <si>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</si>
  <si>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</si>
  <si>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</si>
  <si>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</si>
  <si>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</si>
  <si>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</si>
  <si>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</si>
  <si>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</si>
  <si>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</si>
  <si>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</si>
  <si>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</si>
  <si>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</si>
  <si>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</si>
  <si>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</si>
  <si>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</si>
  <si>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</si>
  <si>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</si>
  <si>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</si>
  <si>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</si>
  <si>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</si>
  <si>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</si>
  <si>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</si>
  <si>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</si>
  <si>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</si>
  <si>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</si>
  <si>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</si>
  <si>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</si>
  <si>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</si>
  <si>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</si>
  <si>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</si>
  <si>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</si>
  <si>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</si>
  <si>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</si>
  <si>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</si>
  <si>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</si>
  <si>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</si>
  <si>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</si>
  <si>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</si>
  <si>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</si>
  <si>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</si>
  <si>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</si>
  <si>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</si>
  <si>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</si>
  <si>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</si>
  <si>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</si>
  <si>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</si>
  <si>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</si>
  <si>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</si>
  <si>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</si>
  <si>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</si>
  <si>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</si>
  <si>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</si>
  <si>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</si>
  <si>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</si>
  <si>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</si>
  <si>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</si>
  <si>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</si>
  <si>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</si>
  <si>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</si>
  <si>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</si>
  <si>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</si>
  <si>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</si>
  <si>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</si>
  <si>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</si>
  <si>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</si>
  <si>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</si>
  <si>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</si>
  <si>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</si>
  <si>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</si>
  <si>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</si>
  <si>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</si>
  <si>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</si>
  <si>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</si>
  <si>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</si>
  <si>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</si>
  <si>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</si>
  <si>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</si>
  <si>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</si>
  <si>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</si>
  <si>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</si>
  <si>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</si>
  <si>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</si>
  <si>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</si>
  <si>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</si>
  <si>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</si>
  <si>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</si>
  <si>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</si>
  <si>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</si>
  <si>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</si>
  <si>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</si>
  <si>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</si>
  <si>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</si>
  <si>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</si>
  <si>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</si>
  <si>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</si>
  <si>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</si>
  <si>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</si>
  <si>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</si>
  <si>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</si>
  <si>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</si>
  <si>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</si>
  <si>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</si>
  <si>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</si>
  <si>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</si>
  <si>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</si>
  <si>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</si>
  <si>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</si>
  <si>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</si>
  <si>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</si>
  <si>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</si>
  <si>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</si>
  <si>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</si>
  <si>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</si>
  <si>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</si>
  <si>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</si>
  <si>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</si>
  <si>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</si>
  <si>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</si>
  <si>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</si>
  <si>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</si>
  <si>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</si>
  <si>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</si>
  <si>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</si>
  <si>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</si>
  <si>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</si>
  <si>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</si>
  <si>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</si>
  <si>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</si>
  <si>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</si>
  <si>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</si>
  <si>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</si>
  <si>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</si>
  <si>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</si>
  <si>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</si>
  <si>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</si>
  <si>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</si>
  <si>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</si>
  <si>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</si>
  <si>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</si>
  <si>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</si>
  <si>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</si>
  <si>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</si>
  <si>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</si>
  <si>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</si>
  <si>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</si>
  <si>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</si>
  <si>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</si>
  <si>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</si>
  <si>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</si>
  <si>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</si>
  <si>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</si>
  <si>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</si>
  <si>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</si>
  <si>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</si>
  <si>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</si>
  <si>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</si>
  <si>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</si>
  <si>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</si>
  <si>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</si>
  <si>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</si>
  <si>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</si>
  <si>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</si>
  <si>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</si>
  <si>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</si>
  <si>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</si>
  <si>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</si>
  <si>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</si>
  <si>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</si>
  <si>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</si>
  <si>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</si>
  <si>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</si>
  <si>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</si>
  <si>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</si>
  <si>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</si>
  <si>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</si>
  <si>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</si>
  <si>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</si>
  <si>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</si>
  <si>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</si>
  <si>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</si>
  <si>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</si>
  <si>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</si>
  <si>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</si>
  <si>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</si>
  <si>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</si>
  <si>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</si>
  <si>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</si>
  <si>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</si>
  <si>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</si>
  <si>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</si>
  <si>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</si>
  <si>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</si>
  <si>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</si>
  <si>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</si>
  <si>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</si>
  <si>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</si>
  <si>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</si>
  <si>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</si>
  <si>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</si>
  <si>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</si>
  <si>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</si>
  <si>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</si>
  <si>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</si>
  <si>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</si>
  <si>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</si>
  <si>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</si>
  <si>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</si>
  <si>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</si>
  <si>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</si>
  <si>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</si>
  <si>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</si>
  <si>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</si>
  <si>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</si>
  <si>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</si>
  <si>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</si>
  <si>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</si>
  <si>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</si>
  <si>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</si>
  <si>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</si>
  <si>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</si>
  <si>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</si>
  <si>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</si>
  <si>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</si>
  <si>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</si>
  <si>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</si>
  <si>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</si>
  <si>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</si>
  <si>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</si>
  <si>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</si>
  <si>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</si>
  <si>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</si>
  <si>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</si>
  <si>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</si>
  <si>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</si>
  <si>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</si>
  <si>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</si>
  <si>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</si>
  <si>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</si>
  <si>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</si>
  <si>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</si>
  <si>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</si>
  <si>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</si>
  <si>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</si>
  <si>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</si>
  <si>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</si>
  <si>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</si>
  <si>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</si>
  <si>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</si>
  <si>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</si>
  <si>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</si>
  <si>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</si>
  <si>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</si>
  <si>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</si>
  <si>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</si>
  <si>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</si>
  <si>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</si>
  <si>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</si>
  <si>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</si>
  <si>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</si>
  <si>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</si>
  <si>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</si>
  <si>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</si>
  <si>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</si>
  <si>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</si>
  <si>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</si>
  <si>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</si>
  <si>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</si>
  <si>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</si>
  <si>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</si>
  <si>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</si>
  <si>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</si>
  <si>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</si>
  <si>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</si>
  <si>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</si>
  <si>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</si>
  <si>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</si>
  <si>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</si>
  <si>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</si>
  <si>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</si>
  <si>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</si>
  <si>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</si>
  <si>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</si>
  <si>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</si>
  <si>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</si>
  <si>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</si>
  <si>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</si>
  <si>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</si>
  <si>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</si>
  <si>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</si>
  <si>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</si>
  <si>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</si>
  <si>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</si>
  <si>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</si>
  <si>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</si>
  <si>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</si>
  <si>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</si>
  <si>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</si>
  <si>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</si>
  <si>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</si>
  <si>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</si>
  <si>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</si>
  <si>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</si>
  <si>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</si>
  <si>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</si>
  <si>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</si>
  <si>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</si>
  <si>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</si>
  <si>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</si>
  <si>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</si>
  <si>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</si>
  <si>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</si>
  <si>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</si>
  <si>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</si>
  <si>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</si>
  <si>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</si>
  <si>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</si>
  <si>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</si>
  <si>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</si>
  <si>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</si>
  <si>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</si>
  <si>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</si>
  <si>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</si>
  <si>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</si>
  <si>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</si>
  <si>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</si>
  <si>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</si>
  <si>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</si>
  <si>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</si>
  <si>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</si>
  <si>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</si>
  <si>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</si>
  <si>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</si>
  <si>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</si>
  <si>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</si>
  <si>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</si>
  <si>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</si>
  <si>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</si>
  <si>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</si>
  <si>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</si>
  <si>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</si>
  <si>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</si>
  <si>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</si>
  <si>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</si>
  <si>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</si>
  <si>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</si>
  <si>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</si>
  <si>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</si>
  <si>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</si>
  <si>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</si>
  <si>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</si>
  <si>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</si>
  <si>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</si>
  <si>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</si>
  <si>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</si>
  <si>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</si>
  <si>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</si>
  <si>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</si>
  <si>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</si>
  <si>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</si>
  <si>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</si>
  <si>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</si>
  <si>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</si>
  <si>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</si>
  <si>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</si>
  <si>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</si>
  <si>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</si>
  <si>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</si>
  <si>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</si>
  <si>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</si>
  <si>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</si>
  <si>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</si>
  <si>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</si>
  <si>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</si>
  <si>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</si>
  <si>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</si>
  <si>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</si>
  <si>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</si>
  <si>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</si>
  <si>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</si>
  <si>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</si>
  <si>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</si>
  <si>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</si>
  <si>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</si>
  <si>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</si>
  <si>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</si>
  <si>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</si>
  <si>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</si>
  <si>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</si>
  <si>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</si>
  <si>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</si>
  <si>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</si>
  <si>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</si>
  <si>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</si>
  <si>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</si>
  <si>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</si>
  <si>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</si>
  <si>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</si>
  <si>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</si>
  <si>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</si>
  <si>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</si>
  <si>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</si>
  <si>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</si>
  <si>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</si>
  <si>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</si>
  <si>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</si>
  <si>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</si>
  <si>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</si>
  <si>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</si>
  <si>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</si>
  <si>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</si>
  <si>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</si>
  <si>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</si>
  <si>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</si>
  <si>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</si>
  <si>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</si>
  <si>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</si>
  <si>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</si>
  <si>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</si>
  <si>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</si>
  <si>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</si>
  <si>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</si>
  <si>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</si>
  <si>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</si>
  <si>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</si>
  <si>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</si>
  <si>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</si>
  <si>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</si>
  <si>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</si>
  <si>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</si>
  <si>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</si>
  <si>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</si>
  <si>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</si>
  <si>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</si>
  <si>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</si>
  <si>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</si>
  <si>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</si>
  <si>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</si>
  <si>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</si>
  <si>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</si>
  <si>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</si>
  <si>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</si>
  <si>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</si>
  <si>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</si>
  <si>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</si>
  <si>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</si>
  <si>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</si>
  <si>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</si>
  <si>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</si>
  <si>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</si>
  <si>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</si>
  <si>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</si>
  <si>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</si>
  <si>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</si>
  <si>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</si>
  <si>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</si>
  <si>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</si>
  <si>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</si>
  <si>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</si>
  <si>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</si>
  <si>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</si>
  <si>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</si>
  <si>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</si>
  <si>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</si>
  <si>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</si>
  <si>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</si>
  <si>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</si>
  <si>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</si>
  <si>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</si>
  <si>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</si>
  <si>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</si>
  <si>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</si>
  <si>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</si>
  <si>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</si>
  <si>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</si>
  <si>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</si>
  <si>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</si>
  <si>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</si>
  <si>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</si>
  <si>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</si>
  <si>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</si>
  <si>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</si>
  <si>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</si>
  <si>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</si>
  <si>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</si>
  <si>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</si>
  <si>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</si>
  <si>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</si>
  <si>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</si>
  <si>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</si>
  <si>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</si>
  <si>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</si>
  <si>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</si>
  <si>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</si>
  <si>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</si>
  <si>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</si>
  <si>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</si>
  <si>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</si>
  <si>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</si>
  <si>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</si>
  <si>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</si>
  <si>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</si>
  <si>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</si>
  <si>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</si>
  <si>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</si>
  <si>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</si>
  <si>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</si>
  <si>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</si>
  <si>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</si>
  <si>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</si>
  <si>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</si>
  <si>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</si>
  <si>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</si>
  <si>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</si>
  <si>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</si>
  <si>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</si>
  <si>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</si>
  <si>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</si>
  <si>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</si>
  <si>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</si>
  <si>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</si>
  <si>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</si>
  <si>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</si>
  <si>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</si>
  <si>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</si>
  <si>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</si>
  <si>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</si>
  <si>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</si>
  <si>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</si>
  <si>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</si>
  <si>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</si>
  <si>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</si>
  <si>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</si>
  <si>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</si>
  <si>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</si>
  <si>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</si>
  <si>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</si>
  <si>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</si>
  <si>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</si>
  <si>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</si>
  <si>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</si>
  <si>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</si>
  <si>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</si>
  <si>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</si>
  <si>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</si>
  <si>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</si>
  <si>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</si>
  <si>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</si>
  <si>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</si>
  <si>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</si>
  <si>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</si>
  <si>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</si>
  <si>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</si>
  <si>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</si>
  <si>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</si>
  <si>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</si>
  <si>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</si>
  <si>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</si>
  <si>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</si>
  <si>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</si>
  <si>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</si>
  <si>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</si>
  <si>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</si>
  <si>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</si>
  <si>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</si>
  <si>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</si>
  <si>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</si>
  <si>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</si>
  <si>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</si>
  <si>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</si>
  <si>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</si>
  <si>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</si>
  <si>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</si>
  <si>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</si>
  <si>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</si>
  <si>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</si>
  <si>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</si>
  <si>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</si>
  <si>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</si>
  <si>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</si>
  <si>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</si>
  <si>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</si>
  <si>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</si>
  <si>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</si>
  <si>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</si>
  <si>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</si>
  <si>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</si>
  <si>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</si>
  <si>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</si>
  <si>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</si>
  <si>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</si>
  <si>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</si>
  <si>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</si>
  <si>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</si>
  <si>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</si>
  <si>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</si>
  <si>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</si>
  <si>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</si>
  <si>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</si>
  <si>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</si>
  <si>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</si>
  <si>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</si>
  <si>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</si>
  <si>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</si>
  <si>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</si>
  <si>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</si>
  <si>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</si>
  <si>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</si>
  <si>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</si>
  <si>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</si>
  <si>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</si>
  <si>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</si>
  <si>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</si>
  <si>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</si>
  <si>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</si>
  <si>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</si>
  <si>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</si>
  <si>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</si>
  <si>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</si>
  <si>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</si>
  <si>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</si>
  <si>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</si>
  <si>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</si>
  <si>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</si>
  <si>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</si>
  <si>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</si>
  <si>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</si>
  <si>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</si>
  <si>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</si>
  <si>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</si>
  <si>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</si>
  <si>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</si>
  <si>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</si>
  <si>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</si>
  <si>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</si>
  <si>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</si>
  <si>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</si>
  <si>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</si>
  <si>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</si>
  <si>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</si>
  <si>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</si>
  <si>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</si>
  <si>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</si>
  <si>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</si>
  <si>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</si>
  <si>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</si>
  <si>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</si>
  <si>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</si>
  <si>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</si>
  <si>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</si>
  <si>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</si>
  <si>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</si>
  <si>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</si>
  <si>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</si>
  <si>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</si>
  <si>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</si>
  <si>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</si>
  <si>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</si>
  <si>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</si>
  <si>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</si>
  <si>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</si>
  <si>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</si>
  <si>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</si>
  <si>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</si>
  <si>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</si>
  <si>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</si>
  <si>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</si>
  <si>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</si>
  <si>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</si>
  <si>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</si>
  <si>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</si>
  <si>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</si>
  <si>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</si>
  <si>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</si>
  <si>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</si>
  <si>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</si>
  <si>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</si>
  <si>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</si>
  <si>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</si>
  <si>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</si>
  <si>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</si>
  <si>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</si>
  <si>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</si>
  <si>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</si>
  <si>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</si>
  <si>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</si>
  <si>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</si>
  <si>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</si>
  <si>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</si>
  <si>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</si>
  <si>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</si>
  <si>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</si>
  <si>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</si>
  <si>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</si>
  <si>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</si>
  <si>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</si>
  <si>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</si>
  <si>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</si>
  <si>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</si>
  <si>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</si>
  <si>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</si>
  <si>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</si>
  <si>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</si>
  <si>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</si>
  <si>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</si>
  <si>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</si>
  <si>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</si>
  <si>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</si>
  <si>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</si>
  <si>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</si>
  <si>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</si>
  <si>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</si>
  <si>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</si>
  <si>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</si>
  <si>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</si>
  <si>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</si>
  <si>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</si>
  <si>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</si>
  <si>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</si>
  <si>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</si>
  <si>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</si>
  <si>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</si>
  <si>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</si>
  <si>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</si>
  <si>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Plum Creek Township</t>
  </si>
  <si>
    <t>Jerry Wessling</t>
  </si>
  <si>
    <t>Treasurer</t>
  </si>
  <si>
    <t>August 1, 2012</t>
  </si>
  <si>
    <t>8:00 PM</t>
  </si>
  <si>
    <t>Publications</t>
  </si>
  <si>
    <t>Tax Preparer</t>
  </si>
  <si>
    <t>Capital Improvements</t>
  </si>
  <si>
    <t>Solomon Rapids Township</t>
  </si>
  <si>
    <t>Material Sales</t>
  </si>
  <si>
    <t>Undeposited Taxes</t>
  </si>
  <si>
    <t>Equipment Repairs</t>
  </si>
  <si>
    <t>Noxious Weed Control</t>
  </si>
  <si>
    <t>Fuel</t>
  </si>
  <si>
    <t>Contract Labor</t>
  </si>
  <si>
    <t>Jerry Wessling's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</si>
</sst>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182</v>
      </c>
    </row>
    <row r="3" ht="34.5" customHeight="1">
      <c r="A3" s="332" t="s">
        <v>173</v>
      </c>
    </row>
    <row r="4" ht="15">
      <c r="A4" s="335"/>
    </row>
    <row r="5" ht="52.5" customHeight="1">
      <c r="A5" s="331" t="s">
        <v>320</v>
      </c>
    </row>
    <row r="6" ht="15">
      <c r="A6" s="331"/>
    </row>
    <row r="7" ht="34.5" customHeight="1">
      <c r="A7" s="331" t="s">
        <v>846</v>
      </c>
    </row>
    <row r="8" ht="15">
      <c r="A8" s="331"/>
    </row>
    <row r="9" ht="15">
      <c r="A9" s="331" t="s">
        <v>174</v>
      </c>
    </row>
    <row r="12" ht="15">
      <c r="A12" s="333" t="s">
        <v>217</v>
      </c>
    </row>
    <row r="13" ht="15">
      <c r="A13" s="333"/>
    </row>
    <row r="14" ht="18.75" customHeight="1">
      <c r="A14" s="335" t="s">
        <v>219</v>
      </c>
    </row>
    <row r="16" ht="39" customHeight="1">
      <c r="A16" s="336" t="s">
        <v>351</v>
      </c>
    </row>
    <row r="17" ht="9.75" customHeight="1">
      <c r="A17" s="336"/>
    </row>
    <row r="20" ht="15">
      <c r="A20" s="333" t="s">
        <v>175</v>
      </c>
    </row>
    <row r="22" ht="34.5" customHeight="1">
      <c r="A22" s="331" t="s">
        <v>220</v>
      </c>
    </row>
    <row r="23" ht="9.75" customHeight="1">
      <c r="A23" s="331"/>
    </row>
    <row r="24" ht="15">
      <c r="A24" s="337" t="s">
        <v>176</v>
      </c>
    </row>
    <row r="25" ht="15">
      <c r="A25" s="331"/>
    </row>
    <row r="26" ht="17.25" customHeight="1">
      <c r="A26" s="338" t="s">
        <v>177</v>
      </c>
    </row>
    <row r="27" ht="17.25" customHeight="1">
      <c r="A27" s="339"/>
    </row>
    <row r="28" ht="87.75" customHeight="1">
      <c r="A28" s="340" t="s">
        <v>198</v>
      </c>
    </row>
    <row r="30" ht="15">
      <c r="A30" s="341" t="s">
        <v>178</v>
      </c>
    </row>
    <row r="32" ht="15">
      <c r="A32" s="120" t="s">
        <v>218</v>
      </c>
    </row>
    <row r="34" ht="15">
      <c r="A34" s="331" t="s">
        <v>179</v>
      </c>
    </row>
    <row r="37" ht="1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
      <c r="A60" s="331"/>
    </row>
    <row r="61" ht="68.25" customHeight="1">
      <c r="A61" s="731" t="s">
        <v>855</v>
      </c>
    </row>
    <row r="62" ht="1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Plum Creek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71</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823</v>
      </c>
      <c r="C5" s="168" t="s">
        <v>51</v>
      </c>
      <c r="D5" s="168" t="s">
        <v>58</v>
      </c>
      <c r="E5" s="168"/>
      <c r="F5" s="168" t="s">
        <v>4</v>
      </c>
      <c r="G5" s="169"/>
      <c r="H5" s="170"/>
      <c r="I5" s="169" t="s">
        <v>52</v>
      </c>
      <c r="J5" s="170"/>
      <c r="K5" s="169" t="s">
        <v>52</v>
      </c>
      <c r="L5" s="170"/>
    </row>
    <row r="6" spans="2:12" ht="15">
      <c r="B6" s="171" t="s">
        <v>53</v>
      </c>
      <c r="C6" s="171" t="s">
        <v>53</v>
      </c>
      <c r="D6" s="171" t="s">
        <v>3</v>
      </c>
      <c r="E6" s="171" t="s">
        <v>4</v>
      </c>
      <c r="F6" s="171" t="s">
        <v>118</v>
      </c>
      <c r="G6" s="172" t="s">
        <v>54</v>
      </c>
      <c r="H6" s="173"/>
      <c r="I6" s="172">
        <f>L1-1</f>
        <v>2012</v>
      </c>
      <c r="J6" s="173"/>
      <c r="K6" s="172">
        <f>L1</f>
        <v>2013</v>
      </c>
      <c r="L6" s="173"/>
    </row>
    <row r="7" spans="2:12" ht="15">
      <c r="B7" s="174" t="s">
        <v>824</v>
      </c>
      <c r="C7" s="174" t="s">
        <v>55</v>
      </c>
      <c r="D7" s="174" t="s">
        <v>29</v>
      </c>
      <c r="E7" s="174" t="s">
        <v>56</v>
      </c>
      <c r="F7" s="175" t="str">
        <f>CONCATENATE("Jan 1,",L1-1,"")</f>
        <v>Jan 1,2012</v>
      </c>
      <c r="G7" s="176" t="s">
        <v>58</v>
      </c>
      <c r="H7" s="176" t="s">
        <v>59</v>
      </c>
      <c r="I7" s="176" t="s">
        <v>58</v>
      </c>
      <c r="J7" s="176" t="s">
        <v>59</v>
      </c>
      <c r="K7" s="176" t="s">
        <v>58</v>
      </c>
      <c r="L7" s="176" t="s">
        <v>59</v>
      </c>
    </row>
    <row r="8" spans="2:12" ht="15">
      <c r="B8" s="177" t="s">
        <v>49</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149</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150</v>
      </c>
      <c r="C15" s="186"/>
      <c r="D15" s="187"/>
      <c r="E15" s="32"/>
      <c r="F15" s="157">
        <f>SUM(F13:F14)</f>
        <v>0</v>
      </c>
      <c r="G15" s="188"/>
      <c r="H15" s="188"/>
      <c r="I15" s="157">
        <f>SUM(I13:I14)</f>
        <v>0</v>
      </c>
      <c r="J15" s="157">
        <f>SUM(J13:J14)</f>
        <v>0</v>
      </c>
      <c r="K15" s="157">
        <f>SUM(K13:K14)</f>
        <v>0</v>
      </c>
      <c r="L15" s="157">
        <f>SUM(L13:L14)</f>
        <v>0</v>
      </c>
    </row>
    <row r="16" spans="2:12" ht="15">
      <c r="B16" s="189" t="s">
        <v>825</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70</v>
      </c>
      <c r="C18" s="765"/>
      <c r="D18" s="765"/>
      <c r="E18" s="765"/>
      <c r="F18" s="765"/>
      <c r="G18" s="765"/>
      <c r="H18" s="765"/>
      <c r="I18" s="765"/>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57</v>
      </c>
      <c r="E20" s="154"/>
      <c r="F20" s="168" t="s">
        <v>271</v>
      </c>
      <c r="G20" s="154"/>
      <c r="H20" s="154"/>
      <c r="I20" s="154"/>
      <c r="J20" s="197"/>
      <c r="K20" s="198"/>
      <c r="L20" s="193"/>
    </row>
    <row r="21" spans="2:12" s="194" customFormat="1" ht="15">
      <c r="B21" s="199"/>
      <c r="C21" s="171"/>
      <c r="D21" s="171" t="s">
        <v>53</v>
      </c>
      <c r="E21" s="171" t="s">
        <v>58</v>
      </c>
      <c r="F21" s="171" t="s">
        <v>4</v>
      </c>
      <c r="G21" s="171" t="s">
        <v>59</v>
      </c>
      <c r="H21" s="171" t="s">
        <v>60</v>
      </c>
      <c r="I21" s="171" t="s">
        <v>60</v>
      </c>
      <c r="J21" s="193"/>
      <c r="K21" s="193"/>
      <c r="L21" s="193"/>
    </row>
    <row r="22" spans="2:12" s="194" customFormat="1" ht="15">
      <c r="B22" s="171" t="s">
        <v>826</v>
      </c>
      <c r="C22" s="171" t="s">
        <v>61</v>
      </c>
      <c r="D22" s="171" t="s">
        <v>62</v>
      </c>
      <c r="E22" s="171" t="s">
        <v>3</v>
      </c>
      <c r="F22" s="171" t="s">
        <v>63</v>
      </c>
      <c r="G22" s="171" t="s">
        <v>102</v>
      </c>
      <c r="H22" s="171" t="s">
        <v>64</v>
      </c>
      <c r="I22" s="171" t="s">
        <v>64</v>
      </c>
      <c r="J22" s="193"/>
      <c r="K22" s="193"/>
      <c r="L22" s="193"/>
    </row>
    <row r="23" spans="2:12" s="194" customFormat="1" ht="15">
      <c r="B23" s="174" t="s">
        <v>827</v>
      </c>
      <c r="C23" s="174" t="s">
        <v>51</v>
      </c>
      <c r="D23" s="200" t="s">
        <v>65</v>
      </c>
      <c r="E23" s="174" t="s">
        <v>29</v>
      </c>
      <c r="F23" s="200" t="s">
        <v>119</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930</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271</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241</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762</v>
      </c>
      <c r="C2" s="787"/>
      <c r="D2" s="787"/>
      <c r="E2" s="787"/>
      <c r="F2" s="787"/>
      <c r="G2" s="787"/>
      <c r="H2" s="787"/>
      <c r="I2" s="787"/>
    </row>
    <row r="3" spans="2:9" ht="15">
      <c r="B3" s="787" t="s">
        <v>763</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Plum Creek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764</v>
      </c>
      <c r="C10" s="789"/>
      <c r="D10" s="789"/>
      <c r="E10" s="789"/>
      <c r="F10" s="789"/>
      <c r="G10" s="789"/>
      <c r="H10" s="789"/>
      <c r="I10" s="789"/>
    </row>
    <row r="11" spans="2:9" ht="15">
      <c r="B11" s="554"/>
      <c r="C11" s="554"/>
      <c r="D11" s="554"/>
      <c r="E11" s="554"/>
      <c r="F11" s="554"/>
      <c r="G11" s="554"/>
      <c r="H11" s="554"/>
      <c r="I11" s="554"/>
    </row>
    <row r="12" spans="2:9" ht="15">
      <c r="B12" s="556" t="s">
        <v>765</v>
      </c>
      <c r="C12" s="554"/>
      <c r="D12" s="554"/>
      <c r="E12" s="554"/>
      <c r="F12" s="554"/>
      <c r="G12" s="554"/>
      <c r="H12" s="554"/>
      <c r="I12" s="554"/>
    </row>
    <row r="13" spans="2:9" ht="15">
      <c r="B13" s="554"/>
      <c r="C13" s="554"/>
      <c r="D13" s="554"/>
      <c r="E13" s="557" t="s">
        <v>12</v>
      </c>
      <c r="F13" s="554"/>
      <c r="G13" s="557" t="s">
        <v>766</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156</v>
      </c>
      <c r="C20" s="554"/>
      <c r="D20" s="554"/>
      <c r="E20" s="559">
        <v>0</v>
      </c>
      <c r="F20" s="554"/>
      <c r="G20" s="559">
        <v>0</v>
      </c>
      <c r="H20" s="554"/>
      <c r="I20" s="554"/>
    </row>
    <row r="21" spans="2:9" ht="15">
      <c r="B21" s="554"/>
      <c r="C21" s="554"/>
      <c r="D21" s="554"/>
      <c r="E21" s="559">
        <v>0</v>
      </c>
      <c r="F21" s="554"/>
      <c r="G21" s="559">
        <v>0</v>
      </c>
      <c r="H21" s="554"/>
      <c r="I21" s="554"/>
    </row>
    <row r="22" spans="2:9" ht="15">
      <c r="B22" s="554" t="s">
        <v>767</v>
      </c>
      <c r="C22" s="554"/>
      <c r="D22" s="554"/>
      <c r="E22" s="560">
        <f>SUM(E15:E21)</f>
        <v>0</v>
      </c>
      <c r="F22" s="554"/>
      <c r="G22" s="560">
        <f>SUM(G15:G21)</f>
        <v>0</v>
      </c>
      <c r="H22" s="554"/>
      <c r="I22" s="554"/>
    </row>
    <row r="23" spans="2:9" ht="15">
      <c r="B23" s="554" t="s">
        <v>768</v>
      </c>
      <c r="C23" s="554"/>
      <c r="D23" s="554"/>
      <c r="E23" s="561">
        <f>G22-E22</f>
        <v>0</v>
      </c>
      <c r="F23" s="554"/>
      <c r="G23" s="562"/>
      <c r="H23" s="554"/>
      <c r="I23" s="554"/>
    </row>
    <row r="24" spans="2:9" ht="15">
      <c r="B24" s="554" t="s">
        <v>769</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770</v>
      </c>
      <c r="C26" s="554"/>
      <c r="D26" s="554"/>
      <c r="E26" s="554"/>
      <c r="F26" s="554"/>
      <c r="G26" s="554"/>
      <c r="H26" s="554"/>
      <c r="I26" s="554"/>
    </row>
    <row r="27" spans="2:9" ht="15">
      <c r="B27" s="554" t="s">
        <v>771</v>
      </c>
      <c r="C27" s="554"/>
      <c r="D27" s="554"/>
      <c r="E27" s="559">
        <f>summ!E27</f>
        <v>1907292</v>
      </c>
      <c r="F27" s="554"/>
      <c r="G27" s="559">
        <f>summ!G27</f>
        <v>2076242</v>
      </c>
      <c r="H27" s="554"/>
      <c r="I27" s="554"/>
    </row>
    <row r="28" spans="2:9" ht="15">
      <c r="B28" s="554" t="s">
        <v>772</v>
      </c>
      <c r="C28" s="554"/>
      <c r="D28" s="554"/>
      <c r="E28" s="564" t="str">
        <f>IF(G27-E27&gt;0,"No","Yes")</f>
        <v>No</v>
      </c>
      <c r="F28" s="554"/>
      <c r="G28" s="554"/>
      <c r="H28" s="554"/>
      <c r="I28" s="554"/>
    </row>
    <row r="29" spans="2:9" ht="15">
      <c r="B29" s="554" t="s">
        <v>773</v>
      </c>
      <c r="C29" s="554"/>
      <c r="D29" s="554"/>
      <c r="E29" s="565" t="e">
        <f>summ!#REF!</f>
        <v>#REF!</v>
      </c>
      <c r="F29" s="554"/>
      <c r="G29" s="565" t="e">
        <f>summ!#REF!</f>
        <v>#REF!</v>
      </c>
      <c r="H29" s="554"/>
      <c r="I29" s="554"/>
    </row>
    <row r="30" spans="2:9" ht="15">
      <c r="B30" s="554" t="s">
        <v>774</v>
      </c>
      <c r="C30" s="554"/>
      <c r="D30" s="554"/>
      <c r="E30" s="566" t="e">
        <f>G29-E29</f>
        <v>#REF!</v>
      </c>
      <c r="F30" s="554"/>
      <c r="G30" s="554"/>
      <c r="H30" s="554"/>
      <c r="I30" s="554"/>
    </row>
    <row r="31" spans="2:9" ht="15">
      <c r="B31" s="554" t="s">
        <v>769</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775</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776</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777</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778</v>
      </c>
      <c r="C43" s="791"/>
      <c r="D43" s="791"/>
      <c r="E43" s="791"/>
      <c r="F43" s="791"/>
      <c r="G43" s="791"/>
      <c r="H43" s="791"/>
      <c r="I43" s="791"/>
    </row>
    <row r="44" spans="2:9" ht="15">
      <c r="B44" s="554"/>
      <c r="C44" s="554"/>
      <c r="D44" s="554"/>
      <c r="E44" s="554"/>
      <c r="F44" s="554"/>
      <c r="G44" s="554"/>
      <c r="H44" s="554"/>
      <c r="I44" s="554"/>
    </row>
    <row r="45" spans="2:9" ht="15">
      <c r="B45" s="571" t="s">
        <v>779</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780</v>
      </c>
      <c r="C49" s="571"/>
      <c r="D49" s="572"/>
      <c r="E49" s="572"/>
      <c r="F49" s="572"/>
      <c r="G49" s="572"/>
      <c r="H49" s="572"/>
      <c r="I49" s="572"/>
    </row>
    <row r="50" spans="2:9" ht="15">
      <c r="B50" s="571" t="s">
        <v>781</v>
      </c>
      <c r="C50" s="571"/>
      <c r="D50" s="572"/>
      <c r="E50" s="572"/>
      <c r="F50" s="572"/>
      <c r="G50" s="572"/>
      <c r="H50" s="572"/>
      <c r="I50" s="572"/>
    </row>
    <row r="51" spans="2:9" ht="15">
      <c r="B51" s="571" t="s">
        <v>782</v>
      </c>
      <c r="C51" s="571"/>
      <c r="D51" s="572"/>
      <c r="E51" s="572"/>
      <c r="F51" s="572"/>
      <c r="G51" s="572"/>
      <c r="H51" s="572"/>
      <c r="I51" s="572"/>
    </row>
    <row r="52" spans="2:9" ht="15">
      <c r="B52" s="572"/>
      <c r="C52" s="572"/>
      <c r="D52" s="572"/>
      <c r="E52" s="572"/>
      <c r="F52" s="572"/>
      <c r="G52" s="572"/>
      <c r="H52" s="572"/>
      <c r="I52" s="572"/>
    </row>
    <row r="53" spans="2:9" ht="15">
      <c r="B53" s="573" t="s">
        <v>783</v>
      </c>
      <c r="C53" s="572"/>
      <c r="D53" s="572"/>
      <c r="E53" s="572"/>
      <c r="F53" s="572"/>
      <c r="G53" s="572"/>
      <c r="H53" s="572"/>
      <c r="I53" s="572"/>
    </row>
    <row r="54" spans="2:9" ht="15">
      <c r="B54" s="572"/>
      <c r="C54" s="572"/>
      <c r="D54" s="572"/>
      <c r="E54" s="572"/>
      <c r="F54" s="572"/>
      <c r="G54" s="572"/>
      <c r="H54" s="572"/>
      <c r="I54" s="572"/>
    </row>
    <row r="55" spans="2:9" ht="15">
      <c r="B55" s="571" t="s">
        <v>784</v>
      </c>
      <c r="C55" s="572"/>
      <c r="D55" s="572"/>
      <c r="E55" s="572"/>
      <c r="F55" s="572"/>
      <c r="G55" s="572"/>
      <c r="H55" s="572"/>
      <c r="I55" s="572"/>
    </row>
    <row r="56" spans="2:9" ht="15">
      <c r="B56" s="571" t="s">
        <v>785</v>
      </c>
      <c r="C56" s="572"/>
      <c r="D56" s="572"/>
      <c r="E56" s="572"/>
      <c r="F56" s="572"/>
      <c r="G56" s="572"/>
      <c r="H56" s="572"/>
      <c r="I56" s="572"/>
    </row>
    <row r="57" spans="2:9" ht="15">
      <c r="B57" s="572"/>
      <c r="C57" s="572"/>
      <c r="D57" s="572"/>
      <c r="E57" s="572"/>
      <c r="F57" s="572"/>
      <c r="G57" s="572"/>
      <c r="H57" s="572"/>
      <c r="I57" s="572"/>
    </row>
    <row r="58" spans="2:9" ht="15">
      <c r="B58" s="573" t="s">
        <v>786</v>
      </c>
      <c r="C58" s="571"/>
      <c r="D58" s="571"/>
      <c r="E58" s="571"/>
      <c r="F58" s="571"/>
      <c r="G58" s="572"/>
      <c r="H58" s="572"/>
      <c r="I58" s="572"/>
    </row>
    <row r="59" spans="2:9" ht="15">
      <c r="B59" s="571"/>
      <c r="C59" s="571"/>
      <c r="D59" s="571"/>
      <c r="E59" s="571"/>
      <c r="F59" s="571"/>
      <c r="G59" s="572"/>
      <c r="H59" s="572"/>
      <c r="I59" s="572"/>
    </row>
    <row r="60" spans="2:9" ht="15">
      <c r="B60" s="571" t="s">
        <v>787</v>
      </c>
      <c r="C60" s="571"/>
      <c r="D60" s="571"/>
      <c r="E60" s="571"/>
      <c r="F60" s="571"/>
      <c r="G60" s="572"/>
      <c r="H60" s="572"/>
      <c r="I60" s="572"/>
    </row>
    <row r="61" spans="2:9" ht="15">
      <c r="B61" s="571" t="s">
        <v>788</v>
      </c>
      <c r="C61" s="571"/>
      <c r="D61" s="571"/>
      <c r="E61" s="571"/>
      <c r="F61" s="571"/>
      <c r="G61" s="572"/>
      <c r="H61" s="572"/>
      <c r="I61" s="572"/>
    </row>
    <row r="62" spans="2:9" ht="15">
      <c r="B62" s="571" t="s">
        <v>789</v>
      </c>
      <c r="C62" s="571"/>
      <c r="D62" s="571"/>
      <c r="E62" s="571"/>
      <c r="F62" s="571"/>
      <c r="G62" s="572"/>
      <c r="H62" s="572"/>
      <c r="I62" s="572"/>
    </row>
    <row r="63" spans="2:9" ht="15">
      <c r="B63" s="571" t="s">
        <v>790</v>
      </c>
      <c r="C63" s="571"/>
      <c r="D63" s="571"/>
      <c r="E63" s="571"/>
      <c r="F63" s="571"/>
      <c r="G63" s="572"/>
      <c r="H63" s="572"/>
      <c r="I63" s="572"/>
    </row>
    <row r="64" spans="2:9" ht="15">
      <c r="B64" s="574"/>
      <c r="C64" s="574"/>
      <c r="D64" s="574"/>
      <c r="E64" s="574"/>
      <c r="F64" s="574"/>
      <c r="G64" s="572"/>
      <c r="H64" s="572"/>
      <c r="I64" s="572"/>
    </row>
    <row r="65" spans="2:9" ht="15">
      <c r="B65" s="571" t="s">
        <v>791</v>
      </c>
      <c r="C65" s="574"/>
      <c r="D65" s="574"/>
      <c r="E65" s="574"/>
      <c r="F65" s="574"/>
      <c r="G65" s="572"/>
      <c r="H65" s="572"/>
      <c r="I65" s="572"/>
    </row>
    <row r="66" spans="2:9" ht="15">
      <c r="B66" s="571" t="s">
        <v>792</v>
      </c>
      <c r="C66" s="574"/>
      <c r="D66" s="574"/>
      <c r="E66" s="574"/>
      <c r="F66" s="574"/>
      <c r="G66" s="572"/>
      <c r="H66" s="572"/>
      <c r="I66" s="572"/>
    </row>
    <row r="67" spans="2:9" ht="15">
      <c r="B67" s="574"/>
      <c r="C67" s="574"/>
      <c r="D67" s="574"/>
      <c r="E67" s="574"/>
      <c r="F67" s="574"/>
      <c r="G67" s="572"/>
      <c r="H67" s="572"/>
      <c r="I67" s="572"/>
    </row>
    <row r="68" spans="2:9" ht="15">
      <c r="B68" s="571" t="s">
        <v>793</v>
      </c>
      <c r="C68" s="574"/>
      <c r="D68" s="574"/>
      <c r="E68" s="574"/>
      <c r="F68" s="574"/>
      <c r="G68" s="572"/>
      <c r="H68" s="572"/>
      <c r="I68" s="572"/>
    </row>
    <row r="69" spans="2:9" ht="15">
      <c r="B69" s="571" t="s">
        <v>794</v>
      </c>
      <c r="C69" s="574"/>
      <c r="D69" s="574"/>
      <c r="E69" s="574"/>
      <c r="F69" s="574"/>
      <c r="G69" s="572"/>
      <c r="H69" s="572"/>
      <c r="I69" s="572"/>
    </row>
    <row r="70" spans="2:9" ht="15">
      <c r="B70" s="574"/>
      <c r="C70" s="574"/>
      <c r="D70" s="574"/>
      <c r="E70" s="574"/>
      <c r="F70" s="574"/>
      <c r="G70" s="572"/>
      <c r="H70" s="572"/>
      <c r="I70" s="572"/>
    </row>
    <row r="71" spans="2:9" ht="15">
      <c r="B71" s="573" t="s">
        <v>795</v>
      </c>
      <c r="C71" s="574"/>
      <c r="D71" s="574"/>
      <c r="E71" s="574"/>
      <c r="F71" s="574"/>
      <c r="G71" s="572"/>
      <c r="H71" s="572"/>
      <c r="I71" s="572"/>
    </row>
    <row r="72" spans="2:9" ht="15">
      <c r="B72" s="574"/>
      <c r="C72" s="574"/>
      <c r="D72" s="574"/>
      <c r="E72" s="574"/>
      <c r="F72" s="574"/>
      <c r="G72" s="572"/>
      <c r="H72" s="572"/>
      <c r="I72" s="572"/>
    </row>
    <row r="73" spans="2:9" ht="15">
      <c r="B73" s="571" t="s">
        <v>796</v>
      </c>
      <c r="C73" s="574"/>
      <c r="D73" s="574"/>
      <c r="E73" s="574"/>
      <c r="F73" s="574"/>
      <c r="G73" s="572"/>
      <c r="H73" s="572"/>
      <c r="I73" s="572"/>
    </row>
    <row r="74" spans="2:9" ht="15">
      <c r="B74" s="571" t="s">
        <v>797</v>
      </c>
      <c r="C74" s="574"/>
      <c r="D74" s="574"/>
      <c r="E74" s="574"/>
      <c r="F74" s="574"/>
      <c r="G74" s="572"/>
      <c r="H74" s="572"/>
      <c r="I74" s="572"/>
    </row>
    <row r="75" spans="2:9" ht="15">
      <c r="B75" s="574"/>
      <c r="C75" s="574"/>
      <c r="D75" s="574"/>
      <c r="E75" s="574"/>
      <c r="F75" s="574"/>
      <c r="G75" s="572"/>
      <c r="H75" s="572"/>
      <c r="I75" s="572"/>
    </row>
    <row r="76" spans="2:9" ht="15">
      <c r="B76" s="573" t="s">
        <v>798</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799</v>
      </c>
      <c r="C79" s="574"/>
      <c r="D79" s="574"/>
      <c r="E79" s="574"/>
      <c r="F79" s="574"/>
      <c r="G79" s="572"/>
      <c r="H79" s="572"/>
      <c r="I79" s="572"/>
    </row>
    <row r="80" spans="2:9" ht="15">
      <c r="B80" s="574"/>
      <c r="C80" s="574"/>
      <c r="D80" s="574"/>
      <c r="E80" s="574"/>
      <c r="F80" s="574"/>
      <c r="G80" s="572"/>
      <c r="H80" s="572"/>
      <c r="I80" s="572"/>
    </row>
    <row r="81" spans="2:9" ht="15">
      <c r="B81" s="573" t="s">
        <v>387</v>
      </c>
      <c r="C81" s="574"/>
      <c r="D81" s="574"/>
      <c r="E81" s="574"/>
      <c r="F81" s="574"/>
      <c r="G81" s="572"/>
      <c r="H81" s="572"/>
      <c r="I81" s="572"/>
    </row>
    <row r="82" spans="2:9" ht="15">
      <c r="B82" s="574"/>
      <c r="C82" s="574"/>
      <c r="D82" s="574"/>
      <c r="E82" s="574"/>
      <c r="F82" s="574"/>
      <c r="G82" s="572"/>
      <c r="H82" s="572"/>
      <c r="I82" s="572"/>
    </row>
    <row r="83" spans="2:9" ht="15">
      <c r="B83" s="571" t="s">
        <v>800</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801</v>
      </c>
      <c r="C86" s="574"/>
      <c r="D86" s="574"/>
      <c r="E86" s="574"/>
      <c r="F86" s="574"/>
      <c r="G86" s="572"/>
      <c r="H86" s="572"/>
      <c r="I86" s="572"/>
    </row>
    <row r="87" spans="2:9" ht="15">
      <c r="B87" s="571" t="s">
        <v>802</v>
      </c>
      <c r="C87" s="574"/>
      <c r="D87" s="574"/>
      <c r="E87" s="574"/>
      <c r="F87" s="574"/>
      <c r="G87" s="572"/>
      <c r="H87" s="572"/>
      <c r="I87" s="572"/>
    </row>
    <row r="88" spans="2:9" ht="15">
      <c r="B88" s="571" t="s">
        <v>803</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804</v>
      </c>
      <c r="C92" s="574"/>
      <c r="D92" s="574"/>
      <c r="E92" s="574"/>
      <c r="F92" s="574"/>
      <c r="G92" s="572"/>
      <c r="H92" s="572"/>
      <c r="I92" s="572"/>
    </row>
    <row r="93" spans="2:9" ht="15">
      <c r="B93" s="571" t="s">
        <v>805</v>
      </c>
      <c r="C93" s="574"/>
      <c r="D93" s="574"/>
      <c r="E93" s="574"/>
      <c r="F93" s="574"/>
      <c r="G93" s="572"/>
      <c r="H93" s="572"/>
      <c r="I93" s="572"/>
    </row>
    <row r="94" spans="2:9" ht="15">
      <c r="B94" s="571" t="s">
        <v>806</v>
      </c>
      <c r="C94" s="574"/>
      <c r="D94" s="574"/>
      <c r="E94" s="574"/>
      <c r="F94" s="574"/>
      <c r="G94" s="572"/>
      <c r="H94" s="572"/>
      <c r="I94" s="572"/>
    </row>
    <row r="95" spans="2:9" ht="15">
      <c r="B95" s="574"/>
      <c r="C95" s="574"/>
      <c r="D95" s="574"/>
      <c r="E95" s="574"/>
      <c r="F95" s="574"/>
      <c r="G95" s="572"/>
      <c r="H95" s="572"/>
      <c r="I95" s="572"/>
    </row>
    <row r="96" spans="2:9" ht="15">
      <c r="B96" s="573" t="s">
        <v>807</v>
      </c>
      <c r="C96" s="574"/>
      <c r="D96" s="574"/>
      <c r="E96" s="574"/>
      <c r="F96" s="574"/>
      <c r="G96" s="572"/>
      <c r="H96" s="572"/>
      <c r="I96" s="572"/>
    </row>
    <row r="97" spans="2:9" ht="15">
      <c r="B97" s="574"/>
      <c r="C97" s="574"/>
      <c r="D97" s="574"/>
      <c r="E97" s="574"/>
      <c r="F97" s="574"/>
      <c r="G97" s="572"/>
      <c r="H97" s="572"/>
      <c r="I97" s="572"/>
    </row>
    <row r="98" spans="2:9" ht="15">
      <c r="B98" s="571" t="s">
        <v>808</v>
      </c>
      <c r="C98" s="574"/>
      <c r="D98" s="574"/>
      <c r="E98" s="574"/>
      <c r="F98" s="574"/>
      <c r="G98" s="572"/>
      <c r="H98" s="572"/>
      <c r="I98" s="572"/>
    </row>
    <row r="99" spans="2:9" ht="15">
      <c r="B99" s="571" t="s">
        <v>809</v>
      </c>
      <c r="C99" s="574"/>
      <c r="D99" s="574"/>
      <c r="E99" s="574"/>
      <c r="F99" s="574"/>
      <c r="G99" s="572"/>
      <c r="H99" s="572"/>
      <c r="I99" s="572"/>
    </row>
    <row r="100" spans="2:9" ht="15">
      <c r="B100" s="574"/>
      <c r="C100" s="574"/>
      <c r="D100" s="574"/>
      <c r="E100" s="574"/>
      <c r="F100" s="574"/>
      <c r="G100" s="572"/>
      <c r="H100" s="572"/>
      <c r="I100" s="572"/>
    </row>
    <row r="101" spans="2:9" ht="15">
      <c r="B101" s="571" t="s">
        <v>810</v>
      </c>
      <c r="C101" s="574"/>
      <c r="D101" s="574"/>
      <c r="E101" s="574"/>
      <c r="F101" s="574"/>
      <c r="G101" s="572"/>
      <c r="H101" s="572"/>
      <c r="I101" s="572"/>
    </row>
    <row r="102" spans="2:9" ht="15">
      <c r="B102" s="571" t="s">
        <v>811</v>
      </c>
      <c r="C102" s="574"/>
      <c r="D102" s="574"/>
      <c r="E102" s="574"/>
      <c r="F102" s="574"/>
      <c r="G102" s="572"/>
      <c r="H102" s="572"/>
      <c r="I102" s="572"/>
    </row>
    <row r="103" spans="2:9" ht="15">
      <c r="B103" s="571" t="s">
        <v>812</v>
      </c>
      <c r="C103" s="574"/>
      <c r="D103" s="574"/>
      <c r="E103" s="574"/>
      <c r="F103" s="574"/>
      <c r="G103" s="572"/>
      <c r="H103" s="572"/>
      <c r="I103" s="572"/>
    </row>
    <row r="104" spans="2:9" ht="15">
      <c r="B104" s="571" t="s">
        <v>813</v>
      </c>
      <c r="C104" s="574"/>
      <c r="D104" s="574"/>
      <c r="E104" s="574"/>
      <c r="F104" s="574"/>
      <c r="G104" s="572"/>
      <c r="H104" s="572"/>
      <c r="I104" s="572"/>
    </row>
    <row r="105" spans="2:9" ht="1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3"/>
  <sheetViews>
    <sheetView zoomScale="90" zoomScaleNormal="90" zoomScalePageLayoutView="0" workbookViewId="0" topLeftCell="A17">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Plum Creek Township</v>
      </c>
      <c r="C1" s="14"/>
      <c r="D1" s="14"/>
      <c r="E1" s="15">
        <f>inputPrYr!D5</f>
        <v>2013</v>
      </c>
    </row>
    <row r="2" spans="2:5" ht="15">
      <c r="B2" s="17"/>
      <c r="C2" s="14"/>
      <c r="D2" s="14"/>
      <c r="E2" s="18"/>
    </row>
    <row r="3" spans="2:5" ht="15">
      <c r="B3" s="530" t="s">
        <v>714</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114</v>
      </c>
      <c r="C6" s="29">
        <v>1233</v>
      </c>
      <c r="D6" s="387">
        <f>C41</f>
        <v>5330</v>
      </c>
      <c r="E6" s="32">
        <f>D41</f>
        <v>5171</v>
      </c>
    </row>
    <row r="7" spans="2:5" ht="15">
      <c r="B7" s="27" t="s">
        <v>116</v>
      </c>
      <c r="C7" s="387"/>
      <c r="D7" s="387"/>
      <c r="E7" s="33"/>
    </row>
    <row r="8" spans="2:5" ht="15">
      <c r="B8" s="27" t="s">
        <v>16</v>
      </c>
      <c r="C8" s="29"/>
      <c r="D8" s="387">
        <f>IF(inputPrYr!H15&gt;0,inputPrYr!G16,inputPrYr!E16)</f>
        <v>0</v>
      </c>
      <c r="E8" s="33" t="s">
        <v>285</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66</v>
      </c>
      <c r="C12" s="29"/>
      <c r="D12" s="29"/>
      <c r="E12" s="32">
        <f>mvalloc!J11</f>
        <v>0</v>
      </c>
    </row>
    <row r="13" spans="2:5" ht="15">
      <c r="B13" s="35" t="s">
        <v>156</v>
      </c>
      <c r="C13" s="29"/>
      <c r="D13" s="29"/>
      <c r="E13" s="32">
        <f>inputOth!E35</f>
        <v>0</v>
      </c>
    </row>
    <row r="14" spans="2:5" ht="15">
      <c r="B14" s="27" t="s">
        <v>20</v>
      </c>
      <c r="C14" s="29">
        <v>5633</v>
      </c>
      <c r="D14" s="29">
        <v>3922</v>
      </c>
      <c r="E14" s="32">
        <f>inputOth!E12</f>
        <v>3006</v>
      </c>
    </row>
    <row r="15" spans="2:5" ht="15">
      <c r="B15" s="37"/>
      <c r="C15" s="29"/>
      <c r="D15" s="29"/>
      <c r="E15" s="36"/>
    </row>
    <row r="16" spans="2:5" ht="15">
      <c r="B16" s="37"/>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IF(E20*0.1+E47&lt;E18,"Exceed 10% Rule","")</f>
      </c>
    </row>
    <row r="20" spans="2:5" ht="15">
      <c r="B20" s="41" t="s">
        <v>23</v>
      </c>
      <c r="C20" s="389">
        <f>SUM(C8:C18)</f>
        <v>5633</v>
      </c>
      <c r="D20" s="389">
        <f>SUM(D8:D18)</f>
        <v>3922</v>
      </c>
      <c r="E20" s="42">
        <f>SUM(E8:E18)</f>
        <v>3006</v>
      </c>
    </row>
    <row r="21" spans="2:5" ht="15">
      <c r="B21" s="43" t="s">
        <v>24</v>
      </c>
      <c r="C21" s="389">
        <f>C20+C6</f>
        <v>6866</v>
      </c>
      <c r="D21" s="389">
        <f>D20+D6</f>
        <v>9252</v>
      </c>
      <c r="E21" s="42">
        <f>E20+E6</f>
        <v>8177</v>
      </c>
    </row>
    <row r="22" spans="2:5" ht="15">
      <c r="B22" s="27" t="s">
        <v>25</v>
      </c>
      <c r="C22" s="387"/>
      <c r="D22" s="387"/>
      <c r="E22" s="32"/>
    </row>
    <row r="23" spans="2:5" ht="15">
      <c r="B23" s="37"/>
      <c r="C23" s="29"/>
      <c r="D23" s="29"/>
      <c r="E23" s="34"/>
    </row>
    <row r="24" spans="2:5" ht="15">
      <c r="B24" s="38" t="s">
        <v>98</v>
      </c>
      <c r="C24" s="29">
        <v>600</v>
      </c>
      <c r="D24" s="29">
        <v>600</v>
      </c>
      <c r="E24" s="34">
        <v>600</v>
      </c>
    </row>
    <row r="25" spans="2:5" ht="15">
      <c r="B25" s="38" t="s">
        <v>121</v>
      </c>
      <c r="C25" s="29"/>
      <c r="D25" s="29">
        <v>2500</v>
      </c>
      <c r="E25" s="34">
        <v>2500</v>
      </c>
    </row>
    <row r="26" spans="2:5" ht="15">
      <c r="B26" s="38" t="s">
        <v>99</v>
      </c>
      <c r="C26" s="29">
        <v>439</v>
      </c>
      <c r="D26" s="29">
        <v>450</v>
      </c>
      <c r="E26" s="34">
        <v>600</v>
      </c>
    </row>
    <row r="27" spans="2:5" ht="15">
      <c r="B27" s="38" t="s">
        <v>36</v>
      </c>
      <c r="C27" s="29"/>
      <c r="D27" s="29"/>
      <c r="E27" s="34"/>
    </row>
    <row r="28" spans="2:5" ht="15">
      <c r="B28" s="38" t="s">
        <v>123</v>
      </c>
      <c r="C28" s="29">
        <v>293</v>
      </c>
      <c r="D28" s="29">
        <v>350</v>
      </c>
      <c r="E28" s="34">
        <v>350</v>
      </c>
    </row>
    <row r="29" spans="2:5" ht="15">
      <c r="B29" s="38" t="s">
        <v>936</v>
      </c>
      <c r="C29" s="29">
        <v>29</v>
      </c>
      <c r="D29" s="29">
        <v>81</v>
      </c>
      <c r="E29" s="34">
        <v>100</v>
      </c>
    </row>
    <row r="30" spans="2:5" ht="15">
      <c r="B30" s="37" t="s">
        <v>937</v>
      </c>
      <c r="C30" s="29">
        <v>175</v>
      </c>
      <c r="D30" s="29">
        <v>100</v>
      </c>
      <c r="E30" s="34">
        <v>250</v>
      </c>
    </row>
    <row r="31" spans="2:5" ht="15">
      <c r="B31" s="38" t="s">
        <v>938</v>
      </c>
      <c r="C31" s="29"/>
      <c r="D31" s="29"/>
      <c r="E31" s="34">
        <f>8177-4400</f>
        <v>3777</v>
      </c>
    </row>
    <row r="32" spans="2:10" ht="15">
      <c r="B32" s="38"/>
      <c r="C32" s="29"/>
      <c r="D32" s="29"/>
      <c r="E32" s="34"/>
      <c r="G32" s="498"/>
      <c r="H32" s="485"/>
      <c r="I32" s="490"/>
      <c r="J32" s="499"/>
    </row>
    <row r="33" spans="2:10" ht="15">
      <c r="B33" s="35" t="s">
        <v>263</v>
      </c>
      <c r="C33" s="29"/>
      <c r="D33" s="29"/>
      <c r="E33" s="34"/>
      <c r="G33" s="500" t="s">
        <v>710</v>
      </c>
      <c r="H33" s="490"/>
      <c r="I33" s="490"/>
      <c r="J33" s="501">
        <v>0</v>
      </c>
    </row>
    <row r="34" spans="2:10" ht="15">
      <c r="B34" s="35" t="s">
        <v>260</v>
      </c>
      <c r="C34" s="383">
        <f>IF(AND($C$33&gt;0,$C$8&gt;0),"Not Authorized","")</f>
      </c>
      <c r="D34" s="383">
        <f>IF(AND($D$33&gt;0,$D$8&gt;0),"Not Authorized","")</f>
      </c>
      <c r="E34" s="44">
        <f>IF(AND(cert!F21&gt;0,$E$33&gt;0),"Not Authorized","")</f>
      </c>
      <c r="G34" s="498" t="s">
        <v>711</v>
      </c>
      <c r="H34" s="485"/>
      <c r="I34" s="485"/>
      <c r="J34" s="694">
        <f>IF(J33=0,"",ROUND((J33+E47-G46)/inputOth!E7*1000,3)-G51)</f>
      </c>
    </row>
    <row r="35" spans="2:10" ht="15">
      <c r="B35" s="27" t="s">
        <v>264</v>
      </c>
      <c r="C35" s="29"/>
      <c r="D35" s="29"/>
      <c r="E35" s="34"/>
      <c r="G35" s="695" t="str">
        <f>CONCATENATE("",E1," Tot Exp/Non-Appr Must Be:")</f>
        <v>2013 Tot Exp/Non-Appr Must Be:</v>
      </c>
      <c r="H35" s="576"/>
      <c r="I35" s="688"/>
      <c r="J35" s="696">
        <f>IF(J33&gt;0,IF(E44&lt;E17,IF(J33=G46,E44,((J33-G46)*(1-D46))+E17),E44+(J33-G46)),0)</f>
        <v>0</v>
      </c>
    </row>
    <row r="36" spans="2:10" ht="15">
      <c r="B36" s="27" t="s">
        <v>745</v>
      </c>
      <c r="C36" s="384">
        <f>IF(C21*0.25&lt;C35,"Exceeds 25%","")</f>
      </c>
      <c r="D36" s="384">
        <f>IF(D21*0.25&lt;D35,"Exceeds 25%","")</f>
      </c>
      <c r="E36" s="45">
        <f>IF(E21*0.25+E47&lt;E35,"Exceeds 25%","")</f>
      </c>
      <c r="G36" s="697" t="s">
        <v>817</v>
      </c>
      <c r="H36" s="698"/>
      <c r="I36" s="698"/>
      <c r="J36" s="699">
        <f>IF(J33&gt;0,J35-E44,0)</f>
        <v>0</v>
      </c>
    </row>
    <row r="37" spans="2:5" ht="15">
      <c r="B37" s="35" t="s">
        <v>210</v>
      </c>
      <c r="C37" s="29"/>
      <c r="D37" s="29"/>
      <c r="E37" s="46">
        <f>nhood!E6</f>
      </c>
    </row>
    <row r="38" spans="2:10" ht="15">
      <c r="B38" s="35" t="s">
        <v>208</v>
      </c>
      <c r="C38" s="29"/>
      <c r="D38" s="29"/>
      <c r="E38" s="34"/>
      <c r="G38" s="798" t="str">
        <f>CONCATENATE("Projected Carryover Into ",E1+1,"")</f>
        <v>Projected Carryover Into 2014</v>
      </c>
      <c r="H38" s="799"/>
      <c r="I38" s="799"/>
      <c r="J38" s="800"/>
    </row>
    <row r="39" spans="2:10" ht="15">
      <c r="B39" s="35" t="s">
        <v>617</v>
      </c>
      <c r="C39" s="384">
        <f>IF(C40*0.1&lt;C38,"Exceed 10% Rule","")</f>
      </c>
      <c r="D39" s="384">
        <f>IF(D40*0.1&lt;D38,"Exceed 10% Rule","")</f>
      </c>
      <c r="E39" s="45">
        <f>IF(E40*0.1&lt;E38,"Exceed 10% Rule","")</f>
      </c>
      <c r="G39" s="484"/>
      <c r="H39" s="485"/>
      <c r="I39" s="485"/>
      <c r="J39" s="486"/>
    </row>
    <row r="40" spans="2:10" ht="15">
      <c r="B40" s="43" t="s">
        <v>26</v>
      </c>
      <c r="C40" s="381">
        <f>SUM(C23:C38)</f>
        <v>1536</v>
      </c>
      <c r="D40" s="381">
        <f>SUM(D23:D38)</f>
        <v>4081</v>
      </c>
      <c r="E40" s="47">
        <f>SUM(E23:E33,E35,E37:E38)</f>
        <v>8177</v>
      </c>
      <c r="G40" s="487">
        <f>D41</f>
        <v>5171</v>
      </c>
      <c r="H40" s="488" t="str">
        <f>CONCATENATE("",E1-1," Ending Cash Balance (est.)")</f>
        <v>2012 Ending Cash Balance (est.)</v>
      </c>
      <c r="I40" s="489"/>
      <c r="J40" s="486"/>
    </row>
    <row r="41" spans="2:10" ht="15">
      <c r="B41" s="27" t="s">
        <v>115</v>
      </c>
      <c r="C41" s="382">
        <f>C21-C40</f>
        <v>5330</v>
      </c>
      <c r="D41" s="382">
        <f>SUM(D21-D40)</f>
        <v>5171</v>
      </c>
      <c r="E41" s="33" t="s">
        <v>285</v>
      </c>
      <c r="G41" s="487">
        <f>E20</f>
        <v>3006</v>
      </c>
      <c r="H41" s="490" t="str">
        <f>CONCATENATE("",E1," Non-AV Receipts (est.)")</f>
        <v>2013 Non-AV Receipts (est.)</v>
      </c>
      <c r="I41" s="489"/>
      <c r="J41" s="486"/>
    </row>
    <row r="42" spans="2:11" ht="15">
      <c r="B42" s="48" t="str">
        <f>CONCATENATE("",E1-2,"/",E1-1," Budget Authority Amount:")</f>
        <v>2011/2012 Budget Authority Amount:</v>
      </c>
      <c r="C42" s="131">
        <f>inputOth!B46</f>
        <v>6807</v>
      </c>
      <c r="D42" s="159">
        <f>inputPrYr!D16</f>
        <v>4081</v>
      </c>
      <c r="E42" s="33" t="s">
        <v>285</v>
      </c>
      <c r="F42" s="50"/>
      <c r="G42" s="491">
        <f>IF(D46&gt;0,E45,E47)</f>
        <v>0</v>
      </c>
      <c r="H42" s="490" t="str">
        <f>CONCATENATE("",E1," Ad Valorem Tax (est.)")</f>
        <v>2013 Ad Valorem Tax (est.)</v>
      </c>
      <c r="I42" s="489"/>
      <c r="J42" s="486"/>
      <c r="K42" s="700">
        <f>IF(G42=E47,"","Note: Does not include Delinquent Taxes")</f>
      </c>
    </row>
    <row r="43" spans="2:10" ht="15">
      <c r="B43" s="48"/>
      <c r="C43" s="794" t="s">
        <v>618</v>
      </c>
      <c r="D43" s="795"/>
      <c r="E43" s="34"/>
      <c r="F43" s="483">
        <f>IF(E40/0.95-E40&lt;E43,"Exceeds 5%","")</f>
      </c>
      <c r="G43" s="487">
        <f>SUM(G40:G42)</f>
        <v>8177</v>
      </c>
      <c r="H43" s="490" t="str">
        <f>CONCATENATE("Total ",E1," Resources Available")</f>
        <v>Total 2013 Resources Available</v>
      </c>
      <c r="I43" s="489"/>
      <c r="J43" s="486"/>
    </row>
    <row r="44" spans="2:10" ht="15">
      <c r="B44" s="396" t="str">
        <f>CONCATENATE(C62,"     ",D62)</f>
        <v>     </v>
      </c>
      <c r="C44" s="796" t="s">
        <v>619</v>
      </c>
      <c r="D44" s="797"/>
      <c r="E44" s="32">
        <f>E40+E43</f>
        <v>8177</v>
      </c>
      <c r="G44" s="492"/>
      <c r="H44" s="490"/>
      <c r="I44" s="490"/>
      <c r="J44" s="486"/>
    </row>
    <row r="45" spans="2:10" ht="15">
      <c r="B45" s="396" t="str">
        <f>CONCATENATE(C63,"     ",D63)</f>
        <v>     </v>
      </c>
      <c r="C45" s="59"/>
      <c r="D45" s="52" t="s">
        <v>28</v>
      </c>
      <c r="E45" s="46">
        <f>IF(E44-E21&gt;0,E44-E21,0)</f>
        <v>0</v>
      </c>
      <c r="G45" s="491">
        <f>ROUND(C40*0.05+C40,0)</f>
        <v>1613</v>
      </c>
      <c r="H45" s="490" t="str">
        <f>CONCATENATE("Less ",E1-2," Expenditures + 5%")</f>
        <v>Less 2011 Expenditures + 5%</v>
      </c>
      <c r="I45" s="489"/>
      <c r="J45" s="486"/>
    </row>
    <row r="46" spans="2:10" ht="15">
      <c r="B46" s="52"/>
      <c r="C46" s="400" t="s">
        <v>620</v>
      </c>
      <c r="D46" s="687">
        <f>inputOth!$E$40</f>
        <v>0</v>
      </c>
      <c r="E46" s="32">
        <f>ROUND(IF(D46&gt;0,(E45*D46),0),0)</f>
        <v>0</v>
      </c>
      <c r="G46" s="493">
        <f>G43-G45</f>
        <v>6564</v>
      </c>
      <c r="H46" s="494" t="str">
        <f>CONCATENATE("Projected ",E1+1," Carryover (est.)")</f>
        <v>Projected 2014 Carryover (est.)</v>
      </c>
      <c r="I46" s="495"/>
      <c r="J46" s="496"/>
    </row>
    <row r="47" spans="2:5" ht="15">
      <c r="B47" s="14"/>
      <c r="C47" s="792" t="str">
        <f>CONCATENATE("Amount of  ",$E$1-1," Ad Valorem Tax")</f>
        <v>Amount of  2012 Ad Valorem Tax</v>
      </c>
      <c r="D47" s="793"/>
      <c r="E47" s="46">
        <f>E45+E46</f>
        <v>0</v>
      </c>
    </row>
    <row r="48" spans="2:10" ht="15">
      <c r="B48" s="14"/>
      <c r="C48" s="14"/>
      <c r="D48" s="14"/>
      <c r="E48" s="14"/>
      <c r="G48" s="801" t="s">
        <v>818</v>
      </c>
      <c r="H48" s="802"/>
      <c r="I48" s="802"/>
      <c r="J48" s="803"/>
    </row>
    <row r="49" spans="2:11" s="54" customFormat="1" ht="15">
      <c r="B49" s="19"/>
      <c r="C49" s="19"/>
      <c r="D49" s="53"/>
      <c r="E49" s="19"/>
      <c r="G49" s="701"/>
      <c r="H49" s="488"/>
      <c r="I49" s="689"/>
      <c r="J49" s="702"/>
      <c r="K49" s="16"/>
    </row>
    <row r="50" spans="2:11" s="56" customFormat="1" ht="15">
      <c r="B50" s="14"/>
      <c r="C50" s="14"/>
      <c r="D50" s="55"/>
      <c r="E50" s="14"/>
      <c r="G50" s="703" t="str">
        <f>summ!I18</f>
        <v> </v>
      </c>
      <c r="H50" s="488" t="str">
        <f>CONCATENATE("",E1," Fund Mill Rate")</f>
        <v>2013 Fund Mill Rate</v>
      </c>
      <c r="I50" s="689"/>
      <c r="J50" s="702"/>
      <c r="K50" s="16"/>
    </row>
    <row r="51" spans="2:10" ht="15">
      <c r="B51" s="52" t="s">
        <v>9</v>
      </c>
      <c r="C51" s="402">
        <f>IF(inputPrYr!D18&gt;0,7,6)</f>
        <v>6</v>
      </c>
      <c r="D51" s="14"/>
      <c r="E51" s="55"/>
      <c r="G51" s="704" t="str">
        <f>summ!F18</f>
        <v>  </v>
      </c>
      <c r="H51" s="488" t="str">
        <f>CONCATENATE("",E1-1," Fund Mill Rate")</f>
        <v>2012 Fund Mill Rate</v>
      </c>
      <c r="I51" s="689"/>
      <c r="J51" s="702"/>
    </row>
    <row r="52" spans="7:10" ht="15">
      <c r="G52" s="705">
        <f>summ!I22</f>
        <v>10.264</v>
      </c>
      <c r="H52" s="488" t="str">
        <f>CONCATENATE("Total ",E1," Mill Rate")</f>
        <v>Total 2013 Mill Rate</v>
      </c>
      <c r="I52" s="689"/>
      <c r="J52" s="702"/>
    </row>
    <row r="53" spans="2:10" ht="15">
      <c r="B53" s="12"/>
      <c r="G53" s="704">
        <f>summ!F22</f>
        <v>10.825</v>
      </c>
      <c r="H53" s="706" t="str">
        <f>CONCATENATE("Total ",E1-1," Mill Rate")</f>
        <v>Total 2012 Mill Rate</v>
      </c>
      <c r="I53" s="707"/>
      <c r="J53" s="708"/>
    </row>
    <row r="54" spans="7:10" ht="15">
      <c r="G54" s="690"/>
      <c r="H54" s="497"/>
      <c r="I54" s="497"/>
      <c r="J54" s="693"/>
    </row>
    <row r="55" spans="7:10" ht="15">
      <c r="G55" s="692"/>
      <c r="H55" s="497"/>
      <c r="I55" s="690"/>
      <c r="J55" s="691"/>
    </row>
    <row r="56" ht="15">
      <c r="E56" s="57"/>
    </row>
    <row r="58" ht="15">
      <c r="E58" s="57"/>
    </row>
    <row r="60" ht="15">
      <c r="C60" s="58"/>
    </row>
    <row r="61" spans="3:5" ht="15">
      <c r="C61" s="57"/>
      <c r="E61" s="57"/>
    </row>
    <row r="62" spans="3:4" ht="15" hidden="1">
      <c r="C62" s="16">
        <f>IF(C40&gt;C42,"See Tab A","")</f>
      </c>
      <c r="D62" s="16">
        <f>IF(D40&gt;D42,"See Tab C","")</f>
      </c>
    </row>
    <row r="63" spans="3:4" ht="15" hidden="1">
      <c r="C63" s="16">
        <f>IF(C41&lt;0,"See Tab B","")</f>
      </c>
      <c r="D63" s="16">
        <f>IF(D41&lt;0,"See Tab D","")</f>
      </c>
    </row>
  </sheetData>
  <sheetProtection/>
  <mergeCells count="5">
    <mergeCell ref="C47:D47"/>
    <mergeCell ref="C43:D43"/>
    <mergeCell ref="C44:D44"/>
    <mergeCell ref="G38:J38"/>
    <mergeCell ref="G48:J48"/>
  </mergeCells>
  <conditionalFormatting sqref="E43">
    <cfRule type="cellIs" priority="12" dxfId="130" operator="greaterThan" stopIfTrue="1">
      <formula>$E$40/0.95-$E$40</formula>
    </cfRule>
  </conditionalFormatting>
  <conditionalFormatting sqref="C38">
    <cfRule type="cellIs" priority="13" dxfId="130" operator="greaterThan" stopIfTrue="1">
      <formula>$C$40*0.1</formula>
    </cfRule>
  </conditionalFormatting>
  <conditionalFormatting sqref="D38">
    <cfRule type="cellIs" priority="14" dxfId="130" operator="greaterThan" stopIfTrue="1">
      <formula>$D$40*0.1</formula>
    </cfRule>
  </conditionalFormatting>
  <conditionalFormatting sqref="E38">
    <cfRule type="cellIs" priority="15" dxfId="130" operator="greaterThan" stopIfTrue="1">
      <formula>$E$40*0.1</formula>
    </cfRule>
  </conditionalFormatting>
  <conditionalFormatting sqref="C41">
    <cfRule type="cellIs" priority="17" dxfId="18" operator="lessThan" stopIfTrue="1">
      <formula>0</formula>
    </cfRule>
  </conditionalFormatting>
  <conditionalFormatting sqref="D40">
    <cfRule type="cellIs" priority="18" dxfId="18" operator="greaterThan" stopIfTrue="1">
      <formula>$D$42</formula>
    </cfRule>
  </conditionalFormatting>
  <conditionalFormatting sqref="C35">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2">
    <cfRule type="expression" priority="23" dxfId="18" stopIfTrue="1">
      <formula>"Mike"</formula>
    </cfRule>
  </conditionalFormatting>
  <conditionalFormatting sqref="D35">
    <cfRule type="cellIs" priority="24" dxfId="130" operator="greaterThan" stopIfTrue="1">
      <formula>$D$21*0.25</formula>
    </cfRule>
  </conditionalFormatting>
  <conditionalFormatting sqref="E35">
    <cfRule type="cellIs" priority="25" dxfId="130" operator="greaterThan" stopIfTrue="1">
      <formula>$E$21*0.25+$E$47</formula>
    </cfRule>
  </conditionalFormatting>
  <conditionalFormatting sqref="C33">
    <cfRule type="expression" priority="26" dxfId="130" stopIfTrue="1">
      <formula>$C$8&gt;0</formula>
    </cfRule>
  </conditionalFormatting>
  <conditionalFormatting sqref="D33">
    <cfRule type="expression" priority="28" dxfId="18" stopIfTrue="1">
      <formula>$D$8&gt;0</formula>
    </cfRule>
  </conditionalFormatting>
  <conditionalFormatting sqref="C40">
    <cfRule type="cellIs" priority="10" dxfId="18" operator="greaterThan" stopIfTrue="1">
      <formula>$C$42</formula>
    </cfRule>
  </conditionalFormatting>
  <conditionalFormatting sqref="D41">
    <cfRule type="cellIs" priority="9" dxfId="0" operator="lessThan" stopIfTrue="1">
      <formula>0</formula>
    </cfRule>
  </conditionalFormatting>
  <conditionalFormatting sqref="E33">
    <cfRule type="expression" priority="2" dxfId="0" stopIfTrue="1">
      <formula>$E$47&gt;0</formula>
    </cfRule>
  </conditionalFormatting>
  <conditionalFormatting sqref="E18">
    <cfRule type="cellIs" priority="37" dxfId="130" operator="greaterThan" stopIfTrue="1">
      <formula>$E$20*0.1+$E$47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2"/>
  <sheetViews>
    <sheetView zoomScale="90" zoomScaleNormal="90" zoomScalePageLayoutView="0" workbookViewId="0" topLeftCell="A2">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Plum Creek Township</v>
      </c>
      <c r="C1" s="14"/>
      <c r="D1" s="14"/>
      <c r="E1" s="15">
        <f>inputPrYr!D5</f>
        <v>2013</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114</v>
      </c>
      <c r="C6" s="29">
        <v>25105</v>
      </c>
      <c r="D6" s="387">
        <f>C41</f>
        <v>8773</v>
      </c>
      <c r="E6" s="32">
        <f>D41</f>
        <v>4200</v>
      </c>
    </row>
    <row r="7" spans="2:5" ht="15">
      <c r="B7" s="27" t="s">
        <v>116</v>
      </c>
      <c r="C7" s="387"/>
      <c r="D7" s="387"/>
      <c r="E7" s="33"/>
    </row>
    <row r="8" spans="2:5" ht="15">
      <c r="B8" s="27" t="s">
        <v>16</v>
      </c>
      <c r="C8" s="29">
        <v>19321</v>
      </c>
      <c r="D8" s="387">
        <f>IF(inputPrYr!H15&gt;0,inputPrYr!G19,inputPrYr!E19)</f>
        <v>20645</v>
      </c>
      <c r="E8" s="33" t="s">
        <v>285</v>
      </c>
    </row>
    <row r="9" spans="2:5" ht="15">
      <c r="B9" s="27" t="s">
        <v>17</v>
      </c>
      <c r="C9" s="29">
        <v>147</v>
      </c>
      <c r="D9" s="29"/>
      <c r="E9" s="34"/>
    </row>
    <row r="10" spans="2:5" ht="15">
      <c r="B10" s="27" t="s">
        <v>18</v>
      </c>
      <c r="C10" s="29">
        <v>1868</v>
      </c>
      <c r="D10" s="29">
        <v>1986</v>
      </c>
      <c r="E10" s="32">
        <f>mvalloc!G14</f>
        <v>1929</v>
      </c>
    </row>
    <row r="11" spans="2:5" ht="15">
      <c r="B11" s="27" t="s">
        <v>19</v>
      </c>
      <c r="C11" s="29">
        <v>13</v>
      </c>
      <c r="D11" s="29">
        <v>29</v>
      </c>
      <c r="E11" s="32">
        <f>mvalloc!I14</f>
        <v>13</v>
      </c>
    </row>
    <row r="12" spans="2:5" ht="15">
      <c r="B12" s="27" t="s">
        <v>96</v>
      </c>
      <c r="C12" s="29">
        <v>707</v>
      </c>
      <c r="D12" s="29">
        <v>712</v>
      </c>
      <c r="E12" s="32">
        <f>mvalloc!J14</f>
        <v>771</v>
      </c>
    </row>
    <row r="13" spans="2:5" ht="15">
      <c r="B13" s="27" t="s">
        <v>97</v>
      </c>
      <c r="C13" s="29">
        <v>1964</v>
      </c>
      <c r="D13" s="29">
        <v>1893</v>
      </c>
      <c r="E13" s="32">
        <f>inputOth!E36</f>
        <v>1873</v>
      </c>
    </row>
    <row r="14" spans="2:5" ht="15">
      <c r="B14" s="27" t="s">
        <v>941</v>
      </c>
      <c r="C14" s="29">
        <v>-700</v>
      </c>
      <c r="D14" s="29">
        <v>700</v>
      </c>
      <c r="E14" s="32"/>
    </row>
    <row r="15" spans="2:5" ht="15">
      <c r="B15" s="38" t="s">
        <v>939</v>
      </c>
      <c r="C15" s="29">
        <v>780</v>
      </c>
      <c r="D15" s="29">
        <v>800</v>
      </c>
      <c r="E15" s="34">
        <v>800</v>
      </c>
    </row>
    <row r="16" spans="2:5" ht="15">
      <c r="B16" s="38" t="s">
        <v>940</v>
      </c>
      <c r="C16" s="29">
        <v>1468</v>
      </c>
      <c r="D16" s="29"/>
      <c r="E16" s="34"/>
    </row>
    <row r="17" spans="2:5" ht="15">
      <c r="B17" s="38"/>
      <c r="C17" s="29"/>
      <c r="D17" s="29"/>
      <c r="E17" s="34"/>
    </row>
    <row r="18" spans="2:5" ht="15">
      <c r="B18" s="38" t="s">
        <v>22</v>
      </c>
      <c r="C18" s="29"/>
      <c r="D18" s="29"/>
      <c r="E18" s="34"/>
    </row>
    <row r="19" spans="2:5" ht="15">
      <c r="B19" s="39" t="s">
        <v>208</v>
      </c>
      <c r="C19" s="29"/>
      <c r="D19" s="29"/>
      <c r="E19" s="34"/>
    </row>
    <row r="20" spans="2:5" ht="15">
      <c r="B20" s="39" t="s">
        <v>209</v>
      </c>
      <c r="C20" s="384">
        <f>IF(C21*0.1&lt;C19,"Exceed 10% Rule","")</f>
      </c>
      <c r="D20" s="384">
        <f>IF(D21*0.1&lt;D19,"Exceed 10% Rule","")</f>
      </c>
      <c r="E20" s="45">
        <f>IF(E21*0.1+E47&lt;E19,"Exceed 10% Rule","")</f>
      </c>
    </row>
    <row r="21" spans="2:5" ht="15">
      <c r="B21" s="41" t="s">
        <v>23</v>
      </c>
      <c r="C21" s="389">
        <f>SUM(C8:C19)</f>
        <v>25568</v>
      </c>
      <c r="D21" s="389">
        <f>SUM(D8:D19)</f>
        <v>26765</v>
      </c>
      <c r="E21" s="42">
        <f>SUM(E8:E19)</f>
        <v>5386</v>
      </c>
    </row>
    <row r="22" spans="2:5" ht="15">
      <c r="B22" s="43" t="s">
        <v>24</v>
      </c>
      <c r="C22" s="389">
        <f>C21+C6</f>
        <v>50673</v>
      </c>
      <c r="D22" s="389">
        <f>D21+D6</f>
        <v>35538</v>
      </c>
      <c r="E22" s="42">
        <f>E21+E6</f>
        <v>9586</v>
      </c>
    </row>
    <row r="23" spans="2:5" ht="15">
      <c r="B23" s="27" t="s">
        <v>25</v>
      </c>
      <c r="C23" s="387"/>
      <c r="D23" s="387"/>
      <c r="E23" s="32"/>
    </row>
    <row r="24" spans="2:5" ht="15">
      <c r="B24" s="38" t="s">
        <v>98</v>
      </c>
      <c r="C24" s="29"/>
      <c r="D24" s="29"/>
      <c r="E24" s="34"/>
    </row>
    <row r="25" spans="2:5" ht="15">
      <c r="B25" s="38" t="s">
        <v>121</v>
      </c>
      <c r="C25" s="29">
        <v>2922</v>
      </c>
      <c r="D25" s="29">
        <v>2500</v>
      </c>
      <c r="E25" s="34">
        <v>3000</v>
      </c>
    </row>
    <row r="26" spans="2:5" ht="15">
      <c r="B26" s="37" t="s">
        <v>99</v>
      </c>
      <c r="C26" s="29"/>
      <c r="D26" s="29"/>
      <c r="E26" s="34"/>
    </row>
    <row r="27" spans="2:5" ht="15">
      <c r="B27" s="38" t="s">
        <v>122</v>
      </c>
      <c r="C27" s="29"/>
      <c r="D27" s="29"/>
      <c r="E27" s="34"/>
    </row>
    <row r="28" spans="2:5" ht="15">
      <c r="B28" s="38" t="s">
        <v>101</v>
      </c>
      <c r="C28" s="29">
        <v>7193</v>
      </c>
      <c r="D28" s="29">
        <v>8000</v>
      </c>
      <c r="E28" s="34">
        <v>8000</v>
      </c>
    </row>
    <row r="29" spans="2:5" ht="15">
      <c r="B29" s="38" t="s">
        <v>942</v>
      </c>
      <c r="C29" s="29">
        <v>1949</v>
      </c>
      <c r="D29" s="29">
        <v>2500</v>
      </c>
      <c r="E29" s="34">
        <v>2500</v>
      </c>
    </row>
    <row r="30" spans="2:5" ht="15">
      <c r="B30" s="38" t="s">
        <v>943</v>
      </c>
      <c r="C30" s="29"/>
      <c r="D30" s="29"/>
      <c r="E30" s="34"/>
    </row>
    <row r="31" spans="2:5" ht="15">
      <c r="B31" s="38" t="s">
        <v>944</v>
      </c>
      <c r="C31" s="29">
        <v>2872</v>
      </c>
      <c r="D31" s="29">
        <v>3000</v>
      </c>
      <c r="E31" s="34">
        <v>4000</v>
      </c>
    </row>
    <row r="32" spans="2:5" ht="15">
      <c r="B32" s="38" t="s">
        <v>945</v>
      </c>
      <c r="C32" s="29">
        <v>26964</v>
      </c>
      <c r="D32" s="29">
        <v>15338</v>
      </c>
      <c r="E32" s="34">
        <f>21311-18414+3000+500+5000+500+500+1000</f>
        <v>13397</v>
      </c>
    </row>
    <row r="33" spans="2:10" ht="15">
      <c r="B33" s="37"/>
      <c r="C33" s="29"/>
      <c r="D33" s="29"/>
      <c r="E33" s="34"/>
      <c r="G33" s="798" t="str">
        <f>CONCATENATE("Desired Carryover Into ",E1+1,"")</f>
        <v>Desired Carryover Into 2014</v>
      </c>
      <c r="H33" s="799"/>
      <c r="I33" s="799"/>
      <c r="J33" s="800"/>
    </row>
    <row r="34" spans="2:10" ht="15">
      <c r="B34" s="38"/>
      <c r="C34" s="29"/>
      <c r="D34" s="29"/>
      <c r="E34" s="34"/>
      <c r="G34" s="498" t="s">
        <v>711</v>
      </c>
      <c r="H34" s="485"/>
      <c r="I34" s="485"/>
      <c r="J34" s="694" t="e">
        <f>IF(#REF!=0,"",ROUND((#REF!+E47-G46)/inputOth!E7*1000,3)-G51)</f>
        <v>#REF!</v>
      </c>
    </row>
    <row r="35" spans="2:10" ht="15">
      <c r="B35" s="27" t="s">
        <v>100</v>
      </c>
      <c r="C35" s="29"/>
      <c r="D35" s="29"/>
      <c r="E35" s="34"/>
      <c r="G35" s="695" t="str">
        <f>CONCATENATE("",E1," Tot Exp/Non-Appr Must Be:")</f>
        <v>2013 Tot Exp/Non-Appr Must Be:</v>
      </c>
      <c r="H35" s="576"/>
      <c r="I35" s="688"/>
      <c r="J35" s="696" t="e">
        <f>IF(#REF!&gt;0,IF(E44&lt;E17,IF(#REF!=G46,E44,((#REF!-G46)*(1-D46))+E17),E44+(#REF!-G46)),0)</f>
        <v>#REF!</v>
      </c>
    </row>
    <row r="36" spans="2:10" ht="15">
      <c r="B36" s="27" t="s">
        <v>621</v>
      </c>
      <c r="C36" s="390">
        <f>IF(C22*0.25&lt;C35,"Not Authorized","")</f>
      </c>
      <c r="D36" s="390">
        <f>IF(D22*0.25&lt;D35,"Not Authorized","")</f>
      </c>
      <c r="E36" s="66">
        <f>IF(E22*0.25+E47&lt;E35,"Not Authorized","")</f>
      </c>
      <c r="G36" s="697" t="s">
        <v>817</v>
      </c>
      <c r="H36" s="698"/>
      <c r="I36" s="698"/>
      <c r="J36" s="699" t="e">
        <f>IF(#REF!&gt;0,J35-E44,0)</f>
        <v>#REF!</v>
      </c>
    </row>
    <row r="37" spans="2:5" ht="15">
      <c r="B37" s="35" t="s">
        <v>210</v>
      </c>
      <c r="C37" s="29"/>
      <c r="D37" s="29"/>
      <c r="E37" s="46">
        <f>nhood!E9</f>
      </c>
    </row>
    <row r="38" spans="2:10" ht="15">
      <c r="B38" s="35" t="s">
        <v>208</v>
      </c>
      <c r="C38" s="29"/>
      <c r="D38" s="29"/>
      <c r="E38" s="34"/>
      <c r="G38" s="798" t="str">
        <f>CONCATENATE("Projected Carryover Into ",E1+1,"")</f>
        <v>Projected Carryover Into 2014</v>
      </c>
      <c r="H38" s="799"/>
      <c r="I38" s="799"/>
      <c r="J38" s="800"/>
    </row>
    <row r="39" spans="2:10" ht="15">
      <c r="B39" s="35" t="s">
        <v>617</v>
      </c>
      <c r="C39" s="384">
        <f>IF(C40*0.1&lt;C38,"Exceed 10% Rule","")</f>
      </c>
      <c r="D39" s="384">
        <f>IF(D40*0.1&lt;D38,"Exceed 10% Rule","")</f>
      </c>
      <c r="E39" s="45">
        <f>IF(E40*0.1&lt;E38,"Exceed 10% Rule","")</f>
      </c>
      <c r="G39" s="484"/>
      <c r="H39" s="485"/>
      <c r="I39" s="485"/>
      <c r="J39" s="486"/>
    </row>
    <row r="40" spans="2:10" ht="15">
      <c r="B40" s="43" t="s">
        <v>26</v>
      </c>
      <c r="C40" s="389">
        <f>SUM(C24:C35,C37:C38)</f>
        <v>41900</v>
      </c>
      <c r="D40" s="389">
        <f>SUM(D24:D35,D37:D38)</f>
        <v>31338</v>
      </c>
      <c r="E40" s="42">
        <f>SUM(E24:E35,E37:E38)</f>
        <v>30897</v>
      </c>
      <c r="G40" s="487">
        <f>D41</f>
        <v>4200</v>
      </c>
      <c r="H40" s="488" t="str">
        <f>CONCATENATE("",E1-1," Ending Cash Balance (est.)")</f>
        <v>2012 Ending Cash Balance (est.)</v>
      </c>
      <c r="I40" s="489"/>
      <c r="J40" s="486"/>
    </row>
    <row r="41" spans="2:10" ht="15">
      <c r="B41" s="27" t="s">
        <v>115</v>
      </c>
      <c r="C41" s="382">
        <f>C22-C40</f>
        <v>8773</v>
      </c>
      <c r="D41" s="382">
        <f>D22-D40</f>
        <v>4200</v>
      </c>
      <c r="E41" s="33" t="s">
        <v>285</v>
      </c>
      <c r="G41" s="487">
        <f>E21</f>
        <v>5386</v>
      </c>
      <c r="H41" s="490" t="str">
        <f>CONCATENATE("",E1," Non-AV Receipts (est.)")</f>
        <v>2013 Non-AV Receipts (est.)</v>
      </c>
      <c r="I41" s="489"/>
      <c r="J41" s="486"/>
    </row>
    <row r="42" spans="2:11" ht="15">
      <c r="B42" s="48" t="str">
        <f>CONCATENATE("",E1-2,"/",E1-1," Budget Authority Amount:")</f>
        <v>2011/2012 Budget Authority Amount:</v>
      </c>
      <c r="C42" s="131">
        <f>inputOth!B49</f>
        <v>38963</v>
      </c>
      <c r="D42" s="159">
        <f>inputPrYr!D19</f>
        <v>35338</v>
      </c>
      <c r="E42" s="33" t="s">
        <v>285</v>
      </c>
      <c r="F42" s="50"/>
      <c r="G42" s="491">
        <f>IF(D46&gt;0,E45,E47)</f>
        <v>21311</v>
      </c>
      <c r="H42" s="490" t="str">
        <f>CONCATENATE("",E1," Ad Valorem Tax (est.)")</f>
        <v>2013 Ad Valorem Tax (est.)</v>
      </c>
      <c r="I42" s="489"/>
      <c r="J42" s="486"/>
      <c r="K42" s="700">
        <f>IF(G42=E47,"","Note: Does not include Delinquent Taxes")</f>
      </c>
    </row>
    <row r="43" spans="2:10" ht="15">
      <c r="B43" s="48"/>
      <c r="C43" s="794" t="s">
        <v>618</v>
      </c>
      <c r="D43" s="795"/>
      <c r="E43" s="34"/>
      <c r="F43" s="483">
        <f>IF(E40/0.95-E40&lt;E43,"Exceeds 5%","")</f>
      </c>
      <c r="G43" s="487">
        <f>SUM(G40:G42)</f>
        <v>30897</v>
      </c>
      <c r="H43" s="490" t="str">
        <f>CONCATENATE("Total ",E1," Resources Available")</f>
        <v>Total 2013 Resources Available</v>
      </c>
      <c r="I43" s="489"/>
      <c r="J43" s="486"/>
    </row>
    <row r="44" spans="2:10" ht="15">
      <c r="B44" s="396" t="str">
        <f>CONCATENATE(C71,"     ",D71)</f>
        <v>See Tab A     </v>
      </c>
      <c r="C44" s="796" t="s">
        <v>619</v>
      </c>
      <c r="D44" s="797"/>
      <c r="E44" s="32">
        <f>E40+E43</f>
        <v>30897</v>
      </c>
      <c r="G44" s="492"/>
      <c r="H44" s="490"/>
      <c r="I44" s="490"/>
      <c r="J44" s="486"/>
    </row>
    <row r="45" spans="2:10" ht="15">
      <c r="B45" s="396" t="str">
        <f>CONCATENATE(C72,"     ",D72)</f>
        <v>     </v>
      </c>
      <c r="C45" s="59"/>
      <c r="D45" s="52" t="s">
        <v>28</v>
      </c>
      <c r="E45" s="46">
        <f>IF(E44-E22&gt;0,E44-E22,0)</f>
        <v>21311</v>
      </c>
      <c r="G45" s="491">
        <f>ROUND(C40*0.05+C40,0)</f>
        <v>43995</v>
      </c>
      <c r="H45" s="490" t="str">
        <f>CONCATENATE("Less ",E1-2," Expenditures + 5%")</f>
        <v>Less 2011 Expenditures + 5%</v>
      </c>
      <c r="I45" s="489"/>
      <c r="J45" s="486"/>
    </row>
    <row r="46" spans="2:10" ht="15">
      <c r="B46" s="52"/>
      <c r="C46" s="400" t="s">
        <v>620</v>
      </c>
      <c r="D46" s="687">
        <f>inputOth!$E$40</f>
        <v>0</v>
      </c>
      <c r="E46" s="32">
        <f>ROUND(IF(D46&gt;0,(E45*D46),0),0)</f>
        <v>0</v>
      </c>
      <c r="G46" s="493">
        <f>G43-G45</f>
        <v>-13098</v>
      </c>
      <c r="H46" s="494" t="str">
        <f>CONCATENATE("Projected ",E1+1," Carryover (est.)")</f>
        <v>Projected 2014 Carryover (est.)</v>
      </c>
      <c r="I46" s="495"/>
      <c r="J46" s="496"/>
    </row>
    <row r="47" spans="2:5" ht="15">
      <c r="B47" s="14"/>
      <c r="C47" s="792" t="str">
        <f>CONCATENATE("Amount of  ",$E$1-1," Ad Valorem Tax")</f>
        <v>Amount of  2012 Ad Valorem Tax</v>
      </c>
      <c r="D47" s="793"/>
      <c r="E47" s="46">
        <f>E45+E46</f>
        <v>21311</v>
      </c>
    </row>
    <row r="48" spans="2:10" ht="15">
      <c r="B48" s="14"/>
      <c r="C48" s="14"/>
      <c r="D48" s="14"/>
      <c r="E48" s="14"/>
      <c r="G48" s="801" t="s">
        <v>818</v>
      </c>
      <c r="H48" s="802"/>
      <c r="I48" s="802"/>
      <c r="J48" s="803"/>
    </row>
    <row r="49" spans="2:10" ht="15">
      <c r="B49" s="14"/>
      <c r="C49" s="14"/>
      <c r="D49" s="14"/>
      <c r="E49" s="14"/>
      <c r="G49" s="701"/>
      <c r="H49" s="488"/>
      <c r="I49" s="689"/>
      <c r="J49" s="702"/>
    </row>
    <row r="50" spans="2:10" ht="15">
      <c r="B50" s="67" t="s">
        <v>30</v>
      </c>
      <c r="C50" s="69"/>
      <c r="D50" s="14"/>
      <c r="E50" s="14"/>
      <c r="G50" s="703">
        <f>summ!I19</f>
        <v>10.264</v>
      </c>
      <c r="H50" s="488" t="str">
        <f>CONCATENATE("",E1," Fund Mill Rate")</f>
        <v>2013 Fund Mill Rate</v>
      </c>
      <c r="I50" s="689"/>
      <c r="J50" s="702"/>
    </row>
    <row r="51" spans="2:10" ht="15">
      <c r="B51" s="70" t="s">
        <v>31</v>
      </c>
      <c r="C51" s="401" t="str">
        <f>CONCATENATE("",E1-2," Actual Year")</f>
        <v>2011 Actual Year</v>
      </c>
      <c r="D51" s="14"/>
      <c r="E51" s="14"/>
      <c r="G51" s="704">
        <f>summ!F19</f>
        <v>10.825</v>
      </c>
      <c r="H51" s="488" t="str">
        <f>CONCATENATE("",E1-1," Fund Mill Rate")</f>
        <v>2012 Fund Mill Rate</v>
      </c>
      <c r="I51" s="689"/>
      <c r="J51" s="702"/>
    </row>
    <row r="52" spans="2:10" ht="15">
      <c r="B52" s="71" t="s">
        <v>14</v>
      </c>
      <c r="C52" s="527">
        <v>72747</v>
      </c>
      <c r="D52" s="14"/>
      <c r="E52" s="14"/>
      <c r="G52" s="705">
        <f>summ!I22</f>
        <v>10.264</v>
      </c>
      <c r="H52" s="488" t="str">
        <f>CONCATENATE("Total ",E1," Mill Rate")</f>
        <v>Total 2013 Mill Rate</v>
      </c>
      <c r="I52" s="689"/>
      <c r="J52" s="702"/>
    </row>
    <row r="53" spans="2:10" ht="15">
      <c r="B53" s="71" t="s">
        <v>33</v>
      </c>
      <c r="C53" s="131"/>
      <c r="D53" s="14"/>
      <c r="E53" s="14"/>
      <c r="G53" s="704">
        <f>summ!F22</f>
        <v>10.825</v>
      </c>
      <c r="H53" s="706" t="str">
        <f>CONCATENATE("Total ",E1-1," Mill Rate")</f>
        <v>Total 2012 Mill Rate</v>
      </c>
      <c r="I53" s="707"/>
      <c r="J53" s="708"/>
    </row>
    <row r="54" spans="2:5" ht="15">
      <c r="B54" s="71" t="s">
        <v>34</v>
      </c>
      <c r="C54" s="399">
        <f>C35</f>
        <v>0</v>
      </c>
      <c r="D54" s="73"/>
      <c r="E54" s="14"/>
    </row>
    <row r="55" spans="2:5" ht="15">
      <c r="B55" s="71" t="s">
        <v>242</v>
      </c>
      <c r="C55" s="399">
        <f>gen!C33</f>
        <v>0</v>
      </c>
      <c r="D55" s="804">
        <f>IF(AND(C55&gt;0,C56&gt;0),"Not Auth. Two General Transfers - Only One","")</f>
      </c>
      <c r="E55" s="805"/>
    </row>
    <row r="56" spans="2:5" ht="15">
      <c r="B56" s="74" t="s">
        <v>243</v>
      </c>
      <c r="C56" s="399">
        <f>gen!C35</f>
        <v>0</v>
      </c>
      <c r="D56" s="806"/>
      <c r="E56" s="805"/>
    </row>
    <row r="57" spans="2:5" ht="15">
      <c r="B57" s="75"/>
      <c r="C57" s="527"/>
      <c r="D57" s="14"/>
      <c r="E57" s="14"/>
    </row>
    <row r="58" spans="2:5" ht="15">
      <c r="B58" s="75" t="s">
        <v>22</v>
      </c>
      <c r="C58" s="527">
        <v>599</v>
      </c>
      <c r="D58" s="14"/>
      <c r="E58" s="14"/>
    </row>
    <row r="59" spans="2:5" ht="15">
      <c r="B59" s="75" t="s">
        <v>21</v>
      </c>
      <c r="C59" s="527"/>
      <c r="D59" s="14"/>
      <c r="E59" s="14"/>
    </row>
    <row r="60" spans="2:5" ht="15">
      <c r="B60" s="76" t="s">
        <v>24</v>
      </c>
      <c r="C60" s="131">
        <f>SUM(C52:C59)</f>
        <v>73346</v>
      </c>
      <c r="D60" s="14"/>
      <c r="E60" s="14"/>
    </row>
    <row r="61" spans="2:5" ht="15">
      <c r="B61" s="76" t="s">
        <v>26</v>
      </c>
      <c r="C61" s="527"/>
      <c r="D61" s="14"/>
      <c r="E61" s="14"/>
    </row>
    <row r="62" spans="2:5" ht="15">
      <c r="B62" s="76" t="s">
        <v>27</v>
      </c>
      <c r="C62" s="398">
        <f>SUM(C60-C61)</f>
        <v>73346</v>
      </c>
      <c r="D62" s="14"/>
      <c r="E62" s="14"/>
    </row>
    <row r="63" spans="2:5" ht="15">
      <c r="B63" s="14"/>
      <c r="C63" s="14"/>
      <c r="D63" s="14"/>
      <c r="E63" s="14"/>
    </row>
    <row r="64" spans="2:5" ht="15">
      <c r="B64" s="52" t="s">
        <v>9</v>
      </c>
      <c r="C64" s="528">
        <v>7</v>
      </c>
      <c r="D64" s="14"/>
      <c r="E64" s="14"/>
    </row>
    <row r="66" ht="15">
      <c r="B66" s="12"/>
    </row>
    <row r="71" spans="3:4" ht="15" hidden="1">
      <c r="C71" s="16" t="str">
        <f>IF(C40&gt;C42,"See Tab A","")</f>
        <v>See Tab A</v>
      </c>
      <c r="D71" s="16">
        <f>IF(D40&gt;D42,"See Tab C","")</f>
      </c>
    </row>
    <row r="72" spans="3:4" ht="15" hidden="1">
      <c r="C72" s="16">
        <f>IF(C41&lt;0,"See Tab B","")</f>
      </c>
      <c r="D72" s="16">
        <f>IF(D41&lt;0,"See Tab D","")</f>
      </c>
    </row>
  </sheetData>
  <sheetProtection/>
  <mergeCells count="7">
    <mergeCell ref="C47:D47"/>
    <mergeCell ref="C43:D43"/>
    <mergeCell ref="C44:D44"/>
    <mergeCell ref="D55:E56"/>
    <mergeCell ref="G33:J33"/>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5">
    <cfRule type="cellIs" priority="9" dxfId="130" operator="greaterThan" stopIfTrue="1">
      <formula>$C$22*0.25</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18" operator="greaterThan" stopIfTrue="1">
      <formula>#REF!</formula>
    </cfRule>
  </conditionalFormatting>
  <conditionalFormatting sqref="D40">
    <cfRule type="cellIs" priority="13" dxfId="18" operator="greaterThan" stopIfTrue="1">
      <formula>$D$42</formula>
    </cfRule>
  </conditionalFormatting>
  <conditionalFormatting sqref="D35">
    <cfRule type="cellIs" priority="14" dxfId="18" operator="greaterThan" stopIfTrue="1">
      <formula>$D$22*0.25</formula>
    </cfRule>
  </conditionalFormatting>
  <conditionalFormatting sqref="E35">
    <cfRule type="cellIs" priority="15" dxfId="18" operator="greaterThan" stopIfTrue="1">
      <formula>$E$22*0.25+$E$47</formula>
    </cfRule>
  </conditionalFormatting>
  <conditionalFormatting sqref="D41">
    <cfRule type="cellIs" priority="2" dxfId="0" operator="lessThan" stopIfTrue="1">
      <formula>0</formula>
    </cfRule>
  </conditionalFormatting>
  <conditionalFormatting sqref="E19">
    <cfRule type="cellIs" priority="18" dxfId="130" operator="greaterThan" stopIfTrue="1">
      <formula>$E$21*0.1+$E$47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4">
      <selection activeCell="H24" sqref="H2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68</v>
      </c>
      <c r="C2" s="768"/>
      <c r="D2" s="768"/>
      <c r="E2" s="768"/>
      <c r="F2" s="768"/>
      <c r="G2" s="768"/>
      <c r="H2" s="768"/>
      <c r="I2" s="768"/>
    </row>
    <row r="3" spans="2:9" ht="15">
      <c r="B3" s="14"/>
      <c r="C3" s="14"/>
      <c r="D3" s="14"/>
      <c r="E3" s="14"/>
      <c r="F3" s="14"/>
      <c r="G3" s="22" t="s">
        <v>37</v>
      </c>
      <c r="H3" s="22" t="s">
        <v>38</v>
      </c>
      <c r="I3" s="14"/>
    </row>
    <row r="4" spans="2:9" ht="15">
      <c r="B4" s="757" t="s">
        <v>39</v>
      </c>
      <c r="C4" s="757"/>
      <c r="D4" s="757"/>
      <c r="E4" s="757"/>
      <c r="F4" s="757"/>
      <c r="G4" s="757"/>
      <c r="H4" s="757"/>
      <c r="I4" s="757"/>
    </row>
    <row r="5" spans="2:9" ht="15">
      <c r="B5" s="766" t="str">
        <f>inputPrYr!D2</f>
        <v>Plum Creek Township</v>
      </c>
      <c r="C5" s="766"/>
      <c r="D5" s="766"/>
      <c r="E5" s="766"/>
      <c r="F5" s="766"/>
      <c r="G5" s="766"/>
      <c r="H5" s="766"/>
      <c r="I5" s="766"/>
    </row>
    <row r="6" spans="2:9" ht="15">
      <c r="B6" s="766" t="str">
        <f>inputPrYr!D3</f>
        <v>Mitchell County</v>
      </c>
      <c r="C6" s="766"/>
      <c r="D6" s="766"/>
      <c r="E6" s="766"/>
      <c r="F6" s="766"/>
      <c r="G6" s="766"/>
      <c r="H6" s="766"/>
      <c r="I6" s="766"/>
    </row>
    <row r="7" spans="2:9" ht="15">
      <c r="B7" s="817" t="str">
        <f>CONCATENATE("will meet on ",inputBudSum!B8," at ",inputBudSum!B10," at ",inputBudSum!B12," for the purpose of hearing and")</f>
        <v>will meet on August 1, 2012 at 8:00 PM at Jerry Wessling's residence for the purpose of hearing and</v>
      </c>
      <c r="C7" s="817"/>
      <c r="D7" s="817"/>
      <c r="E7" s="817"/>
      <c r="F7" s="817"/>
      <c r="G7" s="817"/>
      <c r="H7" s="817"/>
      <c r="I7" s="817"/>
    </row>
    <row r="8" spans="2:9" ht="15">
      <c r="B8" s="146" t="s">
        <v>598</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69</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70" t="str">
        <f>CONCATENATE("Amount of ",I1-1," Ad Valorem Tax")</f>
        <v>Amount of 2012 Ad Valorem Tax</v>
      </c>
      <c r="I15" s="23" t="s">
        <v>40</v>
      </c>
      <c r="J15" s="148"/>
    </row>
    <row r="16" spans="2:10" ht="15">
      <c r="B16" s="14"/>
      <c r="C16" s="155"/>
      <c r="D16" s="155" t="s">
        <v>41</v>
      </c>
      <c r="E16" s="155"/>
      <c r="F16" s="155" t="s">
        <v>41</v>
      </c>
      <c r="G16" s="155" t="s">
        <v>204</v>
      </c>
      <c r="H16" s="815"/>
      <c r="I16" s="155" t="s">
        <v>41</v>
      </c>
      <c r="J16" s="148"/>
    </row>
    <row r="17" spans="2:10" ht="15">
      <c r="B17" s="25" t="s">
        <v>281</v>
      </c>
      <c r="C17" s="26" t="s">
        <v>42</v>
      </c>
      <c r="D17" s="26" t="s">
        <v>43</v>
      </c>
      <c r="E17" s="26" t="s">
        <v>42</v>
      </c>
      <c r="F17" s="26" t="s">
        <v>43</v>
      </c>
      <c r="G17" s="26" t="s">
        <v>713</v>
      </c>
      <c r="H17" s="816"/>
      <c r="I17" s="26" t="s">
        <v>43</v>
      </c>
      <c r="J17" s="148"/>
    </row>
    <row r="18" spans="2:10" ht="15">
      <c r="B18" s="84" t="str">
        <f>inputPrYr!B16</f>
        <v>General</v>
      </c>
      <c r="C18" s="62">
        <f>IF(gen!$C$40&lt;&gt;0,gen!$C$40,"  ")</f>
        <v>1536</v>
      </c>
      <c r="D18" s="519" t="str">
        <f>IF(inputPrYr!D42&gt;0,inputPrYr!D42,"  ")</f>
        <v>  </v>
      </c>
      <c r="E18" s="32">
        <f>IF(gen!$D$40&lt;&gt;0,gen!$D$40,"  ")</f>
        <v>4081</v>
      </c>
      <c r="F18" s="232" t="str">
        <f>IF(inputOth!D17&gt;0,inputOth!D17,"  ")</f>
        <v>  </v>
      </c>
      <c r="G18" s="32">
        <f>IF(gen!$E$40&lt;&gt;0,gen!$E$40,"  ")</f>
        <v>8177</v>
      </c>
      <c r="H18" s="32" t="str">
        <f>IF(gen!$E$47&lt;&gt;0,gen!$E$47," ")</f>
        <v> </v>
      </c>
      <c r="I18" s="521" t="str">
        <f>IF(gen!E47&gt;0,ROUND(H18/$G$27*1000,3)," ")</f>
        <v> </v>
      </c>
      <c r="J18" s="148"/>
    </row>
    <row r="19" spans="2:14" ht="15">
      <c r="B19" s="84" t="str">
        <f>IF(inputPrYr!$B19&gt;"  ",inputPrYr!$B19,"  ")</f>
        <v>Road</v>
      </c>
      <c r="C19" s="32">
        <f>IF(road!$C$40&lt;&gt;0,road!$C$40,"  ")</f>
        <v>41900</v>
      </c>
      <c r="D19" s="519">
        <f>IF(inputPrYr!D45&gt;0,inputPrYr!D45,"  ")</f>
        <v>10.909</v>
      </c>
      <c r="E19" s="32">
        <f>IF(road!$D$40&lt;&gt;0,road!$D$40,"  ")</f>
        <v>31338</v>
      </c>
      <c r="F19" s="232">
        <f>IF(inputOth!D20&gt;0,inputOth!D20,"  ")</f>
        <v>10.825</v>
      </c>
      <c r="G19" s="32">
        <f>IF(road!$E$40&lt;&gt;0,road!$E$40,"  ")</f>
        <v>30897</v>
      </c>
      <c r="H19" s="32">
        <f>IF(road!$E$47&lt;&gt;0,road!$E$47,"  ")</f>
        <v>21311</v>
      </c>
      <c r="I19" s="521">
        <f>IF(road!E47&gt;0,ROUND(H19/$G$27*1000,3)," ")</f>
        <v>10.264</v>
      </c>
      <c r="K19" s="810" t="str">
        <f>CONCATENATE("Estimated Value Of One Mill For ",I1,"")</f>
        <v>Estimated Value Of One Mill For 2013</v>
      </c>
      <c r="L19" s="813"/>
      <c r="M19" s="813"/>
      <c r="N19" s="814"/>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283</v>
      </c>
      <c r="C21" s="480" t="str">
        <f>IF(road!C61&lt;&gt;0,road!C61,"  ")</f>
        <v>  </v>
      </c>
      <c r="D21" s="481"/>
      <c r="E21" s="520"/>
      <c r="F21" s="481"/>
      <c r="G21" s="520"/>
      <c r="H21" s="520"/>
      <c r="I21" s="481"/>
      <c r="K21" s="511"/>
      <c r="L21" s="511"/>
      <c r="M21" s="511"/>
      <c r="N21" s="511"/>
    </row>
    <row r="22" spans="2:14" ht="15">
      <c r="B22" s="71" t="s">
        <v>284</v>
      </c>
      <c r="C22" s="522">
        <f aca="true" t="shared" si="0" ref="C22:I22">SUM(C18:C21)</f>
        <v>43436</v>
      </c>
      <c r="D22" s="479">
        <f t="shared" si="0"/>
        <v>10.909</v>
      </c>
      <c r="E22" s="522">
        <f t="shared" si="0"/>
        <v>35419</v>
      </c>
      <c r="F22" s="479">
        <f t="shared" si="0"/>
        <v>10.825</v>
      </c>
      <c r="G22" s="522">
        <f t="shared" si="0"/>
        <v>39074</v>
      </c>
      <c r="H22" s="522">
        <f t="shared" si="0"/>
        <v>21311</v>
      </c>
      <c r="I22" s="525">
        <f t="shared" si="0"/>
        <v>10.264</v>
      </c>
      <c r="K22" s="810" t="str">
        <f>CONCATENATE("Impact On Keeping The Same Mill Rate As For ",I1-1,"")</f>
        <v>Impact On Keeping The Same Mill Rate As For 2012</v>
      </c>
      <c r="L22" s="811"/>
      <c r="M22" s="811"/>
      <c r="N22" s="812"/>
    </row>
    <row r="23" spans="2:14" ht="15">
      <c r="B23" s="271" t="s">
        <v>44</v>
      </c>
      <c r="C23" s="32">
        <f>transfer!C29</f>
        <v>0</v>
      </c>
      <c r="D23" s="14"/>
      <c r="E23" s="32">
        <f>transfer!D29</f>
        <v>0</v>
      </c>
      <c r="F23" s="60"/>
      <c r="G23" s="32">
        <f>transfer!E29</f>
        <v>0</v>
      </c>
      <c r="H23" s="14"/>
      <c r="I23" s="14"/>
      <c r="K23" s="507"/>
      <c r="L23" s="503"/>
      <c r="M23" s="503"/>
      <c r="N23" s="508"/>
    </row>
    <row r="24" spans="2:14" ht="15.75" thickBot="1">
      <c r="B24" s="271" t="s">
        <v>45</v>
      </c>
      <c r="C24" s="523">
        <f>C22-C23</f>
        <v>43436</v>
      </c>
      <c r="D24" s="14"/>
      <c r="E24" s="523">
        <f>E22-E23</f>
        <v>35419</v>
      </c>
      <c r="F24" s="14"/>
      <c r="G24" s="523">
        <f>G22-G23</f>
        <v>39074</v>
      </c>
      <c r="H24" s="14"/>
      <c r="I24" s="14"/>
      <c r="K24" s="507" t="str">
        <f>CONCATENATE("",I1," Ad Valorem Tax Revenue:")</f>
        <v>2013 Ad Valorem Tax Revenue:</v>
      </c>
      <c r="L24" s="503"/>
      <c r="M24" s="503"/>
      <c r="N24" s="504">
        <f>H22</f>
        <v>21311</v>
      </c>
    </row>
    <row r="25" spans="2:14" ht="15.75" thickTop="1">
      <c r="B25" s="271" t="s">
        <v>46</v>
      </c>
      <c r="C25" s="524">
        <f>inputPrYr!E54</f>
        <v>19455</v>
      </c>
      <c r="D25" s="60"/>
      <c r="E25" s="524">
        <f>inputPrYr!E26</f>
        <v>20645</v>
      </c>
      <c r="F25" s="14"/>
      <c r="G25" s="515" t="s">
        <v>285</v>
      </c>
      <c r="H25" s="14"/>
      <c r="I25" s="14"/>
      <c r="K25" s="507" t="str">
        <f>CONCATENATE("",I1-1," Ad Valorem Tax Revenue:")</f>
        <v>2012 Ad Valorem Tax Revenue:</v>
      </c>
      <c r="L25" s="503"/>
      <c r="M25" s="503"/>
      <c r="N25" s="512" t="e">
        <f>ROUND(G27*#REF!/1000,0)</f>
        <v>#REF!</v>
      </c>
    </row>
    <row r="26" spans="2:14" ht="15">
      <c r="B26" s="271" t="s">
        <v>47</v>
      </c>
      <c r="C26" s="55"/>
      <c r="D26" s="60"/>
      <c r="E26" s="55"/>
      <c r="F26" s="60"/>
      <c r="G26" s="14"/>
      <c r="H26" s="14"/>
      <c r="I26" s="14"/>
      <c r="K26" s="509" t="s">
        <v>712</v>
      </c>
      <c r="L26" s="510"/>
      <c r="M26" s="510"/>
      <c r="N26" s="505" t="e">
        <f>N24-N25</f>
        <v>#REF!</v>
      </c>
    </row>
    <row r="27" spans="2:14" ht="15">
      <c r="B27" s="271" t="s">
        <v>48</v>
      </c>
      <c r="C27" s="32">
        <f>inputPrYr!E55</f>
        <v>1783431</v>
      </c>
      <c r="D27" s="14"/>
      <c r="E27" s="32">
        <f>inputOth!E29</f>
        <v>1907292</v>
      </c>
      <c r="F27" s="14"/>
      <c r="G27" s="32">
        <f>inputOth!E7</f>
        <v>2076242</v>
      </c>
      <c r="H27" s="14"/>
      <c r="I27" s="14"/>
      <c r="K27" s="506"/>
      <c r="L27" s="506"/>
      <c r="M27" s="506"/>
      <c r="N27" s="511"/>
    </row>
    <row r="28" spans="2:9" ht="15">
      <c r="B28" s="22" t="s">
        <v>50</v>
      </c>
      <c r="C28" s="14"/>
      <c r="D28" s="14"/>
      <c r="E28" s="14"/>
      <c r="F28" s="14"/>
      <c r="G28" s="14"/>
      <c r="H28" s="14"/>
      <c r="I28" s="14"/>
    </row>
    <row r="29" spans="2:9" ht="15">
      <c r="B29" s="14"/>
      <c r="C29" s="14"/>
      <c r="D29" s="14"/>
      <c r="E29" s="14"/>
      <c r="F29" s="14"/>
      <c r="G29" s="14"/>
      <c r="H29" s="14"/>
      <c r="I29" s="14"/>
    </row>
    <row r="30" spans="2:9" ht="15">
      <c r="B30" s="809" t="str">
        <f>inputBudSum!B4</f>
        <v>Jerry Wessling</v>
      </c>
      <c r="C30" s="809"/>
      <c r="D30" s="14"/>
      <c r="E30" s="14"/>
      <c r="F30" s="14"/>
      <c r="G30" s="14"/>
      <c r="H30" s="14"/>
      <c r="I30" s="14"/>
    </row>
    <row r="31" spans="2:9" ht="15">
      <c r="B31" s="807" t="str">
        <f>inputBudSum!B6</f>
        <v>Treasurer</v>
      </c>
      <c r="C31" s="808"/>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Plum Creek Township</v>
      </c>
      <c r="B1" s="14"/>
      <c r="C1" s="14"/>
      <c r="D1" s="14"/>
      <c r="E1" s="14"/>
      <c r="F1" s="14">
        <f>inputPrYr!D5</f>
        <v>2013</v>
      </c>
    </row>
    <row r="2" spans="1:6" ht="15">
      <c r="A2" s="14"/>
      <c r="B2" s="14"/>
      <c r="C2" s="14"/>
      <c r="D2" s="14"/>
      <c r="E2" s="14"/>
      <c r="F2" s="14"/>
    </row>
    <row r="3" spans="1:6" ht="15">
      <c r="A3" s="14"/>
      <c r="B3" s="769" t="str">
        <f>CONCATENATE("",F1," Neighborhood Revitalization Rebate")</f>
        <v>2013 Neighborhood Revitalization Rebate</v>
      </c>
      <c r="C3" s="758"/>
      <c r="D3" s="758"/>
      <c r="E3" s="758"/>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207</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0" t="str">
        <f>CONCATENATE("",F1-1," July 1 Valuation:")</f>
        <v>2012 July 1 Valuation:</v>
      </c>
      <c r="B19" s="819"/>
      <c r="C19" s="820"/>
      <c r="D19" s="135">
        <f>inputOth!E7</f>
        <v>2076242</v>
      </c>
      <c r="E19" s="14"/>
      <c r="F19" s="128"/>
    </row>
    <row r="20" spans="1:6" ht="15">
      <c r="A20" s="14"/>
      <c r="B20" s="14"/>
      <c r="C20" s="14"/>
      <c r="D20" s="14"/>
      <c r="E20" s="14"/>
      <c r="F20" s="128"/>
    </row>
    <row r="21" spans="1:6" ht="15">
      <c r="A21" s="14"/>
      <c r="B21" s="820" t="s">
        <v>361</v>
      </c>
      <c r="C21" s="820"/>
      <c r="D21" s="136">
        <f>IF(D19&gt;0,(D19*0.001),"")</f>
        <v>2076.242</v>
      </c>
      <c r="E21" s="14"/>
      <c r="F21" s="128"/>
    </row>
    <row r="22" spans="1:6" ht="15">
      <c r="A22" s="14"/>
      <c r="B22" s="48"/>
      <c r="C22" s="48"/>
      <c r="D22" s="137"/>
      <c r="E22" s="14"/>
      <c r="F22" s="128"/>
    </row>
    <row r="23" spans="1:6" ht="15">
      <c r="A23" s="818" t="s">
        <v>363</v>
      </c>
      <c r="B23" s="768"/>
      <c r="C23" s="768"/>
      <c r="D23" s="138">
        <f>inputOth!E13</f>
        <v>0</v>
      </c>
      <c r="E23" s="139"/>
      <c r="F23" s="139"/>
    </row>
    <row r="24" spans="1:6" ht="15">
      <c r="A24" s="139"/>
      <c r="B24" s="139"/>
      <c r="C24" s="139"/>
      <c r="D24" s="140"/>
      <c r="E24" s="139"/>
      <c r="F24" s="139"/>
    </row>
    <row r="25" spans="1:6" ht="15">
      <c r="A25" s="139"/>
      <c r="B25" s="818" t="s">
        <v>364</v>
      </c>
      <c r="C25" s="819"/>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599</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8" t="s">
        <v>124</v>
      </c>
      <c r="B1" s="828"/>
      <c r="C1" s="828"/>
      <c r="D1" s="828"/>
      <c r="E1" s="828"/>
      <c r="F1" s="828"/>
      <c r="G1" s="828"/>
    </row>
    <row r="2" ht="15">
      <c r="A2" s="1"/>
    </row>
    <row r="3" spans="1:7" ht="15">
      <c r="A3" s="829" t="s">
        <v>125</v>
      </c>
      <c r="B3" s="829"/>
      <c r="C3" s="829"/>
      <c r="D3" s="829"/>
      <c r="E3" s="829"/>
      <c r="F3" s="829"/>
      <c r="G3" s="829"/>
    </row>
    <row r="4" ht="15">
      <c r="A4" s="2"/>
    </row>
    <row r="5" ht="15">
      <c r="A5" s="2"/>
    </row>
    <row r="6" spans="1:9" ht="15">
      <c r="A6" s="8" t="str">
        <f>CONCATENATE("A resolution expressing the property taxation policy of the Board of ",(inputPrYr!D2)," ")</f>
        <v>A resolution expressing the property taxation policy of the Board of Plum Creek Township </v>
      </c>
      <c r="I6">
        <f>CONCATENATE(I7)</f>
      </c>
    </row>
    <row r="7" spans="1:7" ht="15">
      <c r="A7" s="830" t="str">
        <f>CONCATENATE("   with respect to financing the ",inputPrYr!D5," annual budget for ",(inputPrYr!D2)," , ",(inputPrYr!D3)," , Kansas.")</f>
        <v>   with respect to financing the 2013 annual budget for Plum Creek Township , Mitchell County , Kansas.</v>
      </c>
      <c r="B7" s="823"/>
      <c r="C7" s="823"/>
      <c r="D7" s="823"/>
      <c r="E7" s="823"/>
      <c r="F7" s="823"/>
      <c r="G7" s="823"/>
    </row>
    <row r="8" spans="1:7" ht="15">
      <c r="A8" s="823"/>
      <c r="B8" s="823"/>
      <c r="C8" s="823"/>
      <c r="D8" s="823"/>
      <c r="E8" s="823"/>
      <c r="F8" s="823"/>
      <c r="G8" s="823"/>
    </row>
    <row r="9" ht="15">
      <c r="A9" s="1"/>
    </row>
    <row r="10" ht="15">
      <c r="A10" s="9" t="s">
        <v>126</v>
      </c>
    </row>
    <row r="11" ht="15">
      <c r="A11" s="7" t="str">
        <f>CONCATENATE("to finance the ",inputPrYr!D5," ",(inputPrYr!D2)," budget exceed the amount levied to finance the ",inputPrYr!D5-1,"")</f>
        <v>to finance the 2013 Plum Creek Township budget exceed the amount levied to finance the 2012</v>
      </c>
    </row>
    <row r="12" spans="1:7" ht="15">
      <c r="A12" s="826" t="str">
        <f>CONCATENATE((inputPrYr!D2)," Township budget, except with regard to revenue produced and attributable to the taxation of 1) new improvements to real property; 2) increased personal property valuation, other than increased")</f>
        <v>Plum Creek Township Township budget, except with regard to revenue produced and attributable to the taxation of 1) new improvements to real property; 2) increased personal property valuation, other than increased</v>
      </c>
      <c r="B12" s="823"/>
      <c r="C12" s="823"/>
      <c r="D12" s="823"/>
      <c r="E12" s="823"/>
      <c r="F12" s="823"/>
      <c r="G12" s="823"/>
    </row>
    <row r="13" spans="1:7" ht="15">
      <c r="A13" s="823"/>
      <c r="B13" s="823"/>
      <c r="C13" s="823"/>
      <c r="D13" s="823"/>
      <c r="E13" s="823"/>
      <c r="F13" s="823"/>
      <c r="G13" s="823"/>
    </row>
    <row r="14" spans="1:7" ht="15">
      <c r="A14" s="826" t="s">
        <v>131</v>
      </c>
      <c r="B14" s="823"/>
      <c r="C14" s="823"/>
      <c r="D14" s="823"/>
      <c r="E14" s="823"/>
      <c r="F14" s="823"/>
      <c r="G14" s="823"/>
    </row>
    <row r="15" spans="1:7" ht="15">
      <c r="A15" s="823"/>
      <c r="B15" s="823"/>
      <c r="C15" s="823"/>
      <c r="D15" s="823"/>
      <c r="E15" s="823"/>
      <c r="F15" s="823"/>
      <c r="G15" s="823"/>
    </row>
    <row r="16" spans="1:7" ht="15">
      <c r="A16" s="827"/>
      <c r="B16" s="827"/>
      <c r="C16" s="827"/>
      <c r="D16" s="827"/>
      <c r="E16" s="827"/>
      <c r="F16" s="827"/>
      <c r="G16" s="827"/>
    </row>
    <row r="17" ht="15">
      <c r="A17" s="2"/>
    </row>
    <row r="18" spans="1:7" ht="15">
      <c r="A18" s="822" t="s">
        <v>127</v>
      </c>
      <c r="B18" s="823"/>
      <c r="C18" s="823"/>
      <c r="D18" s="823"/>
      <c r="E18" s="823"/>
      <c r="F18" s="823"/>
      <c r="G18" s="823"/>
    </row>
    <row r="19" spans="1:7" ht="15">
      <c r="A19" s="823"/>
      <c r="B19" s="823"/>
      <c r="C19" s="823"/>
      <c r="D19" s="823"/>
      <c r="E19" s="823"/>
      <c r="F19" s="823"/>
      <c r="G19" s="823"/>
    </row>
    <row r="20" ht="15">
      <c r="A20" s="2"/>
    </row>
    <row r="21" spans="1:7" ht="15">
      <c r="A21" s="822" t="str">
        <f>CONCATENATE("Whereas, ",(inputPrYr!D2)," provides essential services to protect the safety and well being of the citizens of the township; and")</f>
        <v>Whereas, Plum Creek Township provides essential services to protect the safety and well being of the citizens of the township; and</v>
      </c>
      <c r="B21" s="823"/>
      <c r="C21" s="823"/>
      <c r="D21" s="823"/>
      <c r="E21" s="823"/>
      <c r="F21" s="823"/>
      <c r="G21" s="823"/>
    </row>
    <row r="22" spans="1:7" ht="15">
      <c r="A22" s="823"/>
      <c r="B22" s="823"/>
      <c r="C22" s="823"/>
      <c r="D22" s="823"/>
      <c r="E22" s="823"/>
      <c r="F22" s="823"/>
      <c r="G22" s="823"/>
    </row>
    <row r="23" ht="15">
      <c r="A23" s="4"/>
    </row>
    <row r="24" ht="15">
      <c r="A24" s="3" t="s">
        <v>128</v>
      </c>
    </row>
    <row r="25" ht="15">
      <c r="A25" s="4"/>
    </row>
    <row r="26" spans="1:7" ht="15">
      <c r="A26" s="822" t="str">
        <f>CONCATENATE("NOW, THEREFORE, BE IT RESOLVED by the Board of ",(inputPrYr!D2)," of ",(inputPrYr!D3),", Kansas that is our desire to notify the public of increased property taxes to finance the ",inputPrYr!D5," ",(inputPrYr!D2),"  budget as defined above.")</f>
        <v>NOW, THEREFORE, BE IT RESOLVED by the Board of Plum Creek Township of Mitchell County, Kansas that is our desire to notify the public of increased property taxes to finance the 2013 Plum Creek Township  budget as defined above.</v>
      </c>
      <c r="B26" s="823"/>
      <c r="C26" s="823"/>
      <c r="D26" s="823"/>
      <c r="E26" s="823"/>
      <c r="F26" s="823"/>
      <c r="G26" s="823"/>
    </row>
    <row r="27" spans="1:7" ht="15">
      <c r="A27" s="823"/>
      <c r="B27" s="823"/>
      <c r="C27" s="823"/>
      <c r="D27" s="823"/>
      <c r="E27" s="823"/>
      <c r="F27" s="823"/>
      <c r="G27" s="823"/>
    </row>
    <row r="28" spans="1:7" ht="15">
      <c r="A28" s="823"/>
      <c r="B28" s="823"/>
      <c r="C28" s="823"/>
      <c r="D28" s="823"/>
      <c r="E28" s="823"/>
      <c r="F28" s="823"/>
      <c r="G28" s="823"/>
    </row>
    <row r="29" ht="15">
      <c r="A29" s="4"/>
    </row>
    <row r="30" spans="1:7" ht="15">
      <c r="A30" s="825" t="str">
        <f>CONCATENATE("Adopted this _________ day of ___________, ",inputPrYr!D5-1," by the ",(inputPrYr!D2)," Board, ",(inputPrYr!D3),", Kansas.")</f>
        <v>Adopted this _________ day of ___________, 2012 by the Plum Creek Township Board, Mitchell County, Kansas.</v>
      </c>
      <c r="B30" s="823"/>
      <c r="C30" s="823"/>
      <c r="D30" s="823"/>
      <c r="E30" s="823"/>
      <c r="F30" s="823"/>
      <c r="G30" s="823"/>
    </row>
    <row r="31" spans="1:7" ht="15">
      <c r="A31" s="823"/>
      <c r="B31" s="823"/>
      <c r="C31" s="823"/>
      <c r="D31" s="823"/>
      <c r="E31" s="823"/>
      <c r="F31" s="823"/>
      <c r="G31" s="823"/>
    </row>
    <row r="32" ht="15">
      <c r="A32" s="4"/>
    </row>
    <row r="33" spans="4:7" ht="15">
      <c r="D33" s="824" t="str">
        <f>CONCATENATE((inputPrYr!D2)," Board")</f>
        <v>Plum Creek Township Board</v>
      </c>
      <c r="E33" s="824"/>
      <c r="F33" s="824"/>
      <c r="G33" s="824"/>
    </row>
    <row r="35" spans="4:7" ht="15">
      <c r="D35" s="821" t="s">
        <v>129</v>
      </c>
      <c r="E35" s="821"/>
      <c r="F35" s="821"/>
      <c r="G35" s="821"/>
    </row>
    <row r="36" spans="1:7" ht="15">
      <c r="A36" s="5"/>
      <c r="D36" s="821" t="s">
        <v>133</v>
      </c>
      <c r="E36" s="821"/>
      <c r="F36" s="821"/>
      <c r="G36" s="821"/>
    </row>
    <row r="37" spans="4:7" ht="15">
      <c r="D37" s="821"/>
      <c r="E37" s="821"/>
      <c r="F37" s="821"/>
      <c r="G37" s="821"/>
    </row>
    <row r="38" spans="4:7" ht="15">
      <c r="D38" s="821" t="s">
        <v>129</v>
      </c>
      <c r="E38" s="821"/>
      <c r="F38" s="821"/>
      <c r="G38" s="821"/>
    </row>
    <row r="39" spans="1:7" ht="15">
      <c r="A39" s="4"/>
      <c r="D39" s="821" t="s">
        <v>134</v>
      </c>
      <c r="E39" s="821"/>
      <c r="F39" s="821"/>
      <c r="G39" s="821"/>
    </row>
    <row r="40" spans="4:7" ht="15">
      <c r="D40" s="821"/>
      <c r="E40" s="821"/>
      <c r="F40" s="821"/>
      <c r="G40" s="821"/>
    </row>
    <row r="41" spans="4:7" ht="15">
      <c r="D41" s="821" t="s">
        <v>132</v>
      </c>
      <c r="E41" s="821"/>
      <c r="F41" s="821"/>
      <c r="G41" s="821"/>
    </row>
    <row r="42" spans="1:7" ht="15">
      <c r="A42" s="4"/>
      <c r="D42" s="821" t="s">
        <v>135</v>
      </c>
      <c r="E42" s="821"/>
      <c r="F42" s="821"/>
      <c r="G42" s="821"/>
    </row>
    <row r="43" ht="15">
      <c r="A43" s="6"/>
    </row>
    <row r="44" ht="15">
      <c r="A44" s="6"/>
    </row>
    <row r="45" ht="15">
      <c r="A45" s="6" t="s">
        <v>130</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377</v>
      </c>
      <c r="B3" s="350"/>
      <c r="C3" s="350"/>
      <c r="D3" s="350"/>
      <c r="E3" s="350"/>
      <c r="F3" s="350"/>
      <c r="G3" s="350"/>
      <c r="H3" s="350"/>
      <c r="I3" s="350"/>
      <c r="J3" s="350"/>
      <c r="K3" s="350"/>
      <c r="L3" s="350"/>
    </row>
    <row r="5" ht="15">
      <c r="A5" s="349" t="s">
        <v>378</v>
      </c>
    </row>
    <row r="6" ht="15">
      <c r="A6" s="349" t="str">
        <f>CONCATENATE(inputPrYr!D5-2," 'total expenditures' exceed your ",inputPrYr!D5-2," 'budget authority.'")</f>
        <v>2011 'total expenditures' exceed your 2011 'budget authority.'</v>
      </c>
    </row>
    <row r="7" ht="15">
      <c r="A7" s="349"/>
    </row>
    <row r="8" ht="15">
      <c r="A8" s="349" t="s">
        <v>379</v>
      </c>
    </row>
    <row r="9" ht="15">
      <c r="A9" s="349" t="s">
        <v>380</v>
      </c>
    </row>
    <row r="10" ht="15">
      <c r="A10" s="349" t="s">
        <v>381</v>
      </c>
    </row>
    <row r="11" ht="15">
      <c r="A11" s="349"/>
    </row>
    <row r="12" ht="15">
      <c r="A12" s="349"/>
    </row>
    <row r="13" ht="15">
      <c r="A13" s="348" t="s">
        <v>382</v>
      </c>
    </row>
    <row r="15" ht="15">
      <c r="A15" s="349" t="s">
        <v>383</v>
      </c>
    </row>
    <row r="16" ht="15">
      <c r="A16" s="349" t="str">
        <f>CONCATENATE("(i.e. an audit has not been completed, or the ",inputPrYr!D5," adopted")</f>
        <v>(i.e. an audit has not been completed, or the 2013 adopted</v>
      </c>
    </row>
    <row r="17" ht="15">
      <c r="A17" s="349" t="s">
        <v>384</v>
      </c>
    </row>
    <row r="18" ht="15">
      <c r="A18" s="349" t="s">
        <v>385</v>
      </c>
    </row>
    <row r="19" ht="15">
      <c r="A19" s="349" t="s">
        <v>386</v>
      </c>
    </row>
    <row r="21" ht="15">
      <c r="A21" s="348" t="s">
        <v>387</v>
      </c>
    </row>
    <row r="22" ht="15">
      <c r="A22" s="348"/>
    </row>
    <row r="23" ht="15">
      <c r="A23" s="349" t="s">
        <v>388</v>
      </c>
    </row>
    <row r="24" ht="15">
      <c r="A24" s="349" t="s">
        <v>389</v>
      </c>
    </row>
    <row r="25" ht="15">
      <c r="A25" s="349" t="str">
        <f>CONCATENATE("particular fund.  If your ",inputPrYr!D5-2," budget was amended, did you")</f>
        <v>particular fund.  If your 2011 budget was amended, did you</v>
      </c>
    </row>
    <row r="26" ht="15">
      <c r="A26" s="349" t="s">
        <v>390</v>
      </c>
    </row>
    <row r="27" ht="15">
      <c r="A27" s="349"/>
    </row>
    <row r="28" ht="15">
      <c r="A28" s="349" t="str">
        <f>CONCATENATE("Next, look to see if any of your ",inputPrYr!D5-2," expenditures can be")</f>
        <v>Next, look to see if any of your 2011 expenditures can be</v>
      </c>
    </row>
    <row r="29" ht="15">
      <c r="A29" s="349" t="s">
        <v>391</v>
      </c>
    </row>
    <row r="30" ht="15">
      <c r="A30" s="349" t="s">
        <v>392</v>
      </c>
    </row>
    <row r="31" ht="15">
      <c r="A31" s="349" t="s">
        <v>393</v>
      </c>
    </row>
    <row r="32" ht="15">
      <c r="A32" s="349"/>
    </row>
    <row r="33" ht="15">
      <c r="A33" s="349" t="str">
        <f>CONCATENATE("Additionally, do your ",inputPrYr!D5-2," receipts contain a reimbursement")</f>
        <v>Additionally, do your 2011 receipts contain a reimbursement</v>
      </c>
    </row>
    <row r="34" ht="15">
      <c r="A34" s="349" t="s">
        <v>394</v>
      </c>
    </row>
    <row r="35" ht="15">
      <c r="A35" s="349" t="s">
        <v>395</v>
      </c>
    </row>
    <row r="36" ht="15">
      <c r="A36" s="349"/>
    </row>
    <row r="37" ht="15">
      <c r="A37" s="349" t="s">
        <v>396</v>
      </c>
    </row>
    <row r="38" ht="15">
      <c r="A38" s="349" t="s">
        <v>582</v>
      </c>
    </row>
    <row r="39" ht="15">
      <c r="A39" s="349" t="s">
        <v>583</v>
      </c>
    </row>
    <row r="40" ht="15">
      <c r="A40" s="349" t="s">
        <v>397</v>
      </c>
    </row>
    <row r="41" ht="15">
      <c r="A41" s="349" t="s">
        <v>398</v>
      </c>
    </row>
    <row r="42" ht="15">
      <c r="A42" s="349" t="s">
        <v>399</v>
      </c>
    </row>
    <row r="43" ht="15">
      <c r="A43" s="349" t="s">
        <v>400</v>
      </c>
    </row>
    <row r="44" ht="15">
      <c r="A44" s="349" t="s">
        <v>401</v>
      </c>
    </row>
    <row r="45" ht="15">
      <c r="A45" s="349"/>
    </row>
    <row r="46" ht="15">
      <c r="A46" s="349" t="s">
        <v>402</v>
      </c>
    </row>
    <row r="47" ht="15">
      <c r="A47" s="349" t="s">
        <v>403</v>
      </c>
    </row>
    <row r="48" ht="15">
      <c r="A48" s="349" t="s">
        <v>404</v>
      </c>
    </row>
    <row r="49" ht="15">
      <c r="A49" s="349"/>
    </row>
    <row r="50" ht="15">
      <c r="A50" s="349" t="s">
        <v>405</v>
      </c>
    </row>
    <row r="51" ht="15">
      <c r="A51" s="349" t="s">
        <v>406</v>
      </c>
    </row>
    <row r="52" ht="15">
      <c r="A52" s="349" t="s">
        <v>407</v>
      </c>
    </row>
    <row r="53" ht="15">
      <c r="A53" s="349"/>
    </row>
    <row r="54" ht="15">
      <c r="A54" s="348" t="s">
        <v>408</v>
      </c>
    </row>
    <row r="55" ht="15">
      <c r="A55" s="349"/>
    </row>
    <row r="56" ht="15">
      <c r="A56" s="349" t="s">
        <v>409</v>
      </c>
    </row>
    <row r="57" ht="15">
      <c r="A57" s="349" t="s">
        <v>410</v>
      </c>
    </row>
    <row r="58" ht="15">
      <c r="A58" s="349" t="s">
        <v>411</v>
      </c>
    </row>
    <row r="59" ht="15">
      <c r="A59" s="349" t="s">
        <v>412</v>
      </c>
    </row>
    <row r="60" ht="15">
      <c r="A60" s="349" t="s">
        <v>413</v>
      </c>
    </row>
    <row r="61" ht="15">
      <c r="A61" s="349" t="s">
        <v>414</v>
      </c>
    </row>
    <row r="62" ht="15">
      <c r="A62" s="349" t="s">
        <v>415</v>
      </c>
    </row>
    <row r="63" ht="15">
      <c r="A63" s="349" t="s">
        <v>416</v>
      </c>
    </row>
    <row r="64" ht="15">
      <c r="A64" s="349" t="s">
        <v>417</v>
      </c>
    </row>
    <row r="65" ht="15">
      <c r="A65" s="349" t="s">
        <v>418</v>
      </c>
    </row>
    <row r="66" ht="15">
      <c r="A66" s="349" t="s">
        <v>419</v>
      </c>
    </row>
    <row r="67" ht="15">
      <c r="A67" s="349" t="s">
        <v>420</v>
      </c>
    </row>
    <row r="68" ht="15">
      <c r="A68" s="349" t="s">
        <v>421</v>
      </c>
    </row>
    <row r="69" ht="15">
      <c r="A69" s="349"/>
    </row>
    <row r="70" ht="15">
      <c r="A70" s="349" t="s">
        <v>422</v>
      </c>
    </row>
    <row r="71" ht="15">
      <c r="A71" s="349" t="s">
        <v>423</v>
      </c>
    </row>
    <row r="72" ht="15">
      <c r="A72" s="349" t="s">
        <v>424</v>
      </c>
    </row>
    <row r="73" ht="15">
      <c r="A73" s="349"/>
    </row>
    <row r="74" ht="15">
      <c r="A74" s="348" t="str">
        <f>CONCATENATE("What if the ",inputPrYr!D5-2," financial records have been closed?")</f>
        <v>What if the 2011 financial records have been closed?</v>
      </c>
    </row>
    <row r="76" ht="15">
      <c r="A76" s="349" t="s">
        <v>425</v>
      </c>
    </row>
    <row r="77" ht="15">
      <c r="A77" s="349" t="str">
        <f>CONCATENATE("(i.e. an audit for ",inputPrYr!D5-2," has been completed, or the ",inputPrYr!D5)</f>
        <v>(i.e. an audit for 2011 has been completed, or the 2013</v>
      </c>
    </row>
    <row r="78" ht="15">
      <c r="A78" s="349" t="s">
        <v>426</v>
      </c>
    </row>
    <row r="79" ht="15">
      <c r="A79" s="349" t="s">
        <v>427</v>
      </c>
    </row>
    <row r="80" ht="15">
      <c r="A80" s="349"/>
    </row>
    <row r="81" ht="15">
      <c r="A81" s="349" t="s">
        <v>428</v>
      </c>
    </row>
    <row r="82" ht="15">
      <c r="A82" s="349" t="s">
        <v>429</v>
      </c>
    </row>
    <row r="83" ht="15">
      <c r="A83" s="349" t="s">
        <v>430</v>
      </c>
    </row>
    <row r="84" ht="15">
      <c r="A84" s="349"/>
    </row>
    <row r="85" ht="15">
      <c r="A85" s="349" t="s">
        <v>431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432</v>
      </c>
      <c r="B3" s="350"/>
      <c r="C3" s="350"/>
      <c r="D3" s="350"/>
      <c r="E3" s="350"/>
      <c r="F3" s="350"/>
      <c r="G3" s="350"/>
      <c r="H3" s="347"/>
      <c r="I3" s="347"/>
      <c r="J3" s="347"/>
    </row>
    <row r="5" ht="15">
      <c r="A5" s="349" t="s">
        <v>433</v>
      </c>
    </row>
    <row r="6" ht="15">
      <c r="A6" t="str">
        <f>CONCATENATE(inputPrYr!D5-2," expenditures show that you finished the year with a ")</f>
        <v>2011 expenditures show that you finished the year with a </v>
      </c>
    </row>
    <row r="7" ht="15">
      <c r="A7" t="s">
        <v>434</v>
      </c>
    </row>
    <row r="9" ht="15">
      <c r="A9" t="s">
        <v>435</v>
      </c>
    </row>
    <row r="10" ht="15">
      <c r="A10" t="s">
        <v>436</v>
      </c>
    </row>
    <row r="11" ht="15">
      <c r="A11" t="s">
        <v>437</v>
      </c>
    </row>
    <row r="13" ht="15">
      <c r="A13" s="348" t="s">
        <v>438</v>
      </c>
    </row>
    <row r="14" ht="15">
      <c r="A14" s="348"/>
    </row>
    <row r="15" ht="15">
      <c r="A15" s="349" t="s">
        <v>439</v>
      </c>
    </row>
    <row r="16" ht="15">
      <c r="A16" s="349" t="s">
        <v>440</v>
      </c>
    </row>
    <row r="17" ht="15">
      <c r="A17" s="349" t="s">
        <v>441</v>
      </c>
    </row>
    <row r="18" ht="15">
      <c r="A18" s="349"/>
    </row>
    <row r="19" ht="15">
      <c r="A19" s="348" t="s">
        <v>442</v>
      </c>
    </row>
    <row r="20" ht="15">
      <c r="A20" s="348"/>
    </row>
    <row r="21" ht="15">
      <c r="A21" s="349" t="s">
        <v>443</v>
      </c>
    </row>
    <row r="22" ht="15">
      <c r="A22" s="349" t="s">
        <v>444</v>
      </c>
    </row>
    <row r="23" ht="15">
      <c r="A23" s="349" t="s">
        <v>445</v>
      </c>
    </row>
    <row r="24" ht="15">
      <c r="A24" s="349"/>
    </row>
    <row r="25" ht="15">
      <c r="A25" s="348" t="s">
        <v>446</v>
      </c>
    </row>
    <row r="26" ht="15">
      <c r="A26" s="348"/>
    </row>
    <row r="27" ht="15">
      <c r="A27" s="349" t="s">
        <v>447</v>
      </c>
    </row>
    <row r="28" ht="15">
      <c r="A28" s="349" t="s">
        <v>448</v>
      </c>
    </row>
    <row r="29" ht="15">
      <c r="A29" s="349" t="s">
        <v>449</v>
      </c>
    </row>
    <row r="30" ht="15">
      <c r="A30" s="349"/>
    </row>
    <row r="31" ht="15">
      <c r="A31" s="348" t="s">
        <v>450</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451</v>
      </c>
      <c r="B35" s="349"/>
      <c r="C35" s="349"/>
      <c r="D35" s="349"/>
      <c r="E35" s="349"/>
      <c r="F35" s="349"/>
      <c r="G35" s="349"/>
      <c r="H35" s="349"/>
    </row>
    <row r="36" spans="1:8" ht="15">
      <c r="A36" s="349" t="s">
        <v>452</v>
      </c>
      <c r="B36" s="349"/>
      <c r="C36" s="349"/>
      <c r="D36" s="349"/>
      <c r="E36" s="349"/>
      <c r="F36" s="349"/>
      <c r="G36" s="349"/>
      <c r="H36" s="349"/>
    </row>
    <row r="37" spans="1:8" ht="15">
      <c r="A37" s="349" t="s">
        <v>453</v>
      </c>
      <c r="B37" s="349"/>
      <c r="C37" s="349"/>
      <c r="D37" s="349"/>
      <c r="E37" s="349"/>
      <c r="F37" s="349"/>
      <c r="G37" s="349"/>
      <c r="H37" s="349"/>
    </row>
    <row r="38" spans="1:8" ht="15">
      <c r="A38" s="349" t="s">
        <v>454</v>
      </c>
      <c r="B38" s="349"/>
      <c r="C38" s="349"/>
      <c r="D38" s="349"/>
      <c r="E38" s="349"/>
      <c r="F38" s="349"/>
      <c r="G38" s="349"/>
      <c r="H38" s="349"/>
    </row>
    <row r="39" spans="1:8" ht="15">
      <c r="A39" s="349" t="s">
        <v>455</v>
      </c>
      <c r="B39" s="349"/>
      <c r="C39" s="349"/>
      <c r="D39" s="349"/>
      <c r="E39" s="349"/>
      <c r="F39" s="349"/>
      <c r="G39" s="349"/>
      <c r="H39" s="349"/>
    </row>
    <row r="40" spans="1:8" ht="15">
      <c r="A40" s="349"/>
      <c r="B40" s="349"/>
      <c r="C40" s="349"/>
      <c r="D40" s="349"/>
      <c r="E40" s="349"/>
      <c r="F40" s="349"/>
      <c r="G40" s="349"/>
      <c r="H40" s="349"/>
    </row>
    <row r="41" spans="1:8" ht="15">
      <c r="A41" s="349" t="s">
        <v>456</v>
      </c>
      <c r="B41" s="349"/>
      <c r="C41" s="349"/>
      <c r="D41" s="349"/>
      <c r="E41" s="349"/>
      <c r="F41" s="349"/>
      <c r="G41" s="349"/>
      <c r="H41" s="349"/>
    </row>
    <row r="42" spans="1:8" ht="15">
      <c r="A42" s="349" t="s">
        <v>457</v>
      </c>
      <c r="B42" s="349"/>
      <c r="C42" s="349"/>
      <c r="D42" s="349"/>
      <c r="E42" s="349"/>
      <c r="F42" s="349"/>
      <c r="G42" s="349"/>
      <c r="H42" s="349"/>
    </row>
    <row r="43" spans="1:8" ht="15">
      <c r="A43" s="349" t="s">
        <v>458</v>
      </c>
      <c r="B43" s="349"/>
      <c r="C43" s="349"/>
      <c r="D43" s="349"/>
      <c r="E43" s="349"/>
      <c r="F43" s="349"/>
      <c r="G43" s="349"/>
      <c r="H43" s="349"/>
    </row>
    <row r="44" spans="1:8" ht="15">
      <c r="A44" s="349" t="s">
        <v>459</v>
      </c>
      <c r="B44" s="349"/>
      <c r="C44" s="349"/>
      <c r="D44" s="349"/>
      <c r="E44" s="349"/>
      <c r="F44" s="349"/>
      <c r="G44" s="349"/>
      <c r="H44" s="349"/>
    </row>
    <row r="45" spans="1:8" ht="15">
      <c r="A45" s="349"/>
      <c r="B45" s="349"/>
      <c r="C45" s="349"/>
      <c r="D45" s="349"/>
      <c r="E45" s="349"/>
      <c r="F45" s="349"/>
      <c r="G45" s="349"/>
      <c r="H45" s="349"/>
    </row>
    <row r="46" spans="1:8" ht="15">
      <c r="A46" s="349" t="s">
        <v>460</v>
      </c>
      <c r="B46" s="349"/>
      <c r="C46" s="349"/>
      <c r="D46" s="349"/>
      <c r="E46" s="349"/>
      <c r="F46" s="349"/>
      <c r="G46" s="349"/>
      <c r="H46" s="349"/>
    </row>
    <row r="47" spans="1:8" ht="15">
      <c r="A47" s="349" t="s">
        <v>461</v>
      </c>
      <c r="B47" s="349"/>
      <c r="C47" s="349"/>
      <c r="D47" s="349"/>
      <c r="E47" s="349"/>
      <c r="F47" s="349"/>
      <c r="G47" s="349"/>
      <c r="H47" s="349"/>
    </row>
    <row r="48" spans="1:8" ht="15">
      <c r="A48" s="349" t="s">
        <v>462</v>
      </c>
      <c r="B48" s="349"/>
      <c r="C48" s="349"/>
      <c r="D48" s="349"/>
      <c r="E48" s="349"/>
      <c r="F48" s="349"/>
      <c r="G48" s="349"/>
      <c r="H48" s="349"/>
    </row>
    <row r="49" spans="1:8" ht="15">
      <c r="A49" s="349" t="s">
        <v>463</v>
      </c>
      <c r="B49" s="349"/>
      <c r="C49" s="349"/>
      <c r="D49" s="349"/>
      <c r="E49" s="349"/>
      <c r="F49" s="349"/>
      <c r="G49" s="349"/>
      <c r="H49" s="349"/>
    </row>
    <row r="50" spans="1:8" ht="15">
      <c r="A50" s="349" t="s">
        <v>464</v>
      </c>
      <c r="B50" s="349"/>
      <c r="C50" s="349"/>
      <c r="D50" s="349"/>
      <c r="E50" s="349"/>
      <c r="F50" s="349"/>
      <c r="G50" s="349"/>
      <c r="H50" s="349"/>
    </row>
    <row r="51" spans="1:8" ht="15">
      <c r="A51" s="349"/>
      <c r="B51" s="349"/>
      <c r="C51" s="349"/>
      <c r="D51" s="349"/>
      <c r="E51" s="349"/>
      <c r="F51" s="349"/>
      <c r="G51" s="349"/>
      <c r="H51" s="349"/>
    </row>
    <row r="52" spans="1:8" ht="15">
      <c r="A52" s="348" t="s">
        <v>465</v>
      </c>
      <c r="B52" s="348"/>
      <c r="C52" s="348"/>
      <c r="D52" s="348"/>
      <c r="E52" s="348"/>
      <c r="F52" s="348"/>
      <c r="G52" s="348"/>
      <c r="H52" s="349"/>
    </row>
    <row r="53" spans="1:8" ht="15">
      <c r="A53" s="348" t="s">
        <v>466</v>
      </c>
      <c r="B53" s="348"/>
      <c r="C53" s="348"/>
      <c r="D53" s="348"/>
      <c r="E53" s="348"/>
      <c r="F53" s="348"/>
      <c r="G53" s="348"/>
      <c r="H53" s="349"/>
    </row>
    <row r="54" spans="1:8" ht="15">
      <c r="A54" s="349"/>
      <c r="B54" s="349"/>
      <c r="C54" s="349"/>
      <c r="D54" s="349"/>
      <c r="E54" s="349"/>
      <c r="F54" s="349"/>
      <c r="G54" s="349"/>
      <c r="H54" s="349"/>
    </row>
    <row r="55" spans="1:8" ht="15">
      <c r="A55" s="349" t="s">
        <v>467</v>
      </c>
      <c r="B55" s="349"/>
      <c r="C55" s="349"/>
      <c r="D55" s="349"/>
      <c r="E55" s="349"/>
      <c r="F55" s="349"/>
      <c r="G55" s="349"/>
      <c r="H55" s="349"/>
    </row>
    <row r="56" spans="1:8" ht="15">
      <c r="A56" s="349" t="s">
        <v>468</v>
      </c>
      <c r="B56" s="349"/>
      <c r="C56" s="349"/>
      <c r="D56" s="349"/>
      <c r="E56" s="349"/>
      <c r="F56" s="349"/>
      <c r="G56" s="349"/>
      <c r="H56" s="349"/>
    </row>
    <row r="57" spans="1:8" ht="15">
      <c r="A57" s="349" t="s">
        <v>469</v>
      </c>
      <c r="B57" s="349"/>
      <c r="C57" s="349"/>
      <c r="D57" s="349"/>
      <c r="E57" s="349"/>
      <c r="F57" s="349"/>
      <c r="G57" s="349"/>
      <c r="H57" s="349"/>
    </row>
    <row r="58" spans="1:8" ht="15">
      <c r="A58" s="349" t="s">
        <v>470</v>
      </c>
      <c r="B58" s="349"/>
      <c r="C58" s="349"/>
      <c r="D58" s="349"/>
      <c r="E58" s="349"/>
      <c r="F58" s="349"/>
      <c r="G58" s="349"/>
      <c r="H58" s="349"/>
    </row>
    <row r="59" spans="1:8" ht="15">
      <c r="A59" s="349"/>
      <c r="B59" s="349"/>
      <c r="C59" s="349"/>
      <c r="D59" s="349"/>
      <c r="E59" s="349"/>
      <c r="F59" s="349"/>
      <c r="G59" s="349"/>
      <c r="H59" s="349"/>
    </row>
    <row r="60" spans="1:8" ht="15">
      <c r="A60" s="349" t="s">
        <v>471</v>
      </c>
      <c r="B60" s="349"/>
      <c r="C60" s="349"/>
      <c r="D60" s="349"/>
      <c r="E60" s="349"/>
      <c r="F60" s="349"/>
      <c r="G60" s="349"/>
      <c r="H60" s="349"/>
    </row>
    <row r="61" spans="1:8" ht="15">
      <c r="A61" s="349" t="s">
        <v>472</v>
      </c>
      <c r="B61" s="349"/>
      <c r="C61" s="349"/>
      <c r="D61" s="349"/>
      <c r="E61" s="349"/>
      <c r="F61" s="349"/>
      <c r="G61" s="349"/>
      <c r="H61" s="349"/>
    </row>
    <row r="62" spans="1:8" ht="15">
      <c r="A62" s="349" t="s">
        <v>473</v>
      </c>
      <c r="B62" s="349"/>
      <c r="C62" s="349"/>
      <c r="D62" s="349"/>
      <c r="E62" s="349"/>
      <c r="F62" s="349"/>
      <c r="G62" s="349"/>
      <c r="H62" s="349"/>
    </row>
    <row r="63" spans="1:8" ht="15">
      <c r="A63" s="349" t="s">
        <v>474</v>
      </c>
      <c r="B63" s="349"/>
      <c r="C63" s="349"/>
      <c r="D63" s="349"/>
      <c r="E63" s="349"/>
      <c r="F63" s="349"/>
      <c r="G63" s="349"/>
      <c r="H63" s="349"/>
    </row>
    <row r="64" spans="1:8" ht="15">
      <c r="A64" s="349" t="s">
        <v>475</v>
      </c>
      <c r="B64" s="349"/>
      <c r="C64" s="349"/>
      <c r="D64" s="349"/>
      <c r="E64" s="349"/>
      <c r="F64" s="349"/>
      <c r="G64" s="349"/>
      <c r="H64" s="349"/>
    </row>
    <row r="65" spans="1:8" ht="15">
      <c r="A65" s="349" t="s">
        <v>476</v>
      </c>
      <c r="B65" s="349"/>
      <c r="C65" s="349"/>
      <c r="D65" s="349"/>
      <c r="E65" s="349"/>
      <c r="F65" s="349"/>
      <c r="G65" s="349"/>
      <c r="H65" s="349"/>
    </row>
    <row r="66" spans="1:8" ht="15">
      <c r="A66" s="349"/>
      <c r="B66" s="349"/>
      <c r="C66" s="349"/>
      <c r="D66" s="349"/>
      <c r="E66" s="349"/>
      <c r="F66" s="349"/>
      <c r="G66" s="349"/>
      <c r="H66" s="349"/>
    </row>
    <row r="67" spans="1:8" ht="15">
      <c r="A67" s="349" t="s">
        <v>477</v>
      </c>
      <c r="B67" s="349"/>
      <c r="C67" s="349"/>
      <c r="D67" s="349"/>
      <c r="E67" s="349"/>
      <c r="F67" s="349"/>
      <c r="G67" s="349"/>
      <c r="H67" s="349"/>
    </row>
    <row r="68" spans="1:8" ht="15">
      <c r="A68" s="349" t="s">
        <v>478</v>
      </c>
      <c r="B68" s="349"/>
      <c r="C68" s="349"/>
      <c r="D68" s="349"/>
      <c r="E68" s="349"/>
      <c r="F68" s="349"/>
      <c r="G68" s="349"/>
      <c r="H68" s="349"/>
    </row>
    <row r="69" spans="1:8" ht="15">
      <c r="A69" s="349" t="s">
        <v>479</v>
      </c>
      <c r="B69" s="349"/>
      <c r="C69" s="349"/>
      <c r="D69" s="349"/>
      <c r="E69" s="349"/>
      <c r="F69" s="349"/>
      <c r="G69" s="349"/>
      <c r="H69" s="349"/>
    </row>
    <row r="70" spans="1:8" ht="15">
      <c r="A70" s="349" t="s">
        <v>480</v>
      </c>
      <c r="B70" s="349"/>
      <c r="C70" s="349"/>
      <c r="D70" s="349"/>
      <c r="E70" s="349"/>
      <c r="F70" s="349"/>
      <c r="G70" s="349"/>
      <c r="H70" s="349"/>
    </row>
    <row r="71" spans="1:8" ht="15">
      <c r="A71" s="349" t="s">
        <v>481</v>
      </c>
      <c r="B71" s="349"/>
      <c r="C71" s="349"/>
      <c r="D71" s="349"/>
      <c r="E71" s="349"/>
      <c r="F71" s="349"/>
      <c r="G71" s="349"/>
      <c r="H71" s="349"/>
    </row>
    <row r="72" spans="1:8" ht="15">
      <c r="A72" s="349" t="s">
        <v>482</v>
      </c>
      <c r="B72" s="349"/>
      <c r="C72" s="349"/>
      <c r="D72" s="349"/>
      <c r="E72" s="349"/>
      <c r="F72" s="349"/>
      <c r="G72" s="349"/>
      <c r="H72" s="349"/>
    </row>
    <row r="73" spans="1:8" ht="15">
      <c r="A73" s="349" t="s">
        <v>483</v>
      </c>
      <c r="B73" s="349"/>
      <c r="C73" s="349"/>
      <c r="D73" s="349"/>
      <c r="E73" s="349"/>
      <c r="F73" s="349"/>
      <c r="G73" s="349"/>
      <c r="H73" s="349"/>
    </row>
    <row r="74" spans="1:8" ht="15">
      <c r="A74" s="349"/>
      <c r="B74" s="349"/>
      <c r="C74" s="349"/>
      <c r="D74" s="349"/>
      <c r="E74" s="349"/>
      <c r="F74" s="349"/>
      <c r="G74" s="349"/>
      <c r="H74" s="349"/>
    </row>
    <row r="75" spans="1:8" ht="15">
      <c r="A75" s="349" t="s">
        <v>484</v>
      </c>
      <c r="B75" s="349"/>
      <c r="C75" s="349"/>
      <c r="D75" s="349"/>
      <c r="E75" s="349"/>
      <c r="F75" s="349"/>
      <c r="G75" s="349"/>
      <c r="H75" s="349"/>
    </row>
    <row r="76" spans="1:8" ht="15">
      <c r="A76" s="349" t="s">
        <v>485</v>
      </c>
      <c r="B76" s="349"/>
      <c r="C76" s="349"/>
      <c r="D76" s="349"/>
      <c r="E76" s="349"/>
      <c r="F76" s="349"/>
      <c r="G76" s="349"/>
      <c r="H76" s="349"/>
    </row>
    <row r="77" spans="1:8" ht="15">
      <c r="A77" s="349" t="s">
        <v>486</v>
      </c>
      <c r="B77" s="349"/>
      <c r="C77" s="349"/>
      <c r="D77" s="349"/>
      <c r="E77" s="349"/>
      <c r="F77" s="349"/>
      <c r="G77" s="349"/>
      <c r="H77" s="349"/>
    </row>
    <row r="78" spans="1:8" ht="15">
      <c r="A78" s="349"/>
      <c r="B78" s="349"/>
      <c r="C78" s="349"/>
      <c r="D78" s="349"/>
      <c r="E78" s="349"/>
      <c r="F78" s="349"/>
      <c r="G78" s="349"/>
      <c r="H78" s="349"/>
    </row>
    <row r="79" ht="15">
      <c r="A79" s="349" t="s">
        <v>431</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487</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378</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488</v>
      </c>
      <c r="I7" s="350"/>
      <c r="J7" s="350"/>
      <c r="K7" s="350"/>
      <c r="L7" s="350"/>
    </row>
    <row r="8" spans="1:12" ht="15">
      <c r="A8" s="349"/>
      <c r="I8" s="350"/>
      <c r="J8" s="350"/>
      <c r="K8" s="350"/>
      <c r="L8" s="350"/>
    </row>
    <row r="9" spans="1:12" ht="15">
      <c r="A9" s="349" t="s">
        <v>489</v>
      </c>
      <c r="I9" s="350"/>
      <c r="J9" s="350"/>
      <c r="K9" s="350"/>
      <c r="L9" s="350"/>
    </row>
    <row r="10" spans="1:12" ht="15">
      <c r="A10" s="349" t="s">
        <v>490</v>
      </c>
      <c r="I10" s="350"/>
      <c r="J10" s="350"/>
      <c r="K10" s="350"/>
      <c r="L10" s="350"/>
    </row>
    <row r="11" spans="1:12" ht="15">
      <c r="A11" s="349" t="s">
        <v>491</v>
      </c>
      <c r="I11" s="350"/>
      <c r="J11" s="350"/>
      <c r="K11" s="350"/>
      <c r="L11" s="350"/>
    </row>
    <row r="12" spans="1:12" ht="15">
      <c r="A12" s="349" t="s">
        <v>492</v>
      </c>
      <c r="I12" s="350"/>
      <c r="J12" s="350"/>
      <c r="K12" s="350"/>
      <c r="L12" s="350"/>
    </row>
    <row r="13" spans="1:12" ht="15">
      <c r="A13" s="349" t="s">
        <v>493</v>
      </c>
      <c r="I13" s="350"/>
      <c r="J13" s="350"/>
      <c r="K13" s="350"/>
      <c r="L13" s="350"/>
    </row>
    <row r="14" spans="1:12" ht="15">
      <c r="A14" s="350"/>
      <c r="B14" s="350"/>
      <c r="C14" s="350"/>
      <c r="D14" s="350"/>
      <c r="E14" s="350"/>
      <c r="F14" s="350"/>
      <c r="G14" s="350"/>
      <c r="H14" s="350"/>
      <c r="I14" s="350"/>
      <c r="J14" s="350"/>
      <c r="K14" s="350"/>
      <c r="L14" s="350"/>
    </row>
    <row r="15" ht="15">
      <c r="A15" s="348" t="s">
        <v>494</v>
      </c>
    </row>
    <row r="16" ht="15">
      <c r="A16" s="348" t="s">
        <v>495</v>
      </c>
    </row>
    <row r="17" ht="15">
      <c r="A17" s="348"/>
    </row>
    <row r="18" spans="1:7" ht="15">
      <c r="A18" s="349" t="s">
        <v>496</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497</v>
      </c>
      <c r="B20" s="349"/>
      <c r="C20" s="349"/>
      <c r="D20" s="349"/>
      <c r="E20" s="349"/>
      <c r="F20" s="349"/>
      <c r="G20" s="349"/>
    </row>
    <row r="21" spans="1:7" ht="15">
      <c r="A21" s="349" t="s">
        <v>498</v>
      </c>
      <c r="B21" s="349"/>
      <c r="C21" s="349"/>
      <c r="D21" s="349"/>
      <c r="E21" s="349"/>
      <c r="F21" s="349"/>
      <c r="G21" s="349"/>
    </row>
    <row r="22" ht="15">
      <c r="A22" s="349"/>
    </row>
    <row r="23" ht="15">
      <c r="A23" s="348" t="s">
        <v>499</v>
      </c>
    </row>
    <row r="24" ht="15">
      <c r="A24" s="348"/>
    </row>
    <row r="25" ht="15">
      <c r="A25" s="349" t="s">
        <v>500</v>
      </c>
    </row>
    <row r="26" spans="1:6" ht="15">
      <c r="A26" s="349" t="s">
        <v>501</v>
      </c>
      <c r="B26" s="349"/>
      <c r="C26" s="349"/>
      <c r="D26" s="349"/>
      <c r="E26" s="349"/>
      <c r="F26" s="349"/>
    </row>
    <row r="27" spans="1:6" ht="15">
      <c r="A27" s="349" t="s">
        <v>502</v>
      </c>
      <c r="B27" s="349"/>
      <c r="C27" s="349"/>
      <c r="D27" s="349"/>
      <c r="E27" s="349"/>
      <c r="F27" s="349"/>
    </row>
    <row r="28" spans="1:6" ht="15">
      <c r="A28" s="349" t="s">
        <v>503</v>
      </c>
      <c r="B28" s="349"/>
      <c r="C28" s="349"/>
      <c r="D28" s="349"/>
      <c r="E28" s="349"/>
      <c r="F28" s="349"/>
    </row>
    <row r="29" spans="1:6" ht="15">
      <c r="A29" s="349"/>
      <c r="B29" s="349"/>
      <c r="C29" s="349"/>
      <c r="D29" s="349"/>
      <c r="E29" s="349"/>
      <c r="F29" s="349"/>
    </row>
    <row r="30" spans="1:7" ht="15">
      <c r="A30" s="348" t="s">
        <v>504</v>
      </c>
      <c r="B30" s="348"/>
      <c r="C30" s="348"/>
      <c r="D30" s="348"/>
      <c r="E30" s="348"/>
      <c r="F30" s="348"/>
      <c r="G30" s="348"/>
    </row>
    <row r="31" spans="1:7" ht="15">
      <c r="A31" s="348" t="s">
        <v>505</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506</v>
      </c>
      <c r="B34" s="349"/>
      <c r="C34" s="349"/>
      <c r="D34" s="349"/>
      <c r="E34" s="349"/>
      <c r="F34" s="349"/>
    </row>
    <row r="35" spans="1:6" ht="15">
      <c r="A35" s="363" t="s">
        <v>392</v>
      </c>
      <c r="B35" s="349"/>
      <c r="C35" s="349"/>
      <c r="D35" s="349"/>
      <c r="E35" s="349"/>
      <c r="F35" s="349"/>
    </row>
    <row r="36" spans="1:6" ht="15">
      <c r="A36" s="363" t="s">
        <v>393</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394</v>
      </c>
      <c r="B39" s="349"/>
      <c r="C39" s="349"/>
      <c r="D39" s="349"/>
      <c r="E39" s="349"/>
      <c r="F39" s="349"/>
    </row>
    <row r="40" spans="1:6" ht="15">
      <c r="A40" s="363" t="s">
        <v>395</v>
      </c>
      <c r="B40" s="349"/>
      <c r="C40" s="349"/>
      <c r="D40" s="349"/>
      <c r="E40" s="349"/>
      <c r="F40" s="349"/>
    </row>
    <row r="41" spans="1:6" ht="15">
      <c r="A41" s="363"/>
      <c r="B41" s="349"/>
      <c r="C41" s="349"/>
      <c r="D41" s="349"/>
      <c r="E41" s="349"/>
      <c r="F41" s="349"/>
    </row>
    <row r="42" spans="1:6" ht="15">
      <c r="A42" s="363" t="s">
        <v>396</v>
      </c>
      <c r="B42" s="349"/>
      <c r="C42" s="349"/>
      <c r="D42" s="349"/>
      <c r="E42" s="349"/>
      <c r="F42" s="349"/>
    </row>
    <row r="43" spans="1:6" ht="15">
      <c r="A43" s="363" t="s">
        <v>582</v>
      </c>
      <c r="B43" s="349"/>
      <c r="C43" s="349"/>
      <c r="D43" s="349"/>
      <c r="E43" s="349"/>
      <c r="F43" s="349"/>
    </row>
    <row r="44" spans="1:6" ht="15">
      <c r="A44" s="363" t="s">
        <v>583</v>
      </c>
      <c r="B44" s="349"/>
      <c r="C44" s="349"/>
      <c r="D44" s="349"/>
      <c r="E44" s="349"/>
      <c r="F44" s="349"/>
    </row>
    <row r="45" spans="1:6" ht="15">
      <c r="A45" s="363" t="s">
        <v>507</v>
      </c>
      <c r="B45" s="349"/>
      <c r="C45" s="349"/>
      <c r="D45" s="349"/>
      <c r="E45" s="349"/>
      <c r="F45" s="349"/>
    </row>
    <row r="46" spans="1:6" ht="15">
      <c r="A46" s="363" t="s">
        <v>398</v>
      </c>
      <c r="B46" s="349"/>
      <c r="C46" s="349"/>
      <c r="D46" s="349"/>
      <c r="E46" s="349"/>
      <c r="F46" s="349"/>
    </row>
    <row r="47" spans="1:6" ht="15">
      <c r="A47" s="363" t="s">
        <v>508</v>
      </c>
      <c r="B47" s="349"/>
      <c r="C47" s="349"/>
      <c r="D47" s="349"/>
      <c r="E47" s="349"/>
      <c r="F47" s="349"/>
    </row>
    <row r="48" spans="1:6" ht="15">
      <c r="A48" s="363" t="s">
        <v>509</v>
      </c>
      <c r="B48" s="349"/>
      <c r="C48" s="349"/>
      <c r="D48" s="349"/>
      <c r="E48" s="349"/>
      <c r="F48" s="349"/>
    </row>
    <row r="49" spans="1:6" ht="15">
      <c r="A49" s="363" t="s">
        <v>401</v>
      </c>
      <c r="B49" s="349"/>
      <c r="C49" s="349"/>
      <c r="D49" s="349"/>
      <c r="E49" s="349"/>
      <c r="F49" s="349"/>
    </row>
    <row r="50" spans="1:6" ht="15">
      <c r="A50" s="363"/>
      <c r="B50" s="349"/>
      <c r="C50" s="349"/>
      <c r="D50" s="349"/>
      <c r="E50" s="349"/>
      <c r="F50" s="349"/>
    </row>
    <row r="51" spans="1:6" ht="15">
      <c r="A51" s="363" t="s">
        <v>402</v>
      </c>
      <c r="B51" s="349"/>
      <c r="C51" s="349"/>
      <c r="D51" s="349"/>
      <c r="E51" s="349"/>
      <c r="F51" s="349"/>
    </row>
    <row r="52" spans="1:6" ht="15">
      <c r="A52" s="363" t="s">
        <v>403</v>
      </c>
      <c r="B52" s="349"/>
      <c r="C52" s="349"/>
      <c r="D52" s="349"/>
      <c r="E52" s="349"/>
      <c r="F52" s="349"/>
    </row>
    <row r="53" spans="1:6" ht="15">
      <c r="A53" s="363" t="s">
        <v>404</v>
      </c>
      <c r="B53" s="349"/>
      <c r="C53" s="349"/>
      <c r="D53" s="349"/>
      <c r="E53" s="349"/>
      <c r="F53" s="349"/>
    </row>
    <row r="54" spans="1:6" ht="15">
      <c r="A54" s="363"/>
      <c r="B54" s="349"/>
      <c r="C54" s="349"/>
      <c r="D54" s="349"/>
      <c r="E54" s="349"/>
      <c r="F54" s="349"/>
    </row>
    <row r="55" spans="1:6" ht="15">
      <c r="A55" s="363" t="s">
        <v>510</v>
      </c>
      <c r="B55" s="349"/>
      <c r="C55" s="349"/>
      <c r="D55" s="349"/>
      <c r="E55" s="349"/>
      <c r="F55" s="349"/>
    </row>
    <row r="56" spans="1:6" ht="15">
      <c r="A56" s="363" t="s">
        <v>511</v>
      </c>
      <c r="B56" s="349"/>
      <c r="C56" s="349"/>
      <c r="D56" s="349"/>
      <c r="E56" s="349"/>
      <c r="F56" s="349"/>
    </row>
    <row r="57" spans="1:6" ht="15">
      <c r="A57" s="363" t="s">
        <v>512</v>
      </c>
      <c r="B57" s="349"/>
      <c r="C57" s="349"/>
      <c r="D57" s="349"/>
      <c r="E57" s="349"/>
      <c r="F57" s="349"/>
    </row>
    <row r="58" spans="1:6" ht="15">
      <c r="A58" s="363" t="s">
        <v>513</v>
      </c>
      <c r="B58" s="349"/>
      <c r="C58" s="349"/>
      <c r="D58" s="349"/>
      <c r="E58" s="349"/>
      <c r="F58" s="349"/>
    </row>
    <row r="59" spans="1:6" ht="15">
      <c r="A59" s="363" t="s">
        <v>514</v>
      </c>
      <c r="B59" s="349"/>
      <c r="C59" s="349"/>
      <c r="D59" s="349"/>
      <c r="E59" s="349"/>
      <c r="F59" s="349"/>
    </row>
    <row r="60" spans="1:6" ht="15">
      <c r="A60" s="363"/>
      <c r="B60" s="349"/>
      <c r="C60" s="349"/>
      <c r="D60" s="349"/>
      <c r="E60" s="349"/>
      <c r="F60" s="349"/>
    </row>
    <row r="61" spans="1:6" ht="15">
      <c r="A61" s="364" t="s">
        <v>515</v>
      </c>
      <c r="B61" s="349"/>
      <c r="C61" s="349"/>
      <c r="D61" s="349"/>
      <c r="E61" s="349"/>
      <c r="F61" s="349"/>
    </row>
    <row r="62" spans="1:6" ht="15">
      <c r="A62" s="364" t="s">
        <v>516</v>
      </c>
      <c r="B62" s="349"/>
      <c r="C62" s="349"/>
      <c r="D62" s="349"/>
      <c r="E62" s="349"/>
      <c r="F62" s="349"/>
    </row>
    <row r="63" spans="1:6" ht="15">
      <c r="A63" s="364" t="s">
        <v>517</v>
      </c>
      <c r="B63" s="349"/>
      <c r="C63" s="349"/>
      <c r="D63" s="349"/>
      <c r="E63" s="349"/>
      <c r="F63" s="349"/>
    </row>
    <row r="64" ht="15">
      <c r="A64" s="364" t="s">
        <v>518</v>
      </c>
    </row>
    <row r="65" ht="15">
      <c r="A65" s="364" t="s">
        <v>519</v>
      </c>
    </row>
    <row r="66" ht="15">
      <c r="A66" s="364" t="s">
        <v>520</v>
      </c>
    </row>
    <row r="68" ht="15">
      <c r="A68" s="349" t="s">
        <v>521</v>
      </c>
    </row>
    <row r="69" ht="15">
      <c r="A69" s="349" t="s">
        <v>522</v>
      </c>
    </row>
    <row r="70" ht="15">
      <c r="A70" s="349" t="s">
        <v>523</v>
      </c>
    </row>
    <row r="71" ht="15">
      <c r="A71" s="349" t="s">
        <v>524</v>
      </c>
    </row>
    <row r="72" ht="15">
      <c r="A72" s="349" t="s">
        <v>525</v>
      </c>
    </row>
    <row r="73" ht="15">
      <c r="A73" s="349" t="s">
        <v>526</v>
      </c>
    </row>
    <row r="75" ht="15">
      <c r="A75" s="349" t="s">
        <v>431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265</v>
      </c>
      <c r="B1" s="14"/>
      <c r="C1" s="14"/>
      <c r="D1" s="14"/>
      <c r="E1" s="14"/>
    </row>
    <row r="2" spans="1:5" ht="15">
      <c r="A2" s="67" t="s">
        <v>222</v>
      </c>
      <c r="B2" s="14"/>
      <c r="C2" s="14"/>
      <c r="D2" s="377" t="s">
        <v>931</v>
      </c>
      <c r="E2" s="19"/>
    </row>
    <row r="3" spans="1:5" ht="15">
      <c r="A3" s="67" t="s">
        <v>221</v>
      </c>
      <c r="B3" s="14"/>
      <c r="C3" s="14"/>
      <c r="D3" s="378" t="s">
        <v>928</v>
      </c>
      <c r="E3" s="19"/>
    </row>
    <row r="4" spans="1:5" ht="15">
      <c r="A4" s="14"/>
      <c r="B4" s="14"/>
      <c r="C4" s="14"/>
      <c r="D4" s="14"/>
      <c r="E4" s="14"/>
    </row>
    <row r="5" spans="1:5" ht="15">
      <c r="A5" s="17" t="s">
        <v>141</v>
      </c>
      <c r="B5" s="14"/>
      <c r="C5" s="14"/>
      <c r="D5" s="303">
        <v>2013</v>
      </c>
      <c r="E5" s="14"/>
    </row>
    <row r="6" spans="1:5" ht="15">
      <c r="A6" s="14"/>
      <c r="B6" s="14"/>
      <c r="C6" s="14"/>
      <c r="D6" s="14"/>
      <c r="E6" s="14"/>
    </row>
    <row r="7" spans="1:8" ht="15">
      <c r="A7" s="143" t="s">
        <v>143</v>
      </c>
      <c r="B7" s="147"/>
      <c r="C7" s="147"/>
      <c r="D7" s="147"/>
      <c r="E7" s="147"/>
      <c r="F7" s="14"/>
      <c r="G7" s="745" t="s">
        <v>750</v>
      </c>
      <c r="H7" s="746"/>
    </row>
    <row r="8" spans="1:8" ht="15">
      <c r="A8" s="143" t="s">
        <v>196</v>
      </c>
      <c r="B8" s="147"/>
      <c r="C8" s="147"/>
      <c r="D8" s="147"/>
      <c r="E8" s="147"/>
      <c r="F8" s="14"/>
      <c r="G8" s="747"/>
      <c r="H8" s="746"/>
    </row>
    <row r="9" spans="1:8" ht="15">
      <c r="A9" s="14"/>
      <c r="B9" s="14"/>
      <c r="C9" s="14"/>
      <c r="D9" s="14"/>
      <c r="E9" s="14"/>
      <c r="F9" s="14"/>
      <c r="G9" s="747"/>
      <c r="H9" s="746"/>
    </row>
    <row r="10" spans="1:8" ht="15">
      <c r="A10" s="743" t="s">
        <v>153</v>
      </c>
      <c r="B10" s="744"/>
      <c r="C10" s="744"/>
      <c r="D10" s="744"/>
      <c r="E10" s="744"/>
      <c r="F10" s="14"/>
      <c r="G10" s="747"/>
      <c r="H10" s="746"/>
    </row>
    <row r="11" spans="1:8" ht="15">
      <c r="A11" s="67"/>
      <c r="B11" s="14"/>
      <c r="C11" s="14"/>
      <c r="D11" s="14"/>
      <c r="E11" s="14"/>
      <c r="F11" s="14"/>
      <c r="G11" s="747"/>
      <c r="H11" s="746"/>
    </row>
    <row r="12" spans="1:8" ht="15">
      <c r="A12" s="304" t="s">
        <v>142</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311</v>
      </c>
      <c r="B14" s="307"/>
      <c r="C14" s="49"/>
      <c r="D14" s="308">
        <f>$D$5-1</f>
        <v>2012</v>
      </c>
      <c r="E14" s="309">
        <f>$D$5-2</f>
        <v>2011</v>
      </c>
      <c r="G14" s="168" t="s">
        <v>751</v>
      </c>
      <c r="H14" s="176" t="s">
        <v>29</v>
      </c>
    </row>
    <row r="15" spans="1:8" ht="15">
      <c r="A15" s="22" t="s">
        <v>267</v>
      </c>
      <c r="B15" s="14"/>
      <c r="C15" s="310" t="s">
        <v>266</v>
      </c>
      <c r="D15" s="311" t="s">
        <v>338</v>
      </c>
      <c r="E15" s="312" t="s">
        <v>16</v>
      </c>
      <c r="G15" s="174" t="str">
        <f>CONCATENATE("",E14," Ad Valorem Tax")</f>
        <v>2011 Ad Valorem Tax</v>
      </c>
      <c r="H15" s="730">
        <v>0</v>
      </c>
    </row>
    <row r="16" spans="1:7" ht="15">
      <c r="A16" s="14"/>
      <c r="B16" s="71" t="s">
        <v>268</v>
      </c>
      <c r="C16" s="159" t="s">
        <v>269</v>
      </c>
      <c r="D16" s="184">
        <v>4081</v>
      </c>
      <c r="E16" s="184"/>
      <c r="G16" s="32">
        <f>IF(H15&gt;0,ROUND(E16-(E16*H15),0),0)</f>
        <v>0</v>
      </c>
    </row>
    <row r="17" spans="1:7" ht="15">
      <c r="A17" s="14"/>
      <c r="B17" s="71" t="s">
        <v>295</v>
      </c>
      <c r="C17" s="159" t="s">
        <v>148</v>
      </c>
      <c r="D17" s="184"/>
      <c r="E17" s="184"/>
      <c r="G17" s="32">
        <f>IF(H15&gt;0,ROUND(E17-(E17*H15),0),0)</f>
        <v>0</v>
      </c>
    </row>
    <row r="18" spans="1:7" ht="15">
      <c r="A18" s="14"/>
      <c r="B18" s="71" t="s">
        <v>821</v>
      </c>
      <c r="C18" s="680" t="s">
        <v>822</v>
      </c>
      <c r="D18" s="184"/>
      <c r="E18" s="184"/>
      <c r="G18" s="32">
        <f>IF(H15&gt;0,ROUND(E18-(E18*H15),0),0)</f>
        <v>0</v>
      </c>
    </row>
    <row r="19" spans="1:7" ht="15">
      <c r="A19" s="14"/>
      <c r="B19" s="71" t="s">
        <v>270</v>
      </c>
      <c r="C19" s="176" t="s">
        <v>310</v>
      </c>
      <c r="D19" s="184">
        <v>35338</v>
      </c>
      <c r="E19" s="184">
        <v>20645</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20645</v>
      </c>
    </row>
    <row r="27" spans="1:5" ht="15">
      <c r="A27" s="19"/>
      <c r="B27" s="19"/>
      <c r="C27" s="19"/>
      <c r="D27" s="24"/>
      <c r="E27" s="139"/>
    </row>
    <row r="28" spans="1:5" ht="15">
      <c r="A28" s="14" t="s">
        <v>137</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39419</v>
      </c>
      <c r="E31" s="14"/>
    </row>
    <row r="32" spans="1:5" ht="15">
      <c r="A32" s="14"/>
      <c r="B32" s="14"/>
      <c r="C32" s="14"/>
      <c r="D32" s="14"/>
      <c r="E32" s="14"/>
    </row>
    <row r="33" spans="1:5" ht="15">
      <c r="A33" s="271" t="s">
        <v>333</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142</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10.909</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10.909</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19455</v>
      </c>
    </row>
    <row r="55" spans="1:5" ht="15">
      <c r="A55" s="324" t="str">
        <f>CONCATENATE("Assessed Valuation (",D5-2," budget column)")</f>
        <v>Assessed Valuation (2011 budget column)</v>
      </c>
      <c r="B55" s="325"/>
      <c r="C55" s="264"/>
      <c r="D55" s="28"/>
      <c r="E55" s="184">
        <v>1783431</v>
      </c>
    </row>
    <row r="56" spans="1:5" ht="15">
      <c r="A56" s="271"/>
      <c r="B56" s="19"/>
      <c r="C56" s="19"/>
      <c r="D56" s="19"/>
      <c r="E56" s="281"/>
    </row>
    <row r="57" spans="1:5" ht="15">
      <c r="A57" s="14"/>
      <c r="B57" s="14"/>
      <c r="C57" s="14"/>
      <c r="D57" s="14"/>
      <c r="E57" s="55"/>
    </row>
    <row r="58" spans="1:5" ht="15">
      <c r="A58" s="290" t="s">
        <v>197</v>
      </c>
      <c r="B58" s="290"/>
      <c r="C58" s="128"/>
      <c r="D58" s="326">
        <f>D5-3</f>
        <v>2010</v>
      </c>
      <c r="E58" s="326">
        <f>D5-2</f>
        <v>2011</v>
      </c>
    </row>
    <row r="59" spans="1:5" ht="15">
      <c r="A59" s="323" t="s">
        <v>160</v>
      </c>
      <c r="B59" s="323"/>
      <c r="C59" s="327"/>
      <c r="D59" s="36"/>
      <c r="E59" s="36"/>
    </row>
    <row r="60" spans="1:5" ht="15">
      <c r="A60" s="325" t="s">
        <v>161</v>
      </c>
      <c r="B60" s="325"/>
      <c r="C60" s="328"/>
      <c r="D60" s="36"/>
      <c r="E60" s="36"/>
    </row>
    <row r="61" spans="1:5" ht="15">
      <c r="A61" s="325" t="s">
        <v>162</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527</v>
      </c>
      <c r="B3" s="350"/>
      <c r="C3" s="350"/>
      <c r="D3" s="350"/>
      <c r="E3" s="350"/>
      <c r="F3" s="350"/>
      <c r="G3" s="350"/>
    </row>
    <row r="4" spans="1:7" ht="15">
      <c r="A4" s="350"/>
      <c r="B4" s="350"/>
      <c r="C4" s="350"/>
      <c r="D4" s="350"/>
      <c r="E4" s="350"/>
      <c r="F4" s="350"/>
      <c r="G4" s="350"/>
    </row>
    <row r="5" ht="15">
      <c r="A5" s="349" t="s">
        <v>433</v>
      </c>
    </row>
    <row r="6" ht="15">
      <c r="A6" s="349" t="str">
        <f>CONCATENATE(inputPrYr!D5," estimated expenditures show that at the end of this year")</f>
        <v>2013 estimated expenditures show that at the end of this year</v>
      </c>
    </row>
    <row r="7" ht="15">
      <c r="A7" s="349" t="s">
        <v>528</v>
      </c>
    </row>
    <row r="8" ht="15">
      <c r="A8" s="349" t="s">
        <v>529</v>
      </c>
    </row>
    <row r="10" ht="15">
      <c r="A10" t="s">
        <v>435</v>
      </c>
    </row>
    <row r="11" ht="15">
      <c r="A11" t="s">
        <v>436</v>
      </c>
    </row>
    <row r="12" ht="15">
      <c r="A12" t="s">
        <v>437</v>
      </c>
    </row>
    <row r="13" spans="1:7" ht="15">
      <c r="A13" s="350"/>
      <c r="B13" s="350"/>
      <c r="C13" s="350"/>
      <c r="D13" s="350"/>
      <c r="E13" s="350"/>
      <c r="F13" s="350"/>
      <c r="G13" s="350"/>
    </row>
    <row r="14" ht="15">
      <c r="A14" s="348" t="s">
        <v>530</v>
      </c>
    </row>
    <row r="15" ht="15">
      <c r="A15" s="349"/>
    </row>
    <row r="16" ht="15">
      <c r="A16" s="349" t="s">
        <v>531</v>
      </c>
    </row>
    <row r="17" ht="15">
      <c r="A17" s="349" t="s">
        <v>532</v>
      </c>
    </row>
    <row r="18" ht="15">
      <c r="A18" s="349" t="s">
        <v>533</v>
      </c>
    </row>
    <row r="19" ht="15">
      <c r="A19" s="349"/>
    </row>
    <row r="20" ht="15">
      <c r="A20" s="349" t="s">
        <v>534</v>
      </c>
    </row>
    <row r="21" ht="15">
      <c r="A21" s="349" t="s">
        <v>535</v>
      </c>
    </row>
    <row r="22" ht="15">
      <c r="A22" s="349" t="s">
        <v>536</v>
      </c>
    </row>
    <row r="23" ht="15">
      <c r="A23" s="349" t="s">
        <v>537</v>
      </c>
    </row>
    <row r="24" ht="15">
      <c r="A24" s="349"/>
    </row>
    <row r="25" ht="15">
      <c r="A25" s="348" t="s">
        <v>499</v>
      </c>
    </row>
    <row r="26" ht="15">
      <c r="A26" s="348"/>
    </row>
    <row r="27" ht="15">
      <c r="A27" s="349" t="s">
        <v>500</v>
      </c>
    </row>
    <row r="28" spans="1:6" ht="15">
      <c r="A28" s="349" t="s">
        <v>501</v>
      </c>
      <c r="B28" s="349"/>
      <c r="C28" s="349"/>
      <c r="D28" s="349"/>
      <c r="E28" s="349"/>
      <c r="F28" s="349"/>
    </row>
    <row r="29" spans="1:6" ht="15">
      <c r="A29" s="349" t="s">
        <v>502</v>
      </c>
      <c r="B29" s="349"/>
      <c r="C29" s="349"/>
      <c r="D29" s="349"/>
      <c r="E29" s="349"/>
      <c r="F29" s="349"/>
    </row>
    <row r="30" spans="1:6" ht="15">
      <c r="A30" s="349" t="s">
        <v>503</v>
      </c>
      <c r="B30" s="349"/>
      <c r="C30" s="349"/>
      <c r="D30" s="349"/>
      <c r="E30" s="349"/>
      <c r="F30" s="349"/>
    </row>
    <row r="31" ht="15">
      <c r="A31" s="349"/>
    </row>
    <row r="32" spans="1:7" ht="15">
      <c r="A32" s="348" t="s">
        <v>504</v>
      </c>
      <c r="B32" s="348"/>
      <c r="C32" s="348"/>
      <c r="D32" s="348"/>
      <c r="E32" s="348"/>
      <c r="F32" s="348"/>
      <c r="G32" s="348"/>
    </row>
    <row r="33" spans="1:7" ht="15">
      <c r="A33" s="348" t="s">
        <v>505</v>
      </c>
      <c r="B33" s="348"/>
      <c r="C33" s="348"/>
      <c r="D33" s="348"/>
      <c r="E33" s="348"/>
      <c r="F33" s="348"/>
      <c r="G33" s="348"/>
    </row>
    <row r="34" spans="1:7" ht="15">
      <c r="A34" s="348"/>
      <c r="B34" s="348"/>
      <c r="C34" s="348"/>
      <c r="D34" s="348"/>
      <c r="E34" s="348"/>
      <c r="F34" s="348"/>
      <c r="G34" s="348"/>
    </row>
    <row r="35" spans="1:7" ht="15">
      <c r="A35" s="349" t="s">
        <v>538</v>
      </c>
      <c r="B35" s="349"/>
      <c r="C35" s="349"/>
      <c r="D35" s="349"/>
      <c r="E35" s="349"/>
      <c r="F35" s="349"/>
      <c r="G35" s="349"/>
    </row>
    <row r="36" spans="1:7" ht="15">
      <c r="A36" s="349" t="s">
        <v>539</v>
      </c>
      <c r="B36" s="349"/>
      <c r="C36" s="349"/>
      <c r="D36" s="349"/>
      <c r="E36" s="349"/>
      <c r="F36" s="349"/>
      <c r="G36" s="349"/>
    </row>
    <row r="37" spans="1:7" ht="15">
      <c r="A37" s="349" t="s">
        <v>540</v>
      </c>
      <c r="B37" s="349"/>
      <c r="C37" s="349"/>
      <c r="D37" s="349"/>
      <c r="E37" s="349"/>
      <c r="F37" s="349"/>
      <c r="G37" s="349"/>
    </row>
    <row r="38" spans="1:7" ht="15">
      <c r="A38" s="349" t="s">
        <v>541</v>
      </c>
      <c r="B38" s="349"/>
      <c r="C38" s="349"/>
      <c r="D38" s="349"/>
      <c r="E38" s="349"/>
      <c r="F38" s="349"/>
      <c r="G38" s="349"/>
    </row>
    <row r="39" spans="1:7" ht="15">
      <c r="A39" s="349" t="s">
        <v>542</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506</v>
      </c>
      <c r="B42" s="349"/>
      <c r="C42" s="349"/>
      <c r="D42" s="349"/>
      <c r="E42" s="349"/>
      <c r="F42" s="349"/>
    </row>
    <row r="43" spans="1:6" ht="15">
      <c r="A43" s="363" t="s">
        <v>392</v>
      </c>
      <c r="B43" s="349"/>
      <c r="C43" s="349"/>
      <c r="D43" s="349"/>
      <c r="E43" s="349"/>
      <c r="F43" s="349"/>
    </row>
    <row r="44" spans="1:6" ht="15">
      <c r="A44" s="363" t="s">
        <v>393</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394</v>
      </c>
      <c r="B47" s="349"/>
      <c r="C47" s="349"/>
      <c r="D47" s="349"/>
      <c r="E47" s="349"/>
      <c r="F47" s="349"/>
    </row>
    <row r="48" spans="1:6" ht="15">
      <c r="A48" s="363" t="s">
        <v>395</v>
      </c>
      <c r="B48" s="349"/>
      <c r="C48" s="349"/>
      <c r="D48" s="349"/>
      <c r="E48" s="349"/>
      <c r="F48" s="349"/>
    </row>
    <row r="49" spans="1:7" ht="15">
      <c r="A49" s="349"/>
      <c r="B49" s="349"/>
      <c r="C49" s="349"/>
      <c r="D49" s="349"/>
      <c r="E49" s="349"/>
      <c r="F49" s="349"/>
      <c r="G49" s="349"/>
    </row>
    <row r="50" spans="1:7" ht="15">
      <c r="A50" s="349" t="s">
        <v>460</v>
      </c>
      <c r="B50" s="349"/>
      <c r="C50" s="349"/>
      <c r="D50" s="349"/>
      <c r="E50" s="349"/>
      <c r="F50" s="349"/>
      <c r="G50" s="349"/>
    </row>
    <row r="51" spans="1:7" ht="15">
      <c r="A51" s="349" t="s">
        <v>461</v>
      </c>
      <c r="B51" s="349"/>
      <c r="C51" s="349"/>
      <c r="D51" s="349"/>
      <c r="E51" s="349"/>
      <c r="F51" s="349"/>
      <c r="G51" s="349"/>
    </row>
    <row r="52" spans="1:7" ht="15">
      <c r="A52" s="349" t="s">
        <v>462</v>
      </c>
      <c r="B52" s="349"/>
      <c r="C52" s="349"/>
      <c r="D52" s="349"/>
      <c r="E52" s="349"/>
      <c r="F52" s="349"/>
      <c r="G52" s="349"/>
    </row>
    <row r="53" spans="1:7" ht="15">
      <c r="A53" s="349" t="s">
        <v>463</v>
      </c>
      <c r="B53" s="349"/>
      <c r="C53" s="349"/>
      <c r="D53" s="349"/>
      <c r="E53" s="349"/>
      <c r="F53" s="349"/>
      <c r="G53" s="349"/>
    </row>
    <row r="54" spans="1:7" ht="15">
      <c r="A54" s="349" t="s">
        <v>464</v>
      </c>
      <c r="B54" s="349"/>
      <c r="C54" s="349"/>
      <c r="D54" s="349"/>
      <c r="E54" s="349"/>
      <c r="F54" s="349"/>
      <c r="G54" s="349"/>
    </row>
    <row r="55" spans="1:7" ht="15">
      <c r="A55" s="349"/>
      <c r="B55" s="349"/>
      <c r="C55" s="349"/>
      <c r="D55" s="349"/>
      <c r="E55" s="349"/>
      <c r="F55" s="349"/>
      <c r="G55" s="349"/>
    </row>
    <row r="56" spans="1:6" ht="15">
      <c r="A56" s="363" t="s">
        <v>402</v>
      </c>
      <c r="B56" s="349"/>
      <c r="C56" s="349"/>
      <c r="D56" s="349"/>
      <c r="E56" s="349"/>
      <c r="F56" s="349"/>
    </row>
    <row r="57" spans="1:6" ht="15">
      <c r="A57" s="363" t="s">
        <v>403</v>
      </c>
      <c r="B57" s="349"/>
      <c r="C57" s="349"/>
      <c r="D57" s="349"/>
      <c r="E57" s="349"/>
      <c r="F57" s="349"/>
    </row>
    <row r="58" spans="1:6" ht="15">
      <c r="A58" s="363" t="s">
        <v>404</v>
      </c>
      <c r="B58" s="349"/>
      <c r="C58" s="349"/>
      <c r="D58" s="349"/>
      <c r="E58" s="349"/>
      <c r="F58" s="349"/>
    </row>
    <row r="59" spans="1:6" ht="15">
      <c r="A59" s="363"/>
      <c r="B59" s="349"/>
      <c r="C59" s="349"/>
      <c r="D59" s="349"/>
      <c r="E59" s="349"/>
      <c r="F59" s="349"/>
    </row>
    <row r="60" spans="1:7" ht="15">
      <c r="A60" s="349" t="s">
        <v>543</v>
      </c>
      <c r="B60" s="349"/>
      <c r="C60" s="349"/>
      <c r="D60" s="349"/>
      <c r="E60" s="349"/>
      <c r="F60" s="349"/>
      <c r="G60" s="349"/>
    </row>
    <row r="61" spans="1:7" ht="15">
      <c r="A61" s="349" t="s">
        <v>544</v>
      </c>
      <c r="B61" s="349"/>
      <c r="C61" s="349"/>
      <c r="D61" s="349"/>
      <c r="E61" s="349"/>
      <c r="F61" s="349"/>
      <c r="G61" s="349"/>
    </row>
    <row r="62" spans="1:7" ht="15">
      <c r="A62" s="349" t="s">
        <v>545</v>
      </c>
      <c r="B62" s="349"/>
      <c r="C62" s="349"/>
      <c r="D62" s="349"/>
      <c r="E62" s="349"/>
      <c r="F62" s="349"/>
      <c r="G62" s="349"/>
    </row>
    <row r="63" spans="1:7" ht="15">
      <c r="A63" s="349" t="s">
        <v>546</v>
      </c>
      <c r="B63" s="349"/>
      <c r="C63" s="349"/>
      <c r="D63" s="349"/>
      <c r="E63" s="349"/>
      <c r="F63" s="349"/>
      <c r="G63" s="349"/>
    </row>
    <row r="64" spans="1:7" ht="15">
      <c r="A64" s="349" t="s">
        <v>547</v>
      </c>
      <c r="B64" s="349"/>
      <c r="C64" s="349"/>
      <c r="D64" s="349"/>
      <c r="E64" s="349"/>
      <c r="F64" s="349"/>
      <c r="G64" s="349"/>
    </row>
    <row r="66" spans="1:6" ht="15">
      <c r="A66" s="363" t="s">
        <v>510</v>
      </c>
      <c r="B66" s="349"/>
      <c r="C66" s="349"/>
      <c r="D66" s="349"/>
      <c r="E66" s="349"/>
      <c r="F66" s="349"/>
    </row>
    <row r="67" spans="1:6" ht="15">
      <c r="A67" s="363" t="s">
        <v>511</v>
      </c>
      <c r="B67" s="349"/>
      <c r="C67" s="349"/>
      <c r="D67" s="349"/>
      <c r="E67" s="349"/>
      <c r="F67" s="349"/>
    </row>
    <row r="68" spans="1:6" ht="15">
      <c r="A68" s="363" t="s">
        <v>512</v>
      </c>
      <c r="B68" s="349"/>
      <c r="C68" s="349"/>
      <c r="D68" s="349"/>
      <c r="E68" s="349"/>
      <c r="F68" s="349"/>
    </row>
    <row r="69" spans="1:6" ht="15">
      <c r="A69" s="363" t="s">
        <v>513</v>
      </c>
      <c r="B69" s="349"/>
      <c r="C69" s="349"/>
      <c r="D69" s="349"/>
      <c r="E69" s="349"/>
      <c r="F69" s="349"/>
    </row>
    <row r="70" spans="1:6" ht="15">
      <c r="A70" s="363" t="s">
        <v>514</v>
      </c>
      <c r="B70" s="349"/>
      <c r="C70" s="349"/>
      <c r="D70" s="349"/>
      <c r="E70" s="349"/>
      <c r="F70" s="349"/>
    </row>
    <row r="71" ht="15">
      <c r="A71" s="349"/>
    </row>
    <row r="72" ht="15">
      <c r="A72" s="349" t="s">
        <v>431</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548</v>
      </c>
      <c r="B3" s="350"/>
      <c r="C3" s="350"/>
      <c r="D3" s="350"/>
      <c r="E3" s="350"/>
      <c r="F3" s="350"/>
      <c r="G3" s="350"/>
    </row>
    <row r="4" spans="1:7" ht="15">
      <c r="A4" s="350" t="s">
        <v>549</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378</v>
      </c>
    </row>
    <row r="8" ht="15">
      <c r="A8" s="349" t="str">
        <f>CONCATENATE("estimated ",inputPrYr!D5," 'total expenditures' exceed your ",inputPrYr!D5,"")</f>
        <v>estimated 2013 'total expenditures' exceed your 2013</v>
      </c>
    </row>
    <row r="9" ht="15">
      <c r="A9" s="366" t="s">
        <v>550</v>
      </c>
    </row>
    <row r="10" ht="15">
      <c r="A10" s="349"/>
    </row>
    <row r="11" ht="15">
      <c r="A11" s="349" t="s">
        <v>551</v>
      </c>
    </row>
    <row r="12" ht="15">
      <c r="A12" s="349" t="s">
        <v>552</v>
      </c>
    </row>
    <row r="13" ht="15">
      <c r="A13" s="349" t="s">
        <v>553</v>
      </c>
    </row>
    <row r="14" ht="15">
      <c r="A14" s="349"/>
    </row>
    <row r="15" ht="15">
      <c r="A15" s="348" t="s">
        <v>554</v>
      </c>
    </row>
    <row r="16" spans="1:7" ht="15">
      <c r="A16" s="350"/>
      <c r="B16" s="350"/>
      <c r="C16" s="350"/>
      <c r="D16" s="350"/>
      <c r="E16" s="350"/>
      <c r="F16" s="350"/>
      <c r="G16" s="350"/>
    </row>
    <row r="17" spans="1:8" ht="15">
      <c r="A17" s="367" t="s">
        <v>555</v>
      </c>
      <c r="B17" s="344"/>
      <c r="C17" s="344"/>
      <c r="D17" s="344"/>
      <c r="E17" s="344"/>
      <c r="F17" s="344"/>
      <c r="G17" s="344"/>
      <c r="H17" s="344"/>
    </row>
    <row r="18" spans="1:7" ht="15">
      <c r="A18" s="349" t="s">
        <v>556</v>
      </c>
      <c r="B18" s="368"/>
      <c r="C18" s="368"/>
      <c r="D18" s="368"/>
      <c r="E18" s="368"/>
      <c r="F18" s="368"/>
      <c r="G18" s="368"/>
    </row>
    <row r="19" ht="15">
      <c r="A19" s="349" t="s">
        <v>557</v>
      </c>
    </row>
    <row r="20" ht="15">
      <c r="A20" s="349" t="s">
        <v>558</v>
      </c>
    </row>
    <row r="22" ht="15">
      <c r="A22" s="348" t="s">
        <v>559</v>
      </c>
    </row>
    <row r="24" ht="15">
      <c r="A24" s="349" t="s">
        <v>560</v>
      </c>
    </row>
    <row r="25" ht="15">
      <c r="A25" s="349" t="s">
        <v>561</v>
      </c>
    </row>
    <row r="26" ht="15">
      <c r="A26" s="349" t="s">
        <v>562</v>
      </c>
    </row>
    <row r="28" ht="15">
      <c r="A28" s="348" t="s">
        <v>563</v>
      </c>
    </row>
    <row r="30" ht="15">
      <c r="A30" t="s">
        <v>564</v>
      </c>
    </row>
    <row r="31" ht="15">
      <c r="A31" t="s">
        <v>565</v>
      </c>
    </row>
    <row r="32" ht="15">
      <c r="A32" t="s">
        <v>566</v>
      </c>
    </row>
    <row r="33" ht="15">
      <c r="A33" s="349" t="s">
        <v>567</v>
      </c>
    </row>
    <row r="35" ht="15">
      <c r="A35" t="s">
        <v>568</v>
      </c>
    </row>
    <row r="36" ht="15">
      <c r="A36" t="s">
        <v>569</v>
      </c>
    </row>
    <row r="37" ht="15">
      <c r="A37" t="s">
        <v>570</v>
      </c>
    </row>
    <row r="38" ht="15">
      <c r="A38" t="s">
        <v>571</v>
      </c>
    </row>
    <row r="40" ht="15">
      <c r="A40" t="s">
        <v>572</v>
      </c>
    </row>
    <row r="41" ht="15">
      <c r="A41" t="s">
        <v>573</v>
      </c>
    </row>
    <row r="42" ht="15">
      <c r="A42" t="s">
        <v>574</v>
      </c>
    </row>
    <row r="43" ht="15">
      <c r="A43" t="s">
        <v>575</v>
      </c>
    </row>
    <row r="44" ht="15">
      <c r="A44" t="s">
        <v>576</v>
      </c>
    </row>
    <row r="45" ht="15">
      <c r="A45" t="s">
        <v>577</v>
      </c>
    </row>
    <row r="47" ht="15">
      <c r="A47" t="s">
        <v>578</v>
      </c>
    </row>
    <row r="48" ht="15">
      <c r="A48" t="s">
        <v>579</v>
      </c>
    </row>
    <row r="49" ht="15">
      <c r="A49" s="349" t="s">
        <v>580</v>
      </c>
    </row>
    <row r="50" ht="15">
      <c r="A50" s="349" t="s">
        <v>581</v>
      </c>
    </row>
    <row r="52" ht="15">
      <c r="A52" t="s">
        <v>431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40" t="s">
        <v>622</v>
      </c>
      <c r="C6" s="848"/>
      <c r="D6" s="848"/>
      <c r="E6" s="848"/>
      <c r="F6" s="848"/>
      <c r="G6" s="848"/>
      <c r="H6" s="848"/>
      <c r="I6" s="848"/>
      <c r="J6" s="848"/>
      <c r="K6" s="848"/>
      <c r="L6" s="406"/>
    </row>
    <row r="7" spans="1:12" ht="40.5" customHeight="1">
      <c r="A7" s="403"/>
      <c r="B7" s="860" t="s">
        <v>623</v>
      </c>
      <c r="C7" s="861"/>
      <c r="D7" s="861"/>
      <c r="E7" s="861"/>
      <c r="F7" s="861"/>
      <c r="G7" s="861"/>
      <c r="H7" s="861"/>
      <c r="I7" s="861"/>
      <c r="J7" s="861"/>
      <c r="K7" s="861"/>
      <c r="L7" s="403"/>
    </row>
    <row r="8" spans="1:12" ht="13.5">
      <c r="A8" s="403"/>
      <c r="B8" s="857" t="s">
        <v>624</v>
      </c>
      <c r="C8" s="857"/>
      <c r="D8" s="857"/>
      <c r="E8" s="857"/>
      <c r="F8" s="857"/>
      <c r="G8" s="857"/>
      <c r="H8" s="857"/>
      <c r="I8" s="857"/>
      <c r="J8" s="857"/>
      <c r="K8" s="857"/>
      <c r="L8" s="403"/>
    </row>
    <row r="9" spans="1:12" ht="13.5">
      <c r="A9" s="403"/>
      <c r="L9" s="403"/>
    </row>
    <row r="10" spans="1:12" ht="13.5">
      <c r="A10" s="403"/>
      <c r="B10" s="857" t="s">
        <v>625</v>
      </c>
      <c r="C10" s="857"/>
      <c r="D10" s="857"/>
      <c r="E10" s="857"/>
      <c r="F10" s="857"/>
      <c r="G10" s="857"/>
      <c r="H10" s="857"/>
      <c r="I10" s="857"/>
      <c r="J10" s="857"/>
      <c r="K10" s="857"/>
      <c r="L10" s="403"/>
    </row>
    <row r="11" spans="1:12" ht="13.5">
      <c r="A11" s="403"/>
      <c r="B11" s="539"/>
      <c r="C11" s="539"/>
      <c r="D11" s="539"/>
      <c r="E11" s="539"/>
      <c r="F11" s="539"/>
      <c r="G11" s="539"/>
      <c r="H11" s="539"/>
      <c r="I11" s="539"/>
      <c r="J11" s="539"/>
      <c r="K11" s="539"/>
      <c r="L11" s="403"/>
    </row>
    <row r="12" spans="1:12" ht="32.25" customHeight="1">
      <c r="A12" s="403"/>
      <c r="B12" s="841" t="s">
        <v>626</v>
      </c>
      <c r="C12" s="841"/>
      <c r="D12" s="841"/>
      <c r="E12" s="841"/>
      <c r="F12" s="841"/>
      <c r="G12" s="841"/>
      <c r="H12" s="841"/>
      <c r="I12" s="841"/>
      <c r="J12" s="841"/>
      <c r="K12" s="841"/>
      <c r="L12" s="403"/>
    </row>
    <row r="13" spans="1:12" ht="13.5">
      <c r="A13" s="403"/>
      <c r="L13" s="403"/>
    </row>
    <row r="14" spans="1:12" ht="13.5">
      <c r="A14" s="403"/>
      <c r="B14" s="407" t="s">
        <v>627</v>
      </c>
      <c r="L14" s="403"/>
    </row>
    <row r="15" spans="1:12" ht="13.5">
      <c r="A15" s="403"/>
      <c r="L15" s="403"/>
    </row>
    <row r="16" spans="1:12" ht="13.5">
      <c r="A16" s="403"/>
      <c r="B16" s="405" t="s">
        <v>628</v>
      </c>
      <c r="L16" s="403"/>
    </row>
    <row r="17" spans="1:12" ht="13.5">
      <c r="A17" s="403"/>
      <c r="B17" s="405" t="s">
        <v>629</v>
      </c>
      <c r="L17" s="403"/>
    </row>
    <row r="18" spans="1:12" ht="13.5">
      <c r="A18" s="403"/>
      <c r="L18" s="403"/>
    </row>
    <row r="19" spans="1:12" ht="13.5">
      <c r="A19" s="403"/>
      <c r="B19" s="407" t="s">
        <v>752</v>
      </c>
      <c r="L19" s="403"/>
    </row>
    <row r="20" spans="1:12" ht="13.5">
      <c r="A20" s="403"/>
      <c r="B20" s="407"/>
      <c r="L20" s="403"/>
    </row>
    <row r="21" spans="1:12" ht="13.5">
      <c r="A21" s="403"/>
      <c r="B21" s="405" t="s">
        <v>753</v>
      </c>
      <c r="L21" s="403"/>
    </row>
    <row r="22" spans="1:12" ht="13.5">
      <c r="A22" s="403"/>
      <c r="L22" s="403"/>
    </row>
    <row r="23" spans="1:12" ht="13.5">
      <c r="A23" s="403"/>
      <c r="B23" s="405" t="s">
        <v>630</v>
      </c>
      <c r="E23" s="405" t="s">
        <v>631</v>
      </c>
      <c r="F23" s="843">
        <v>312000000</v>
      </c>
      <c r="G23" s="843"/>
      <c r="L23" s="403"/>
    </row>
    <row r="24" spans="1:12" ht="13.5">
      <c r="A24" s="403"/>
      <c r="L24" s="403"/>
    </row>
    <row r="25" spans="1:12" ht="13.5">
      <c r="A25" s="403"/>
      <c r="C25" s="858">
        <f>F23</f>
        <v>312000000</v>
      </c>
      <c r="D25" s="858"/>
      <c r="E25" s="405" t="s">
        <v>632</v>
      </c>
      <c r="F25" s="408">
        <v>1000</v>
      </c>
      <c r="G25" s="408" t="s">
        <v>631</v>
      </c>
      <c r="H25" s="541">
        <f>F23/F25</f>
        <v>312000</v>
      </c>
      <c r="L25" s="403"/>
    </row>
    <row r="26" spans="1:12" ht="14.25" thickBot="1">
      <c r="A26" s="403"/>
      <c r="L26" s="403"/>
    </row>
    <row r="27" spans="1:12" ht="13.5">
      <c r="A27" s="403"/>
      <c r="B27" s="409" t="s">
        <v>627</v>
      </c>
      <c r="C27" s="410"/>
      <c r="D27" s="410"/>
      <c r="E27" s="410"/>
      <c r="F27" s="410"/>
      <c r="G27" s="410"/>
      <c r="H27" s="410"/>
      <c r="I27" s="410"/>
      <c r="J27" s="410"/>
      <c r="K27" s="411"/>
      <c r="L27" s="403"/>
    </row>
    <row r="28" spans="1:12" ht="13.5">
      <c r="A28" s="403"/>
      <c r="B28" s="412">
        <f>F23</f>
        <v>312000000</v>
      </c>
      <c r="C28" s="413" t="s">
        <v>633</v>
      </c>
      <c r="D28" s="413"/>
      <c r="E28" s="413" t="s">
        <v>632</v>
      </c>
      <c r="F28" s="544">
        <v>1000</v>
      </c>
      <c r="G28" s="544" t="s">
        <v>631</v>
      </c>
      <c r="H28" s="414">
        <f>B28/F28</f>
        <v>312000</v>
      </c>
      <c r="I28" s="413" t="s">
        <v>634</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5" t="s">
        <v>623</v>
      </c>
      <c r="C30" s="845"/>
      <c r="D30" s="845"/>
      <c r="E30" s="845"/>
      <c r="F30" s="845"/>
      <c r="G30" s="845"/>
      <c r="H30" s="845"/>
      <c r="I30" s="845"/>
      <c r="J30" s="845"/>
      <c r="K30" s="845"/>
      <c r="L30" s="403"/>
    </row>
    <row r="31" spans="1:12" ht="13.5">
      <c r="A31" s="403"/>
      <c r="B31" s="857" t="s">
        <v>635</v>
      </c>
      <c r="C31" s="857"/>
      <c r="D31" s="857"/>
      <c r="E31" s="857"/>
      <c r="F31" s="857"/>
      <c r="G31" s="857"/>
      <c r="H31" s="857"/>
      <c r="I31" s="857"/>
      <c r="J31" s="857"/>
      <c r="K31" s="857"/>
      <c r="L31" s="403"/>
    </row>
    <row r="32" spans="1:12" ht="13.5">
      <c r="A32" s="403"/>
      <c r="L32" s="403"/>
    </row>
    <row r="33" spans="1:12" ht="13.5">
      <c r="A33" s="403"/>
      <c r="B33" s="857" t="s">
        <v>636</v>
      </c>
      <c r="C33" s="857"/>
      <c r="D33" s="857"/>
      <c r="E33" s="857"/>
      <c r="F33" s="857"/>
      <c r="G33" s="857"/>
      <c r="H33" s="857"/>
      <c r="I33" s="857"/>
      <c r="J33" s="857"/>
      <c r="K33" s="857"/>
      <c r="L33" s="403"/>
    </row>
    <row r="34" spans="1:12" ht="13.5">
      <c r="A34" s="403"/>
      <c r="L34" s="403"/>
    </row>
    <row r="35" spans="1:12" ht="89.25" customHeight="1">
      <c r="A35" s="403"/>
      <c r="B35" s="841" t="s">
        <v>637</v>
      </c>
      <c r="C35" s="851"/>
      <c r="D35" s="851"/>
      <c r="E35" s="851"/>
      <c r="F35" s="851"/>
      <c r="G35" s="851"/>
      <c r="H35" s="851"/>
      <c r="I35" s="851"/>
      <c r="J35" s="851"/>
      <c r="K35" s="851"/>
      <c r="L35" s="403"/>
    </row>
    <row r="36" spans="1:12" ht="13.5">
      <c r="A36" s="403"/>
      <c r="L36" s="403"/>
    </row>
    <row r="37" spans="1:12" ht="13.5">
      <c r="A37" s="403"/>
      <c r="B37" s="407" t="s">
        <v>638</v>
      </c>
      <c r="L37" s="403"/>
    </row>
    <row r="38" spans="1:12" ht="13.5">
      <c r="A38" s="403"/>
      <c r="L38" s="403"/>
    </row>
    <row r="39" spans="1:12" ht="13.5">
      <c r="A39" s="403"/>
      <c r="B39" s="405" t="s">
        <v>639</v>
      </c>
      <c r="L39" s="403"/>
    </row>
    <row r="40" spans="1:12" ht="13.5">
      <c r="A40" s="403"/>
      <c r="L40" s="403"/>
    </row>
    <row r="41" spans="1:12" ht="13.5">
      <c r="A41" s="403"/>
      <c r="C41" s="859">
        <v>312000000</v>
      </c>
      <c r="D41" s="859"/>
      <c r="E41" s="405" t="s">
        <v>632</v>
      </c>
      <c r="F41" s="408">
        <v>1000</v>
      </c>
      <c r="G41" s="408" t="s">
        <v>631</v>
      </c>
      <c r="H41" s="419">
        <f>C41/F41</f>
        <v>312000</v>
      </c>
      <c r="L41" s="403"/>
    </row>
    <row r="42" spans="1:12" ht="13.5">
      <c r="A42" s="403"/>
      <c r="L42" s="403"/>
    </row>
    <row r="43" spans="1:12" ht="13.5">
      <c r="A43" s="403"/>
      <c r="B43" s="405" t="s">
        <v>640</v>
      </c>
      <c r="L43" s="403"/>
    </row>
    <row r="44" spans="1:12" ht="13.5">
      <c r="A44" s="403"/>
      <c r="L44" s="403"/>
    </row>
    <row r="45" spans="1:12" ht="13.5">
      <c r="A45" s="403"/>
      <c r="B45" s="405" t="s">
        <v>641</v>
      </c>
      <c r="L45" s="403"/>
    </row>
    <row r="46" spans="1:12" ht="14.25" thickBot="1">
      <c r="A46" s="403"/>
      <c r="L46" s="403"/>
    </row>
    <row r="47" spans="1:12" ht="13.5">
      <c r="A47" s="403"/>
      <c r="B47" s="420" t="s">
        <v>627</v>
      </c>
      <c r="C47" s="410"/>
      <c r="D47" s="410"/>
      <c r="E47" s="410"/>
      <c r="F47" s="410"/>
      <c r="G47" s="410"/>
      <c r="H47" s="410"/>
      <c r="I47" s="410"/>
      <c r="J47" s="410"/>
      <c r="K47" s="411"/>
      <c r="L47" s="403"/>
    </row>
    <row r="48" spans="1:12" ht="13.5">
      <c r="A48" s="403"/>
      <c r="B48" s="852">
        <v>312000000</v>
      </c>
      <c r="C48" s="843"/>
      <c r="D48" s="413" t="s">
        <v>642</v>
      </c>
      <c r="E48" s="413" t="s">
        <v>632</v>
      </c>
      <c r="F48" s="544">
        <v>1000</v>
      </c>
      <c r="G48" s="544" t="s">
        <v>631</v>
      </c>
      <c r="H48" s="414">
        <f>B48/F48</f>
        <v>312000</v>
      </c>
      <c r="I48" s="413" t="s">
        <v>643</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644</v>
      </c>
      <c r="D50" s="413"/>
      <c r="E50" s="413" t="s">
        <v>632</v>
      </c>
      <c r="F50" s="414">
        <f>H48</f>
        <v>312000</v>
      </c>
      <c r="G50" s="853" t="s">
        <v>645</v>
      </c>
      <c r="H50" s="854"/>
      <c r="I50" s="544" t="s">
        <v>631</v>
      </c>
      <c r="J50" s="423">
        <f>B50/F50</f>
        <v>0.16025641025641027</v>
      </c>
      <c r="K50" s="415"/>
      <c r="L50" s="403"/>
    </row>
    <row r="51" spans="1:15" ht="14.25" thickBot="1">
      <c r="A51" s="403"/>
      <c r="B51" s="416"/>
      <c r="C51" s="417"/>
      <c r="D51" s="417"/>
      <c r="E51" s="417"/>
      <c r="F51" s="417"/>
      <c r="G51" s="417"/>
      <c r="H51" s="417"/>
      <c r="I51" s="855" t="s">
        <v>646</v>
      </c>
      <c r="J51" s="855"/>
      <c r="K51" s="856"/>
      <c r="L51" s="403"/>
      <c r="O51" s="424"/>
    </row>
    <row r="52" spans="1:12" ht="40.5" customHeight="1">
      <c r="A52" s="403"/>
      <c r="B52" s="845" t="s">
        <v>623</v>
      </c>
      <c r="C52" s="845"/>
      <c r="D52" s="845"/>
      <c r="E52" s="845"/>
      <c r="F52" s="845"/>
      <c r="G52" s="845"/>
      <c r="H52" s="845"/>
      <c r="I52" s="845"/>
      <c r="J52" s="845"/>
      <c r="K52" s="845"/>
      <c r="L52" s="403"/>
    </row>
    <row r="53" spans="1:12" ht="13.5">
      <c r="A53" s="403"/>
      <c r="B53" s="857" t="s">
        <v>647</v>
      </c>
      <c r="C53" s="857"/>
      <c r="D53" s="857"/>
      <c r="E53" s="857"/>
      <c r="F53" s="857"/>
      <c r="G53" s="857"/>
      <c r="H53" s="857"/>
      <c r="I53" s="857"/>
      <c r="J53" s="857"/>
      <c r="K53" s="857"/>
      <c r="L53" s="403"/>
    </row>
    <row r="54" spans="1:12" ht="13.5">
      <c r="A54" s="403"/>
      <c r="B54" s="539"/>
      <c r="C54" s="539"/>
      <c r="D54" s="539"/>
      <c r="E54" s="539"/>
      <c r="F54" s="539"/>
      <c r="G54" s="539"/>
      <c r="H54" s="539"/>
      <c r="I54" s="539"/>
      <c r="J54" s="539"/>
      <c r="K54" s="539"/>
      <c r="L54" s="403"/>
    </row>
    <row r="55" spans="1:12" ht="13.5">
      <c r="A55" s="403"/>
      <c r="B55" s="840" t="s">
        <v>648</v>
      </c>
      <c r="C55" s="840"/>
      <c r="D55" s="840"/>
      <c r="E55" s="840"/>
      <c r="F55" s="840"/>
      <c r="G55" s="840"/>
      <c r="H55" s="840"/>
      <c r="I55" s="840"/>
      <c r="J55" s="840"/>
      <c r="K55" s="840"/>
      <c r="L55" s="403"/>
    </row>
    <row r="56" spans="1:12" ht="15" customHeight="1">
      <c r="A56" s="403"/>
      <c r="L56" s="403"/>
    </row>
    <row r="57" spans="1:24" ht="74.25" customHeight="1">
      <c r="A57" s="403"/>
      <c r="B57" s="841" t="s">
        <v>649</v>
      </c>
      <c r="C57" s="851"/>
      <c r="D57" s="851"/>
      <c r="E57" s="851"/>
      <c r="F57" s="851"/>
      <c r="G57" s="851"/>
      <c r="H57" s="851"/>
      <c r="I57" s="851"/>
      <c r="J57" s="851"/>
      <c r="K57" s="851"/>
      <c r="L57" s="403"/>
      <c r="M57" s="425"/>
      <c r="N57" s="426"/>
      <c r="O57" s="426"/>
      <c r="P57" s="426"/>
      <c r="Q57" s="426"/>
      <c r="R57" s="426"/>
      <c r="S57" s="426"/>
      <c r="T57" s="426"/>
      <c r="U57" s="426"/>
      <c r="V57" s="426"/>
      <c r="W57" s="426"/>
      <c r="X57" s="426"/>
    </row>
    <row r="58" spans="1:24" ht="15" customHeight="1">
      <c r="A58" s="403"/>
      <c r="B58" s="841"/>
      <c r="C58" s="851"/>
      <c r="D58" s="851"/>
      <c r="E58" s="851"/>
      <c r="F58" s="851"/>
      <c r="G58" s="851"/>
      <c r="H58" s="851"/>
      <c r="I58" s="851"/>
      <c r="J58" s="851"/>
      <c r="K58" s="851"/>
      <c r="L58" s="403"/>
      <c r="M58" s="425"/>
      <c r="N58" s="426"/>
      <c r="O58" s="426"/>
      <c r="P58" s="426"/>
      <c r="Q58" s="426"/>
      <c r="R58" s="426"/>
      <c r="S58" s="426"/>
      <c r="T58" s="426"/>
      <c r="U58" s="426"/>
      <c r="V58" s="426"/>
      <c r="W58" s="426"/>
      <c r="X58" s="426"/>
    </row>
    <row r="59" spans="1:24" ht="13.5">
      <c r="A59" s="403"/>
      <c r="B59" s="407" t="s">
        <v>638</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650</v>
      </c>
      <c r="L61" s="403"/>
      <c r="M61" s="426"/>
      <c r="N61" s="426"/>
      <c r="O61" s="426"/>
      <c r="P61" s="426"/>
      <c r="Q61" s="426"/>
      <c r="R61" s="426"/>
      <c r="S61" s="426"/>
      <c r="T61" s="426"/>
      <c r="U61" s="426"/>
      <c r="V61" s="426"/>
      <c r="W61" s="426"/>
      <c r="X61" s="426"/>
    </row>
    <row r="62" spans="1:24" ht="13.5">
      <c r="A62" s="403"/>
      <c r="B62" s="405" t="s">
        <v>754</v>
      </c>
      <c r="L62" s="403"/>
      <c r="M62" s="426"/>
      <c r="N62" s="426"/>
      <c r="O62" s="426"/>
      <c r="P62" s="426"/>
      <c r="Q62" s="426"/>
      <c r="R62" s="426"/>
      <c r="S62" s="426"/>
      <c r="T62" s="426"/>
      <c r="U62" s="426"/>
      <c r="V62" s="426"/>
      <c r="W62" s="426"/>
      <c r="X62" s="426"/>
    </row>
    <row r="63" spans="1:24" ht="13.5">
      <c r="A63" s="403"/>
      <c r="B63" s="405" t="s">
        <v>755</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651</v>
      </c>
      <c r="L65" s="403"/>
      <c r="M65" s="426"/>
      <c r="N65" s="426"/>
      <c r="O65" s="426"/>
      <c r="P65" s="426"/>
      <c r="Q65" s="426"/>
      <c r="R65" s="426"/>
      <c r="S65" s="426"/>
      <c r="T65" s="426"/>
      <c r="U65" s="426"/>
      <c r="V65" s="426"/>
      <c r="W65" s="426"/>
      <c r="X65" s="426"/>
    </row>
    <row r="66" spans="1:24" ht="13.5">
      <c r="A66" s="403"/>
      <c r="B66" s="405" t="s">
        <v>652</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653</v>
      </c>
      <c r="L68" s="403"/>
      <c r="M68" s="427"/>
      <c r="N68" s="428"/>
      <c r="O68" s="428"/>
      <c r="P68" s="428"/>
      <c r="Q68" s="428"/>
      <c r="R68" s="428"/>
      <c r="S68" s="428"/>
      <c r="T68" s="428"/>
      <c r="U68" s="428"/>
      <c r="V68" s="428"/>
      <c r="W68" s="428"/>
      <c r="X68" s="426"/>
    </row>
    <row r="69" spans="1:24" ht="13.5">
      <c r="A69" s="403"/>
      <c r="B69" s="405" t="s">
        <v>756</v>
      </c>
      <c r="L69" s="403"/>
      <c r="M69" s="426"/>
      <c r="N69" s="426"/>
      <c r="O69" s="426"/>
      <c r="P69" s="426"/>
      <c r="Q69" s="426"/>
      <c r="R69" s="426"/>
      <c r="S69" s="426"/>
      <c r="T69" s="426"/>
      <c r="U69" s="426"/>
      <c r="V69" s="426"/>
      <c r="W69" s="426"/>
      <c r="X69" s="426"/>
    </row>
    <row r="70" spans="1:24" ht="13.5">
      <c r="A70" s="403"/>
      <c r="B70" s="405" t="s">
        <v>757</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627</v>
      </c>
      <c r="C72" s="410"/>
      <c r="D72" s="410"/>
      <c r="E72" s="410"/>
      <c r="F72" s="410"/>
      <c r="G72" s="410"/>
      <c r="H72" s="410"/>
      <c r="I72" s="410"/>
      <c r="J72" s="410"/>
      <c r="K72" s="411"/>
      <c r="L72" s="429"/>
    </row>
    <row r="73" spans="1:12" ht="13.5">
      <c r="A73" s="403"/>
      <c r="B73" s="421"/>
      <c r="C73" s="413" t="s">
        <v>633</v>
      </c>
      <c r="D73" s="413"/>
      <c r="E73" s="413"/>
      <c r="F73" s="413"/>
      <c r="G73" s="413"/>
      <c r="H73" s="413"/>
      <c r="I73" s="413"/>
      <c r="J73" s="413"/>
      <c r="K73" s="415"/>
      <c r="L73" s="429"/>
    </row>
    <row r="74" spans="1:12" ht="13.5">
      <c r="A74" s="403"/>
      <c r="B74" s="421" t="s">
        <v>654</v>
      </c>
      <c r="C74" s="843">
        <v>312000000</v>
      </c>
      <c r="D74" s="843"/>
      <c r="E74" s="544" t="s">
        <v>632</v>
      </c>
      <c r="F74" s="544">
        <v>1000</v>
      </c>
      <c r="G74" s="544" t="s">
        <v>631</v>
      </c>
      <c r="H74" s="545">
        <f>C74/F74</f>
        <v>312000</v>
      </c>
      <c r="I74" s="413" t="s">
        <v>655</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656</v>
      </c>
      <c r="D76" s="413"/>
      <c r="E76" s="544"/>
      <c r="F76" s="413" t="s">
        <v>655</v>
      </c>
      <c r="G76" s="413"/>
      <c r="H76" s="413"/>
      <c r="I76" s="413"/>
      <c r="J76" s="413"/>
      <c r="K76" s="415"/>
      <c r="L76" s="429"/>
    </row>
    <row r="77" spans="1:12" ht="13.5">
      <c r="A77" s="403"/>
      <c r="B77" s="421" t="s">
        <v>657</v>
      </c>
      <c r="C77" s="843">
        <v>50000</v>
      </c>
      <c r="D77" s="843"/>
      <c r="E77" s="544" t="s">
        <v>632</v>
      </c>
      <c r="F77" s="545">
        <f>H74</f>
        <v>312000</v>
      </c>
      <c r="G77" s="544" t="s">
        <v>631</v>
      </c>
      <c r="H77" s="423">
        <f>C77/F77</f>
        <v>0.16025641025641027</v>
      </c>
      <c r="I77" s="413" t="s">
        <v>658</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659</v>
      </c>
      <c r="D79" s="431"/>
      <c r="E79" s="546"/>
      <c r="F79" s="431"/>
      <c r="G79" s="431"/>
      <c r="H79" s="431"/>
      <c r="I79" s="431"/>
      <c r="J79" s="431"/>
      <c r="K79" s="432"/>
      <c r="L79" s="429"/>
    </row>
    <row r="80" spans="1:12" ht="13.5">
      <c r="A80" s="403"/>
      <c r="B80" s="421" t="s">
        <v>660</v>
      </c>
      <c r="C80" s="843">
        <v>100000</v>
      </c>
      <c r="D80" s="843"/>
      <c r="E80" s="544" t="s">
        <v>285</v>
      </c>
      <c r="F80" s="544">
        <v>0.115</v>
      </c>
      <c r="G80" s="544" t="s">
        <v>631</v>
      </c>
      <c r="H80" s="545">
        <f>C80*F80</f>
        <v>11500</v>
      </c>
      <c r="I80" s="413" t="s">
        <v>661</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662</v>
      </c>
      <c r="D82" s="431"/>
      <c r="E82" s="546"/>
      <c r="F82" s="431" t="s">
        <v>658</v>
      </c>
      <c r="G82" s="431"/>
      <c r="H82" s="431"/>
      <c r="I82" s="431"/>
      <c r="J82" s="431" t="s">
        <v>663</v>
      </c>
      <c r="K82" s="432"/>
      <c r="L82" s="429"/>
    </row>
    <row r="83" spans="1:12" ht="13.5">
      <c r="A83" s="403"/>
      <c r="B83" s="421" t="s">
        <v>664</v>
      </c>
      <c r="C83" s="844">
        <f>H80</f>
        <v>11500</v>
      </c>
      <c r="D83" s="844"/>
      <c r="E83" s="544" t="s">
        <v>285</v>
      </c>
      <c r="F83" s="423">
        <f>H77</f>
        <v>0.16025641025641027</v>
      </c>
      <c r="G83" s="544" t="s">
        <v>632</v>
      </c>
      <c r="H83" s="544">
        <v>1000</v>
      </c>
      <c r="I83" s="544" t="s">
        <v>631</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5" t="s">
        <v>623</v>
      </c>
      <c r="C85" s="845"/>
      <c r="D85" s="845"/>
      <c r="E85" s="845"/>
      <c r="F85" s="845"/>
      <c r="G85" s="845"/>
      <c r="H85" s="845"/>
      <c r="I85" s="845"/>
      <c r="J85" s="845"/>
      <c r="K85" s="845"/>
      <c r="L85" s="403"/>
    </row>
    <row r="86" spans="1:12" ht="13.5">
      <c r="A86" s="403"/>
      <c r="B86" s="840" t="s">
        <v>665</v>
      </c>
      <c r="C86" s="840"/>
      <c r="D86" s="840"/>
      <c r="E86" s="840"/>
      <c r="F86" s="840"/>
      <c r="G86" s="840"/>
      <c r="H86" s="840"/>
      <c r="I86" s="840"/>
      <c r="J86" s="840"/>
      <c r="K86" s="840"/>
      <c r="L86" s="403"/>
    </row>
    <row r="87" spans="1:12" ht="13.5">
      <c r="A87" s="403"/>
      <c r="B87" s="437"/>
      <c r="C87" s="437"/>
      <c r="D87" s="437"/>
      <c r="E87" s="437"/>
      <c r="F87" s="437"/>
      <c r="G87" s="437"/>
      <c r="H87" s="437"/>
      <c r="I87" s="437"/>
      <c r="J87" s="437"/>
      <c r="K87" s="437"/>
      <c r="L87" s="403"/>
    </row>
    <row r="88" spans="1:12" ht="13.5">
      <c r="A88" s="403"/>
      <c r="B88" s="840" t="s">
        <v>666</v>
      </c>
      <c r="C88" s="840"/>
      <c r="D88" s="840"/>
      <c r="E88" s="840"/>
      <c r="F88" s="840"/>
      <c r="G88" s="840"/>
      <c r="H88" s="840"/>
      <c r="I88" s="840"/>
      <c r="J88" s="840"/>
      <c r="K88" s="840"/>
      <c r="L88" s="403"/>
    </row>
    <row r="89" spans="1:12" ht="13.5">
      <c r="A89" s="403"/>
      <c r="B89" s="538"/>
      <c r="C89" s="538"/>
      <c r="D89" s="538"/>
      <c r="E89" s="538"/>
      <c r="F89" s="538"/>
      <c r="G89" s="538"/>
      <c r="H89" s="538"/>
      <c r="I89" s="538"/>
      <c r="J89" s="538"/>
      <c r="K89" s="538"/>
      <c r="L89" s="403"/>
    </row>
    <row r="90" spans="1:12" ht="45" customHeight="1">
      <c r="A90" s="403"/>
      <c r="B90" s="841" t="s">
        <v>667</v>
      </c>
      <c r="C90" s="841"/>
      <c r="D90" s="841"/>
      <c r="E90" s="841"/>
      <c r="F90" s="841"/>
      <c r="G90" s="841"/>
      <c r="H90" s="841"/>
      <c r="I90" s="841"/>
      <c r="J90" s="841"/>
      <c r="K90" s="841"/>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43">
        <v>312000000</v>
      </c>
      <c r="D94" s="843"/>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43">
        <v>50000</v>
      </c>
      <c r="D97" s="843"/>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43">
        <v>2500000</v>
      </c>
      <c r="D100" s="843"/>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44">
        <f>H100</f>
        <v>750000</v>
      </c>
      <c r="D103" s="844"/>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5" t="s">
        <v>623</v>
      </c>
      <c r="C105" s="846"/>
      <c r="D105" s="846"/>
      <c r="E105" s="846"/>
      <c r="F105" s="846"/>
      <c r="G105" s="846"/>
      <c r="H105" s="846"/>
      <c r="I105" s="846"/>
      <c r="J105" s="846"/>
      <c r="K105" s="846"/>
      <c r="L105" s="403"/>
    </row>
    <row r="106" spans="1:12" ht="15" customHeight="1">
      <c r="A106" s="403"/>
      <c r="B106" s="847" t="s">
        <v>669</v>
      </c>
      <c r="C106" s="848"/>
      <c r="D106" s="848"/>
      <c r="E106" s="848"/>
      <c r="F106" s="848"/>
      <c r="G106" s="848"/>
      <c r="H106" s="848"/>
      <c r="I106" s="848"/>
      <c r="J106" s="848"/>
      <c r="K106" s="848"/>
      <c r="L106" s="403"/>
    </row>
    <row r="107" spans="1:12" ht="15" customHeight="1">
      <c r="A107" s="403"/>
      <c r="B107" s="542"/>
      <c r="C107" s="448"/>
      <c r="D107" s="448"/>
      <c r="E107" s="544"/>
      <c r="F107" s="423"/>
      <c r="G107" s="544"/>
      <c r="H107" s="544"/>
      <c r="I107" s="544"/>
      <c r="J107" s="547"/>
      <c r="K107" s="542"/>
      <c r="L107" s="403"/>
    </row>
    <row r="108" spans="1:12" ht="15" customHeight="1">
      <c r="A108" s="403"/>
      <c r="B108" s="847" t="s">
        <v>670</v>
      </c>
      <c r="C108" s="849"/>
      <c r="D108" s="849"/>
      <c r="E108" s="849"/>
      <c r="F108" s="849"/>
      <c r="G108" s="849"/>
      <c r="H108" s="849"/>
      <c r="I108" s="849"/>
      <c r="J108" s="849"/>
      <c r="K108" s="849"/>
      <c r="L108" s="403"/>
    </row>
    <row r="109" spans="1:12" ht="15" customHeight="1">
      <c r="A109" s="403"/>
      <c r="B109" s="542"/>
      <c r="C109" s="448"/>
      <c r="D109" s="448"/>
      <c r="E109" s="544"/>
      <c r="F109" s="423"/>
      <c r="G109" s="544"/>
      <c r="H109" s="544"/>
      <c r="I109" s="544"/>
      <c r="J109" s="547"/>
      <c r="K109" s="542"/>
      <c r="L109" s="403"/>
    </row>
    <row r="110" spans="1:12" ht="59.25" customHeight="1">
      <c r="A110" s="403"/>
      <c r="B110" s="850" t="s">
        <v>671</v>
      </c>
      <c r="C110" s="851"/>
      <c r="D110" s="851"/>
      <c r="E110" s="851"/>
      <c r="F110" s="851"/>
      <c r="G110" s="851"/>
      <c r="H110" s="851"/>
      <c r="I110" s="851"/>
      <c r="J110" s="851"/>
      <c r="K110" s="851"/>
      <c r="L110" s="403"/>
    </row>
    <row r="111" spans="1:12" ht="14.25" thickBot="1">
      <c r="A111" s="403"/>
      <c r="B111" s="539"/>
      <c r="C111" s="539"/>
      <c r="D111" s="539"/>
      <c r="E111" s="539"/>
      <c r="F111" s="539"/>
      <c r="G111" s="539"/>
      <c r="H111" s="539"/>
      <c r="I111" s="539"/>
      <c r="J111" s="539"/>
      <c r="K111" s="539"/>
      <c r="L111" s="449"/>
    </row>
    <row r="112" spans="1:12" ht="13.5">
      <c r="A112" s="403"/>
      <c r="B112" s="409" t="s">
        <v>627</v>
      </c>
      <c r="C112" s="410"/>
      <c r="D112" s="410"/>
      <c r="E112" s="410"/>
      <c r="F112" s="410"/>
      <c r="G112" s="410"/>
      <c r="H112" s="410"/>
      <c r="I112" s="410"/>
      <c r="J112" s="410"/>
      <c r="K112" s="411"/>
      <c r="L112" s="403"/>
    </row>
    <row r="113" spans="1:12" ht="13.5">
      <c r="A113" s="403"/>
      <c r="B113" s="421"/>
      <c r="C113" s="413" t="s">
        <v>633</v>
      </c>
      <c r="D113" s="413"/>
      <c r="E113" s="413"/>
      <c r="F113" s="413"/>
      <c r="G113" s="413"/>
      <c r="H113" s="413"/>
      <c r="I113" s="413"/>
      <c r="J113" s="413"/>
      <c r="K113" s="415"/>
      <c r="L113" s="403"/>
    </row>
    <row r="114" spans="1:12" ht="13.5">
      <c r="A114" s="403"/>
      <c r="B114" s="421" t="s">
        <v>654</v>
      </c>
      <c r="C114" s="843">
        <v>312000000</v>
      </c>
      <c r="D114" s="843"/>
      <c r="E114" s="544" t="s">
        <v>632</v>
      </c>
      <c r="F114" s="544">
        <v>1000</v>
      </c>
      <c r="G114" s="544" t="s">
        <v>631</v>
      </c>
      <c r="H114" s="545">
        <f>C114/F114</f>
        <v>312000</v>
      </c>
      <c r="I114" s="413" t="s">
        <v>655</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656</v>
      </c>
      <c r="D116" s="413"/>
      <c r="E116" s="544"/>
      <c r="F116" s="413" t="s">
        <v>655</v>
      </c>
      <c r="G116" s="413"/>
      <c r="H116" s="413"/>
      <c r="I116" s="413"/>
      <c r="J116" s="413"/>
      <c r="K116" s="415"/>
      <c r="L116" s="403"/>
    </row>
    <row r="117" spans="1:12" ht="13.5">
      <c r="A117" s="403"/>
      <c r="B117" s="421" t="s">
        <v>657</v>
      </c>
      <c r="C117" s="843">
        <v>50000</v>
      </c>
      <c r="D117" s="843"/>
      <c r="E117" s="544" t="s">
        <v>632</v>
      </c>
      <c r="F117" s="545">
        <f>H114</f>
        <v>312000</v>
      </c>
      <c r="G117" s="544" t="s">
        <v>631</v>
      </c>
      <c r="H117" s="423">
        <f>C117/F117</f>
        <v>0.16025641025641027</v>
      </c>
      <c r="I117" s="413" t="s">
        <v>658</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668</v>
      </c>
      <c r="D119" s="431"/>
      <c r="E119" s="546"/>
      <c r="F119" s="431"/>
      <c r="G119" s="431"/>
      <c r="H119" s="431"/>
      <c r="I119" s="431"/>
      <c r="J119" s="431"/>
      <c r="K119" s="432"/>
      <c r="L119" s="403"/>
    </row>
    <row r="120" spans="1:12" ht="13.5">
      <c r="A120" s="403"/>
      <c r="B120" s="421" t="s">
        <v>660</v>
      </c>
      <c r="C120" s="843">
        <v>2500000</v>
      </c>
      <c r="D120" s="843"/>
      <c r="E120" s="544" t="s">
        <v>285</v>
      </c>
      <c r="F120" s="446">
        <v>0.25</v>
      </c>
      <c r="G120" s="544" t="s">
        <v>631</v>
      </c>
      <c r="H120" s="545">
        <f>C120*F120</f>
        <v>625000</v>
      </c>
      <c r="I120" s="413" t="s">
        <v>661</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662</v>
      </c>
      <c r="D122" s="431"/>
      <c r="E122" s="546"/>
      <c r="F122" s="431" t="s">
        <v>658</v>
      </c>
      <c r="G122" s="431"/>
      <c r="H122" s="431"/>
      <c r="I122" s="431"/>
      <c r="J122" s="431" t="s">
        <v>663</v>
      </c>
      <c r="K122" s="432"/>
      <c r="L122" s="403"/>
    </row>
    <row r="123" spans="1:12" ht="13.5">
      <c r="A123" s="403"/>
      <c r="B123" s="421" t="s">
        <v>664</v>
      </c>
      <c r="C123" s="844">
        <f>H120</f>
        <v>625000</v>
      </c>
      <c r="D123" s="844"/>
      <c r="E123" s="544" t="s">
        <v>285</v>
      </c>
      <c r="F123" s="423">
        <f>H117</f>
        <v>0.16025641025641027</v>
      </c>
      <c r="G123" s="544" t="s">
        <v>632</v>
      </c>
      <c r="H123" s="544">
        <v>1000</v>
      </c>
      <c r="I123" s="544" t="s">
        <v>631</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5" t="s">
        <v>623</v>
      </c>
      <c r="C125" s="845"/>
      <c r="D125" s="845"/>
      <c r="E125" s="845"/>
      <c r="F125" s="845"/>
      <c r="G125" s="845"/>
      <c r="H125" s="845"/>
      <c r="I125" s="845"/>
      <c r="J125" s="845"/>
      <c r="K125" s="845"/>
      <c r="L125" s="449"/>
    </row>
    <row r="126" spans="1:12" ht="13.5">
      <c r="A126" s="403"/>
      <c r="B126" s="840" t="s">
        <v>672</v>
      </c>
      <c r="C126" s="840"/>
      <c r="D126" s="840"/>
      <c r="E126" s="840"/>
      <c r="F126" s="840"/>
      <c r="G126" s="840"/>
      <c r="H126" s="840"/>
      <c r="I126" s="840"/>
      <c r="J126" s="840"/>
      <c r="K126" s="840"/>
      <c r="L126" s="449"/>
    </row>
    <row r="127" spans="1:12" ht="13.5">
      <c r="A127" s="403"/>
      <c r="B127" s="539"/>
      <c r="C127" s="539"/>
      <c r="D127" s="539"/>
      <c r="E127" s="539"/>
      <c r="F127" s="539"/>
      <c r="G127" s="539"/>
      <c r="H127" s="539"/>
      <c r="I127" s="539"/>
      <c r="J127" s="539"/>
      <c r="K127" s="539"/>
      <c r="L127" s="449"/>
    </row>
    <row r="128" spans="1:12" ht="13.5">
      <c r="A128" s="403"/>
      <c r="B128" s="840" t="s">
        <v>673</v>
      </c>
      <c r="C128" s="840"/>
      <c r="D128" s="840"/>
      <c r="E128" s="840"/>
      <c r="F128" s="840"/>
      <c r="G128" s="840"/>
      <c r="H128" s="840"/>
      <c r="I128" s="840"/>
      <c r="J128" s="840"/>
      <c r="K128" s="840"/>
      <c r="L128" s="449"/>
    </row>
    <row r="129" spans="1:12" ht="13.5">
      <c r="A129" s="403"/>
      <c r="B129" s="538"/>
      <c r="C129" s="538"/>
      <c r="D129" s="538"/>
      <c r="E129" s="538"/>
      <c r="F129" s="538"/>
      <c r="G129" s="538"/>
      <c r="H129" s="538"/>
      <c r="I129" s="538"/>
      <c r="J129" s="538"/>
      <c r="K129" s="538"/>
      <c r="L129" s="449"/>
    </row>
    <row r="130" spans="1:12" ht="74.25" customHeight="1">
      <c r="A130" s="403"/>
      <c r="B130" s="841" t="s">
        <v>674</v>
      </c>
      <c r="C130" s="841"/>
      <c r="D130" s="841"/>
      <c r="E130" s="841"/>
      <c r="F130" s="841"/>
      <c r="G130" s="841"/>
      <c r="H130" s="841"/>
      <c r="I130" s="841"/>
      <c r="J130" s="841"/>
      <c r="K130" s="841"/>
      <c r="L130" s="449"/>
    </row>
    <row r="131" spans="1:12" ht="14.25" thickBot="1">
      <c r="A131" s="403"/>
      <c r="L131" s="403"/>
    </row>
    <row r="132" spans="1:12" ht="13.5">
      <c r="A132" s="403"/>
      <c r="B132" s="409" t="s">
        <v>627</v>
      </c>
      <c r="C132" s="410"/>
      <c r="D132" s="410"/>
      <c r="E132" s="410"/>
      <c r="F132" s="410"/>
      <c r="G132" s="410"/>
      <c r="H132" s="410"/>
      <c r="I132" s="410"/>
      <c r="J132" s="410"/>
      <c r="K132" s="411"/>
      <c r="L132" s="403"/>
    </row>
    <row r="133" spans="1:12" ht="13.5">
      <c r="A133" s="403"/>
      <c r="B133" s="421"/>
      <c r="C133" s="842" t="s">
        <v>675</v>
      </c>
      <c r="D133" s="842"/>
      <c r="E133" s="413"/>
      <c r="F133" s="544" t="s">
        <v>676</v>
      </c>
      <c r="G133" s="413"/>
      <c r="H133" s="842" t="s">
        <v>661</v>
      </c>
      <c r="I133" s="842"/>
      <c r="J133" s="413"/>
      <c r="K133" s="415"/>
      <c r="L133" s="403"/>
    </row>
    <row r="134" spans="1:12" ht="13.5">
      <c r="A134" s="403"/>
      <c r="B134" s="421" t="s">
        <v>654</v>
      </c>
      <c r="C134" s="843">
        <v>100000</v>
      </c>
      <c r="D134" s="843"/>
      <c r="E134" s="544" t="s">
        <v>285</v>
      </c>
      <c r="F134" s="544">
        <v>0.115</v>
      </c>
      <c r="G134" s="544" t="s">
        <v>631</v>
      </c>
      <c r="H134" s="832">
        <f>C134*F134</f>
        <v>11500</v>
      </c>
      <c r="I134" s="832"/>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31" t="s">
        <v>661</v>
      </c>
      <c r="D136" s="831"/>
      <c r="E136" s="431"/>
      <c r="F136" s="546" t="s">
        <v>677</v>
      </c>
      <c r="G136" s="546"/>
      <c r="H136" s="431"/>
      <c r="I136" s="431"/>
      <c r="J136" s="431" t="s">
        <v>678</v>
      </c>
      <c r="K136" s="432"/>
      <c r="L136" s="403"/>
    </row>
    <row r="137" spans="1:12" ht="13.5">
      <c r="A137" s="403"/>
      <c r="B137" s="421" t="s">
        <v>657</v>
      </c>
      <c r="C137" s="832">
        <f>H134</f>
        <v>11500</v>
      </c>
      <c r="D137" s="832"/>
      <c r="E137" s="544" t="s">
        <v>285</v>
      </c>
      <c r="F137" s="450">
        <v>52.869</v>
      </c>
      <c r="G137" s="544" t="s">
        <v>632</v>
      </c>
      <c r="H137" s="544">
        <v>1000</v>
      </c>
      <c r="I137" s="544" t="s">
        <v>631</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3.5">
      <c r="A140" s="403"/>
      <c r="B140" s="461" t="s">
        <v>679</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680</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33" t="s">
        <v>681</v>
      </c>
      <c r="C144" s="834"/>
      <c r="D144" s="834"/>
      <c r="E144" s="834"/>
      <c r="F144" s="834"/>
      <c r="G144" s="834"/>
      <c r="H144" s="834"/>
      <c r="I144" s="834"/>
      <c r="J144" s="834"/>
      <c r="K144" s="835"/>
      <c r="L144" s="403"/>
    </row>
    <row r="145" spans="1:12" ht="14.25" thickBot="1">
      <c r="A145" s="403"/>
      <c r="B145" s="421"/>
      <c r="C145" s="545"/>
      <c r="D145" s="545"/>
      <c r="E145" s="544"/>
      <c r="F145" s="467"/>
      <c r="G145" s="544"/>
      <c r="H145" s="544"/>
      <c r="I145" s="544"/>
      <c r="J145" s="451"/>
      <c r="K145" s="415"/>
      <c r="L145" s="403"/>
    </row>
    <row r="146" spans="1:12" ht="13.5">
      <c r="A146" s="403"/>
      <c r="B146" s="409" t="s">
        <v>627</v>
      </c>
      <c r="C146" s="468"/>
      <c r="D146" s="468"/>
      <c r="E146" s="469"/>
      <c r="F146" s="470"/>
      <c r="G146" s="469"/>
      <c r="H146" s="469"/>
      <c r="I146" s="469"/>
      <c r="J146" s="471"/>
      <c r="K146" s="411"/>
      <c r="L146" s="403"/>
    </row>
    <row r="147" spans="1:12" ht="13.5">
      <c r="A147" s="403"/>
      <c r="B147" s="421"/>
      <c r="C147" s="832" t="s">
        <v>682</v>
      </c>
      <c r="D147" s="832"/>
      <c r="E147" s="544"/>
      <c r="F147" s="467" t="s">
        <v>683</v>
      </c>
      <c r="G147" s="544"/>
      <c r="H147" s="544"/>
      <c r="I147" s="544"/>
      <c r="J147" s="836" t="s">
        <v>684</v>
      </c>
      <c r="K147" s="837"/>
      <c r="L147" s="403"/>
    </row>
    <row r="148" spans="1:12" ht="13.5">
      <c r="A148" s="403"/>
      <c r="B148" s="421"/>
      <c r="C148" s="838">
        <v>52.869</v>
      </c>
      <c r="D148" s="838"/>
      <c r="E148" s="544" t="s">
        <v>285</v>
      </c>
      <c r="F148" s="540">
        <v>312000000</v>
      </c>
      <c r="G148" s="472" t="s">
        <v>632</v>
      </c>
      <c r="H148" s="544">
        <v>1000</v>
      </c>
      <c r="I148" s="544" t="s">
        <v>631</v>
      </c>
      <c r="J148" s="836">
        <f>C148*(F148/1000)</f>
        <v>16495128</v>
      </c>
      <c r="K148" s="839"/>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Plum Creek Township</v>
      </c>
      <c r="C1" s="22" t="s">
        <v>35</v>
      </c>
      <c r="D1" s="14"/>
      <c r="E1" s="15">
        <f>inputPrYr!D5</f>
        <v>2013</v>
      </c>
    </row>
    <row r="2" spans="2:5" ht="15">
      <c r="B2" s="17"/>
      <c r="C2" s="14"/>
      <c r="D2" s="14"/>
      <c r="E2" s="77"/>
    </row>
    <row r="3" spans="2:5" ht="15">
      <c r="B3" s="530" t="s">
        <v>714</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IF(inputPrYr!H15&gt;0,inputPrYr!G20,inputPrYr!E20)</f>
        <v>0</v>
      </c>
      <c r="E8" s="33" t="s">
        <v>285</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66</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2" t="str">
        <f>CONCATENATE("Desired Carryover Into ",E1+1,"")</f>
        <v>Desired Carryover Into 2014</v>
      </c>
      <c r="H24" s="863"/>
      <c r="I24" s="863"/>
      <c r="J24" s="864"/>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nhood!E10</f>
      </c>
      <c r="G30" s="580"/>
      <c r="H30" s="580"/>
      <c r="I30" s="580"/>
      <c r="J30" s="580"/>
      <c r="K30" s="580"/>
    </row>
    <row r="31" spans="2:11" ht="15">
      <c r="B31" s="35" t="s">
        <v>208</v>
      </c>
      <c r="C31" s="29"/>
      <c r="D31" s="29"/>
      <c r="E31" s="34"/>
      <c r="G31" s="862" t="str">
        <f>CONCATENATE("Projected Carryover Into ",E1+1,"")</f>
        <v>Projected Carryover Into 2014</v>
      </c>
      <c r="H31" s="865"/>
      <c r="I31" s="865"/>
      <c r="J31" s="866"/>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67" t="s">
        <v>818</v>
      </c>
      <c r="H41" s="868"/>
      <c r="I41" s="868"/>
      <c r="J41" s="869"/>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10.264</v>
      </c>
      <c r="H45" s="630" t="str">
        <f>CONCATENATE("Total ",E1," Mill Rate")</f>
        <v>Total 2013 Mill Rate</v>
      </c>
      <c r="I45" s="654"/>
      <c r="J45" s="655"/>
      <c r="K45" s="580"/>
    </row>
    <row r="46" spans="2:11" ht="15">
      <c r="B46" s="27" t="s">
        <v>114</v>
      </c>
      <c r="C46" s="29"/>
      <c r="D46" s="387">
        <f>C74</f>
        <v>0</v>
      </c>
      <c r="E46" s="32">
        <f>D74</f>
        <v>0</v>
      </c>
      <c r="G46" s="657">
        <f>summ!F22</f>
        <v>10.825</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IF(inputPrYr!H15&gt;0,inputPrYr!G21,inputPrYr!E21)</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96</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2" t="str">
        <f>CONCATENATE("Desired Carryover Into ",E1+1,"")</f>
        <v>Desired Carryover Into 2014</v>
      </c>
      <c r="H64" s="863"/>
      <c r="I64" s="863"/>
      <c r="J64" s="864"/>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nhood!E11</f>
      </c>
      <c r="G70" s="580"/>
      <c r="H70" s="580"/>
      <c r="I70" s="580"/>
      <c r="J70" s="580"/>
      <c r="K70" s="580"/>
    </row>
    <row r="71" spans="2:11" ht="15">
      <c r="B71" s="35" t="s">
        <v>208</v>
      </c>
      <c r="C71" s="29"/>
      <c r="D71" s="29"/>
      <c r="E71" s="34"/>
      <c r="G71" s="862" t="str">
        <f>CONCATENATE("Projected Carryover Into ",E1+1,"")</f>
        <v>Projected Carryover Into 2014</v>
      </c>
      <c r="H71" s="870"/>
      <c r="I71" s="870"/>
      <c r="J71" s="866"/>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619</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67" t="s">
        <v>818</v>
      </c>
      <c r="H81" s="868"/>
      <c r="I81" s="868"/>
      <c r="J81" s="869"/>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10.264</v>
      </c>
      <c r="H85" s="630" t="str">
        <f>CONCATENATE("Total ",E1," Mill Rate")</f>
        <v>Total 2013 Mill Rate</v>
      </c>
      <c r="I85" s="654"/>
      <c r="J85" s="655"/>
      <c r="K85" s="580"/>
    </row>
    <row r="86" spans="7:11" ht="15">
      <c r="G86" s="657">
        <f>summ!F22</f>
        <v>10.825</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Plum Creek Township</v>
      </c>
      <c r="C1" s="14"/>
      <c r="D1" s="14"/>
      <c r="E1" s="15">
        <f>inputPrYr!D5</f>
        <v>2013</v>
      </c>
    </row>
    <row r="2" spans="2:5" ht="15">
      <c r="B2" s="17"/>
      <c r="C2" s="14"/>
      <c r="D2" s="60"/>
      <c r="E2" s="81"/>
    </row>
    <row r="3" spans="2:5" ht="15">
      <c r="B3" s="530" t="s">
        <v>714</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IF(inputPrYr!H15&gt;0,inputPrYr!G22,inputPrYr!E22)</f>
        <v>0</v>
      </c>
      <c r="E8" s="33" t="s">
        <v>285</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96</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2" t="str">
        <f>CONCATENATE("Desired Carryover Into ",E1+1,"")</f>
        <v>Desired Carryover Into 2014</v>
      </c>
      <c r="H24" s="863"/>
      <c r="I24" s="863"/>
      <c r="J24" s="864"/>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nhood!E12</f>
      </c>
      <c r="G30" s="580"/>
      <c r="H30" s="580"/>
      <c r="I30" s="580"/>
      <c r="J30" s="580"/>
      <c r="K30" s="580"/>
    </row>
    <row r="31" spans="2:11" ht="15">
      <c r="B31" s="35" t="s">
        <v>208</v>
      </c>
      <c r="C31" s="29"/>
      <c r="D31" s="29"/>
      <c r="E31" s="34"/>
      <c r="G31" s="862" t="str">
        <f>CONCATENATE("Projected Carryover Into ",E1+1,"")</f>
        <v>Projected Carryover Into 2014</v>
      </c>
      <c r="H31" s="865"/>
      <c r="I31" s="865"/>
      <c r="J31" s="866"/>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67" t="s">
        <v>818</v>
      </c>
      <c r="H41" s="868"/>
      <c r="I41" s="868"/>
      <c r="J41" s="869"/>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10.264</v>
      </c>
      <c r="H45" s="630" t="str">
        <f>CONCATENATE("Total ",E1," Mill Rate")</f>
        <v>Total 2013 Mill Rate</v>
      </c>
      <c r="I45" s="654"/>
      <c r="J45" s="655"/>
      <c r="K45" s="580"/>
    </row>
    <row r="46" spans="2:11" ht="15">
      <c r="B46" s="27" t="s">
        <v>114</v>
      </c>
      <c r="C46" s="29"/>
      <c r="D46" s="387">
        <f>C74</f>
        <v>0</v>
      </c>
      <c r="E46" s="32">
        <f>D74</f>
        <v>0</v>
      </c>
      <c r="G46" s="657">
        <f>summ!F22</f>
        <v>10.825</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IF(inputPrYr!H15&gt;0,inputPrYr!G23,inputPrYr!E23)</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96</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2" t="str">
        <f>CONCATENATE("Desired Carryover Into ",E1+1,"")</f>
        <v>Desired Carryover Into 2014</v>
      </c>
      <c r="H64" s="863"/>
      <c r="I64" s="863"/>
      <c r="J64" s="864"/>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nhood!E13</f>
      </c>
      <c r="G70" s="580"/>
      <c r="H70" s="580"/>
      <c r="I70" s="580"/>
      <c r="J70" s="580"/>
      <c r="K70" s="580"/>
    </row>
    <row r="71" spans="2:11" ht="15">
      <c r="B71" s="35" t="s">
        <v>208</v>
      </c>
      <c r="C71" s="29"/>
      <c r="D71" s="29"/>
      <c r="E71" s="34"/>
      <c r="G71" s="862" t="str">
        <f>CONCATENATE("Projected Carryover Into ",E1+1,"")</f>
        <v>Projected Carryover Into 2014</v>
      </c>
      <c r="H71" s="870"/>
      <c r="I71" s="870"/>
      <c r="J71" s="866"/>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619</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67" t="s">
        <v>818</v>
      </c>
      <c r="H81" s="868"/>
      <c r="I81" s="868"/>
      <c r="J81" s="869"/>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10.264</v>
      </c>
      <c r="H85" s="630" t="str">
        <f>CONCATENATE("Total ",E1," Mill Rate")</f>
        <v>Total 2013 Mill Rate</v>
      </c>
      <c r="I85" s="654"/>
      <c r="J85" s="655"/>
      <c r="K85" s="580"/>
    </row>
    <row r="86" spans="7:11" ht="15">
      <c r="G86" s="657">
        <f>summ!F22</f>
        <v>10.825</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Plum Creek Township</v>
      </c>
      <c r="C1" s="14"/>
      <c r="D1" s="14"/>
      <c r="E1" s="15">
        <f>inputPrYr!D5</f>
        <v>2013</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IF(inputPrYr!H15&gt;0,inputPrYr!G24,inputPrYr!E24)</f>
        <v>0</v>
      </c>
      <c r="E8" s="33" t="s">
        <v>285</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96</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2" t="str">
        <f>CONCATENATE("Desired Carryover Into ",E1+1,"")</f>
        <v>Desired Carryover Into 2014</v>
      </c>
      <c r="H24" s="863"/>
      <c r="I24" s="863"/>
      <c r="J24" s="864"/>
      <c r="K24" s="580"/>
    </row>
    <row r="25" spans="2:11" ht="15">
      <c r="B25" s="38"/>
      <c r="C25" s="29"/>
      <c r="D25" s="29"/>
      <c r="E25" s="34"/>
      <c r="G25" s="611"/>
      <c r="H25" s="612"/>
      <c r="I25" s="613"/>
      <c r="J25" s="614"/>
      <c r="K25" s="580"/>
    </row>
    <row r="26" spans="2:11" ht="15">
      <c r="B26" s="29"/>
      <c r="C26" s="29"/>
      <c r="D26" s="29"/>
      <c r="E26" s="34"/>
      <c r="G26" s="615" t="s">
        <v>710</v>
      </c>
      <c r="H26" s="613"/>
      <c r="I26" s="613"/>
      <c r="J26" s="616">
        <v>0</v>
      </c>
      <c r="K26" s="580"/>
    </row>
    <row r="27" spans="2:11" ht="15">
      <c r="B27" s="29"/>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nhood!E14</f>
      </c>
      <c r="G30" s="580"/>
      <c r="H30" s="580"/>
      <c r="I30" s="580"/>
      <c r="J30" s="580"/>
      <c r="K30" s="580"/>
    </row>
    <row r="31" spans="2:11" ht="15">
      <c r="B31" s="35" t="s">
        <v>208</v>
      </c>
      <c r="C31" s="29"/>
      <c r="D31" s="29"/>
      <c r="E31" s="34"/>
      <c r="G31" s="862" t="str">
        <f>CONCATENATE("Projected Carryover Into ",E1+1,"")</f>
        <v>Projected Carryover Into 2014</v>
      </c>
      <c r="H31" s="865"/>
      <c r="I31" s="865"/>
      <c r="J31" s="866"/>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67" t="s">
        <v>818</v>
      </c>
      <c r="H41" s="868"/>
      <c r="I41" s="868"/>
      <c r="J41" s="869"/>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10.264</v>
      </c>
      <c r="H45" s="630" t="str">
        <f>CONCATENATE("Total ",E1," Mill Rate")</f>
        <v>Total 2013 Mill Rate</v>
      </c>
      <c r="I45" s="654"/>
      <c r="J45" s="655"/>
      <c r="K45" s="580"/>
    </row>
    <row r="46" spans="2:11" ht="15">
      <c r="B46" s="27" t="s">
        <v>114</v>
      </c>
      <c r="C46" s="29"/>
      <c r="D46" s="387">
        <f>C74</f>
        <v>0</v>
      </c>
      <c r="E46" s="32">
        <f>D74</f>
        <v>0</v>
      </c>
      <c r="G46" s="657">
        <f>summ!F22</f>
        <v>10.825</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IF(inputPrYr!H15&gt;0,inputPrYr!G25,inputPrYr!E25)</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96</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2" t="str">
        <f>CONCATENATE("Desired Carryover Into ",E1+1,"")</f>
        <v>Desired Carryover Into 2014</v>
      </c>
      <c r="H64" s="863"/>
      <c r="I64" s="863"/>
      <c r="J64" s="864"/>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nhood!E15</f>
      </c>
      <c r="G70" s="580"/>
      <c r="H70" s="580"/>
      <c r="I70" s="580"/>
      <c r="J70" s="580"/>
      <c r="K70" s="580"/>
    </row>
    <row r="71" spans="2:11" ht="15">
      <c r="B71" s="35" t="s">
        <v>208</v>
      </c>
      <c r="C71" s="29"/>
      <c r="D71" s="29"/>
      <c r="E71" s="34"/>
      <c r="G71" s="862" t="str">
        <f>CONCATENATE("Projected Carryover Into ",E1+1,"")</f>
        <v>Projected Carryover Into 2014</v>
      </c>
      <c r="H71" s="870"/>
      <c r="I71" s="870"/>
      <c r="J71" s="866"/>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619</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67" t="s">
        <v>818</v>
      </c>
      <c r="H81" s="868"/>
      <c r="I81" s="868"/>
      <c r="J81" s="869"/>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10.264</v>
      </c>
      <c r="H85" s="630" t="str">
        <f>CONCATENATE("Total ",E1," Mill Rate")</f>
        <v>Total 2013 Mill Rate</v>
      </c>
      <c r="I85" s="654"/>
      <c r="J85" s="655"/>
      <c r="K85" s="580"/>
    </row>
    <row r="86" spans="7:11" ht="15">
      <c r="G86" s="657">
        <f>summ!F22</f>
        <v>10.825</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Plum Creek Township</v>
      </c>
      <c r="C1" s="14"/>
      <c r="D1" s="14"/>
      <c r="E1" s="15">
        <f>inputPrYr!D5</f>
        <v>2013</v>
      </c>
    </row>
    <row r="2" spans="2:5" ht="15">
      <c r="B2" s="14"/>
      <c r="C2" s="14"/>
      <c r="D2" s="14"/>
      <c r="E2" s="52"/>
    </row>
    <row r="3" spans="2:5" ht="15">
      <c r="B3" s="17" t="s">
        <v>138</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139</v>
      </c>
      <c r="C6" s="34"/>
      <c r="D6" s="32">
        <f>C29</f>
        <v>0</v>
      </c>
      <c r="E6" s="32">
        <f>D29</f>
        <v>0</v>
      </c>
    </row>
    <row r="7" spans="2:5" s="16" customFormat="1" ht="15">
      <c r="B7" s="83" t="s">
        <v>116</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208</v>
      </c>
      <c r="C13" s="34"/>
      <c r="D13" s="30"/>
      <c r="E13" s="30"/>
    </row>
    <row r="14" spans="2:5" ht="15">
      <c r="B14" s="39" t="s">
        <v>209</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208</v>
      </c>
      <c r="C26" s="34"/>
      <c r="D26" s="30"/>
      <c r="E26" s="30"/>
    </row>
    <row r="27" spans="2:5" ht="15">
      <c r="B27" s="35" t="s">
        <v>617</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115</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139</v>
      </c>
      <c r="C37" s="34"/>
      <c r="D37" s="32">
        <f>C60</f>
        <v>0</v>
      </c>
      <c r="E37" s="32">
        <f>D60</f>
        <v>0</v>
      </c>
    </row>
    <row r="38" spans="2:5" s="16" customFormat="1" ht="15">
      <c r="B38" s="82" t="s">
        <v>116</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208</v>
      </c>
      <c r="C44" s="34"/>
      <c r="D44" s="30"/>
      <c r="E44" s="30"/>
    </row>
    <row r="45" spans="2:5" ht="15">
      <c r="B45" s="39" t="s">
        <v>209</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208</v>
      </c>
      <c r="C57" s="34"/>
      <c r="D57" s="30"/>
      <c r="E57" s="30"/>
    </row>
    <row r="58" spans="2:5" ht="15">
      <c r="B58" s="35" t="s">
        <v>617</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115</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Plum Creek Township</v>
      </c>
      <c r="C1" s="577"/>
      <c r="D1" s="578"/>
      <c r="E1" s="579">
        <f>inputPrYr!D5</f>
        <v>2013</v>
      </c>
    </row>
    <row r="2" spans="2:5" ht="15">
      <c r="B2" s="578"/>
      <c r="C2" s="578"/>
      <c r="D2" s="578"/>
      <c r="E2" s="581"/>
    </row>
    <row r="3" spans="2:5" ht="15">
      <c r="B3" s="530" t="s">
        <v>714</v>
      </c>
      <c r="C3" s="530"/>
      <c r="D3" s="582"/>
      <c r="E3" s="583"/>
    </row>
    <row r="4" spans="2:5" ht="15">
      <c r="B4" s="584" t="s">
        <v>10</v>
      </c>
      <c r="C4" s="585" t="s">
        <v>814</v>
      </c>
      <c r="D4" s="586" t="s">
        <v>815</v>
      </c>
      <c r="E4" s="587" t="s">
        <v>816</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139</v>
      </c>
      <c r="C6" s="593"/>
      <c r="D6" s="594">
        <f>C34</f>
        <v>0</v>
      </c>
      <c r="E6" s="595">
        <f>D34</f>
        <v>20645</v>
      </c>
    </row>
    <row r="7" spans="2:5" ht="15">
      <c r="B7" s="592" t="s">
        <v>116</v>
      </c>
      <c r="C7" s="596"/>
      <c r="D7" s="594"/>
      <c r="E7" s="595"/>
    </row>
    <row r="8" spans="2:5" ht="15">
      <c r="B8" s="592" t="s">
        <v>16</v>
      </c>
      <c r="C8" s="597"/>
      <c r="D8" s="594">
        <f>IF(inputPrYr!H15&gt;0,inputPrYr!G19,inputPrYr!E19)</f>
        <v>20645</v>
      </c>
      <c r="E8" s="598" t="s">
        <v>285</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96</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208</v>
      </c>
      <c r="C18" s="605"/>
      <c r="D18" s="599"/>
      <c r="E18" s="600"/>
    </row>
    <row r="19" spans="2:5" ht="15">
      <c r="B19" s="592" t="s">
        <v>820</v>
      </c>
      <c r="C19" s="606">
        <f>IF(C20*0.1&lt;C18,"Exceed 10% Rule","")</f>
      </c>
      <c r="D19" s="606">
        <f>IF(D20*0.1&lt;D18,"Exceeds 10% Rule","")</f>
      </c>
      <c r="E19" s="607">
        <f>IF(E20*0.1&lt;E18,"Exceed 10% Rule","")</f>
      </c>
    </row>
    <row r="20" spans="2:5" ht="15">
      <c r="B20" s="608" t="s">
        <v>23</v>
      </c>
      <c r="C20" s="609">
        <f>SUM(C8:C18)</f>
        <v>0</v>
      </c>
      <c r="D20" s="609">
        <f>SUM(D8:D18)</f>
        <v>20645</v>
      </c>
      <c r="E20" s="610">
        <f>SUM(E9:E18)</f>
        <v>0</v>
      </c>
    </row>
    <row r="21" spans="2:5" ht="15">
      <c r="B21" s="608" t="s">
        <v>24</v>
      </c>
      <c r="C21" s="609">
        <f>C6+C20</f>
        <v>0</v>
      </c>
      <c r="D21" s="609">
        <f>D6+D20</f>
        <v>20645</v>
      </c>
      <c r="E21" s="610">
        <f>E6+E20</f>
        <v>20645</v>
      </c>
    </row>
    <row r="22" spans="2:5" ht="15">
      <c r="B22" s="592" t="s">
        <v>25</v>
      </c>
      <c r="C22" s="592"/>
      <c r="D22" s="594"/>
      <c r="E22" s="595"/>
    </row>
    <row r="23" spans="2:5" ht="15">
      <c r="B23" s="602"/>
      <c r="C23" s="597"/>
      <c r="D23" s="599"/>
      <c r="E23" s="600"/>
    </row>
    <row r="24" spans="2:10" ht="15">
      <c r="B24" s="602"/>
      <c r="C24" s="597"/>
      <c r="D24" s="599"/>
      <c r="E24" s="600"/>
      <c r="G24" s="862" t="str">
        <f>CONCATENATE("Desired Carryover Into ",E1+1,"")</f>
        <v>Desired Carryover Into 2014</v>
      </c>
      <c r="H24" s="863"/>
      <c r="I24" s="863"/>
      <c r="J24" s="864"/>
    </row>
    <row r="25" spans="2:10" ht="15">
      <c r="B25" s="602"/>
      <c r="C25" s="599"/>
      <c r="D25" s="599"/>
      <c r="E25" s="600"/>
      <c r="G25" s="611"/>
      <c r="H25" s="612"/>
      <c r="I25" s="613"/>
      <c r="J25" s="614"/>
    </row>
    <row r="26" spans="2:10" ht="15">
      <c r="B26" s="602"/>
      <c r="C26" s="597"/>
      <c r="D26" s="599"/>
      <c r="E26" s="600"/>
      <c r="G26" s="615" t="s">
        <v>710</v>
      </c>
      <c r="H26" s="613"/>
      <c r="I26" s="613"/>
      <c r="J26" s="616">
        <v>0</v>
      </c>
    </row>
    <row r="27" spans="2:10" ht="15">
      <c r="B27" s="602"/>
      <c r="C27" s="597"/>
      <c r="D27" s="599"/>
      <c r="E27" s="600"/>
      <c r="G27" s="611" t="s">
        <v>711</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817</v>
      </c>
      <c r="H29" s="623"/>
      <c r="I29" s="623"/>
      <c r="J29" s="624">
        <f>IF(J26&gt;0,J28-E37,0)</f>
        <v>0</v>
      </c>
    </row>
    <row r="30" spans="2:5" ht="15">
      <c r="B30" s="625" t="s">
        <v>210</v>
      </c>
      <c r="C30" s="597"/>
      <c r="D30" s="599"/>
      <c r="E30" s="595">
        <f>nhood!E7</f>
      </c>
    </row>
    <row r="31" spans="2:10" ht="15">
      <c r="B31" s="625" t="s">
        <v>208</v>
      </c>
      <c r="C31" s="605"/>
      <c r="D31" s="599"/>
      <c r="E31" s="600"/>
      <c r="G31" s="862" t="str">
        <f>CONCATENATE("Projected Carryover Into ",E1+1,"")</f>
        <v>Projected Carryover Into 2014</v>
      </c>
      <c r="H31" s="865"/>
      <c r="I31" s="865"/>
      <c r="J31" s="866"/>
    </row>
    <row r="32" spans="2:10" ht="15">
      <c r="B32" s="625" t="s">
        <v>617</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20645</v>
      </c>
      <c r="H33" s="630" t="str">
        <f>CONCATENATE("",E1-1," Ending Cash Balance (est.)")</f>
        <v>2012 Ending Cash Balance (est.)</v>
      </c>
      <c r="I33" s="631"/>
      <c r="J33" s="626"/>
    </row>
    <row r="34" spans="2:10" ht="15">
      <c r="B34" s="592" t="s">
        <v>115</v>
      </c>
      <c r="C34" s="632">
        <f>C21-C33</f>
        <v>0</v>
      </c>
      <c r="D34" s="632">
        <f>D21-D33</f>
        <v>20645</v>
      </c>
      <c r="E34" s="598" t="s">
        <v>285</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285</v>
      </c>
      <c r="F35" s="637"/>
      <c r="G35" s="638">
        <f>IF(E39&gt;0,E38,E40)</f>
        <v>0</v>
      </c>
      <c r="H35" s="613" t="str">
        <f>CONCATENATE("",E1," Ad Valorem Tax (est.)")</f>
        <v>2013 Ad Valorem Tax (est.)</v>
      </c>
      <c r="I35" s="613"/>
      <c r="J35" s="736"/>
      <c r="K35" s="737">
        <f>IF(G35=E40,"","Note: Does not include Delinquent Taxes")</f>
      </c>
    </row>
    <row r="36" spans="2:10" ht="15">
      <c r="B36" s="634"/>
      <c r="C36" s="794" t="s">
        <v>618</v>
      </c>
      <c r="D36" s="795"/>
      <c r="E36" s="600"/>
      <c r="F36" s="640">
        <f>IF(E33/0.95-E33&lt;E36,"Exceeds 5%","")</f>
      </c>
      <c r="G36" s="629">
        <f>SUM(G33:G35)</f>
        <v>20645</v>
      </c>
      <c r="H36" s="613" t="str">
        <f>CONCATENATE("Total ",E1," Resources Available")</f>
        <v>Total 2013 Resources Available</v>
      </c>
      <c r="I36" s="631"/>
      <c r="J36" s="626"/>
    </row>
    <row r="37" spans="2:10" ht="15">
      <c r="B37" s="641" t="str">
        <f>CONCATENATE(C93,"     ",D93)</f>
        <v>     </v>
      </c>
      <c r="C37" s="796" t="s">
        <v>619</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620</v>
      </c>
      <c r="D39" s="645">
        <f>inputOth!E40</f>
        <v>0</v>
      </c>
      <c r="E39" s="595">
        <f>ROUND(IF(D39&gt;0,(E38*D39),0),0)</f>
        <v>0</v>
      </c>
      <c r="F39" s="633"/>
      <c r="G39" s="646">
        <f>G36-G38</f>
        <v>20645</v>
      </c>
      <c r="H39" s="647" t="str">
        <f>CONCATENATE("Projected ",E1+1," carryover (est.)")</f>
        <v>Projected 2014 carryover (est.)</v>
      </c>
      <c r="I39" s="648"/>
      <c r="J39" s="649"/>
    </row>
    <row r="40" spans="2:6" ht="15.75" thickBot="1">
      <c r="B40" s="578"/>
      <c r="C40" s="871" t="str">
        <f>CONCATENATE("Amount of  ",E1-1," Ad Valorem Tax")</f>
        <v>Amount of  2012 Ad Valorem Tax</v>
      </c>
      <c r="D40" s="872"/>
      <c r="E40" s="651">
        <f>SUM(E38:E39)</f>
        <v>0</v>
      </c>
      <c r="F40" s="633"/>
    </row>
    <row r="41" spans="2:10" ht="15.75" thickTop="1">
      <c r="B41" s="578"/>
      <c r="C41" s="871"/>
      <c r="D41" s="872"/>
      <c r="E41" s="652"/>
      <c r="F41" s="633"/>
      <c r="G41" s="867" t="s">
        <v>818</v>
      </c>
      <c r="H41" s="868"/>
      <c r="I41" s="868"/>
      <c r="J41" s="869"/>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814</v>
      </c>
      <c r="D44" s="586" t="s">
        <v>815</v>
      </c>
      <c r="E44" s="587" t="s">
        <v>816</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10.264</v>
      </c>
      <c r="H45" s="630" t="str">
        <f>CONCATENATE("Total ",E1," Mill Rate")</f>
        <v>Total 2013 Mill Rate</v>
      </c>
      <c r="I45" s="654"/>
      <c r="J45" s="655"/>
    </row>
    <row r="46" spans="2:10" ht="15">
      <c r="B46" s="592" t="s">
        <v>139</v>
      </c>
      <c r="C46" s="597">
        <v>0</v>
      </c>
      <c r="D46" s="594">
        <f>C74</f>
        <v>0</v>
      </c>
      <c r="E46" s="595">
        <f>D74</f>
        <v>0</v>
      </c>
      <c r="F46" s="633"/>
      <c r="G46" s="657">
        <f>summ!F22</f>
        <v>10.825</v>
      </c>
      <c r="H46" s="660" t="str">
        <f>CONCATENATE("Total ",E1-1," Mill Rate")</f>
        <v>Total 2012 Mill Rate</v>
      </c>
      <c r="I46" s="661"/>
      <c r="J46" s="662"/>
    </row>
    <row r="47" spans="2:6" ht="15">
      <c r="B47" s="663" t="s">
        <v>116</v>
      </c>
      <c r="C47" s="592"/>
      <c r="D47" s="594"/>
      <c r="E47" s="595"/>
      <c r="F47" s="633"/>
    </row>
    <row r="48" spans="2:6" ht="15">
      <c r="B48" s="592" t="s">
        <v>16</v>
      </c>
      <c r="C48" s="605"/>
      <c r="D48" s="594">
        <f>IF(inputPrYr!H15&gt;0,inputPrYr!G20,inputPrYr!E20)</f>
        <v>0</v>
      </c>
      <c r="E48" s="598" t="s">
        <v>285</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96</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208</v>
      </c>
      <c r="C58" s="605"/>
      <c r="D58" s="605"/>
      <c r="E58" s="664"/>
    </row>
    <row r="59" spans="2:5" ht="15">
      <c r="B59" s="592" t="s">
        <v>820</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2" t="str">
        <f>CONCATENATE("Desired Carryover Into ",E1+1,"")</f>
        <v>Desired Carryover Into 2014</v>
      </c>
      <c r="H64" s="863"/>
      <c r="I64" s="863"/>
      <c r="J64" s="864"/>
    </row>
    <row r="65" spans="2:10" ht="15">
      <c r="B65" s="602"/>
      <c r="C65" s="597"/>
      <c r="D65" s="599"/>
      <c r="E65" s="600"/>
      <c r="G65" s="611"/>
      <c r="H65" s="612"/>
      <c r="I65" s="613"/>
      <c r="J65" s="614"/>
    </row>
    <row r="66" spans="2:10" ht="15">
      <c r="B66" s="602"/>
      <c r="C66" s="597"/>
      <c r="D66" s="599"/>
      <c r="E66" s="600"/>
      <c r="G66" s="615" t="s">
        <v>710</v>
      </c>
      <c r="H66" s="613"/>
      <c r="I66" s="613"/>
      <c r="J66" s="616">
        <v>0</v>
      </c>
    </row>
    <row r="67" spans="2:10" ht="15">
      <c r="B67" s="602"/>
      <c r="C67" s="597"/>
      <c r="D67" s="599"/>
      <c r="E67" s="600"/>
      <c r="G67" s="611" t="s">
        <v>711</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817</v>
      </c>
      <c r="H69" s="623"/>
      <c r="I69" s="623"/>
      <c r="J69" s="624">
        <f>IF(J66&gt;0,J68-E77,0)</f>
        <v>0</v>
      </c>
    </row>
    <row r="70" spans="2:6" ht="15">
      <c r="B70" s="601" t="s">
        <v>210</v>
      </c>
      <c r="C70" s="597"/>
      <c r="D70" s="599"/>
      <c r="E70" s="595">
        <f>nhood!E8</f>
      </c>
      <c r="F70" s="633"/>
    </row>
    <row r="71" spans="2:10" ht="15">
      <c r="B71" s="601" t="s">
        <v>208</v>
      </c>
      <c r="C71" s="605"/>
      <c r="D71" s="599"/>
      <c r="E71" s="600"/>
      <c r="F71" s="633"/>
      <c r="G71" s="862" t="str">
        <f>CONCATENATE("Projected Carryover Into ",E1+1,"")</f>
        <v>Projected Carryover Into 2014</v>
      </c>
      <c r="H71" s="870"/>
      <c r="I71" s="870"/>
      <c r="J71" s="866"/>
    </row>
    <row r="72" spans="2:10" ht="15">
      <c r="B72" s="601" t="s">
        <v>617</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115</v>
      </c>
      <c r="C74" s="632">
        <f>C61-C73</f>
        <v>0</v>
      </c>
      <c r="D74" s="632">
        <f>D61-D73</f>
        <v>0</v>
      </c>
      <c r="E74" s="598" t="s">
        <v>285</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285</v>
      </c>
      <c r="F75" s="637"/>
      <c r="G75" s="638">
        <f>IF(E79&gt;0,E78,E80)</f>
        <v>0</v>
      </c>
      <c r="H75" s="613" t="str">
        <f>CONCATENATE("",E1," Ad Valorem Tax (est.)")</f>
        <v>2013 Ad Valorem Tax (est.)</v>
      </c>
      <c r="I75" s="631"/>
      <c r="J75" s="666"/>
      <c r="K75" s="639">
        <f>IF(G75=E80,"","Note: Does not include Delinquent Taxes")</f>
      </c>
    </row>
    <row r="76" spans="2:10" ht="15">
      <c r="B76" s="634"/>
      <c r="C76" s="794" t="s">
        <v>618</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619</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620</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1" t="str">
        <f>CONCATENATE("Amount of  ",E1-1," Ad Valorem Tax")</f>
        <v>Amount of  2012 Ad Valorem Tax</v>
      </c>
      <c r="D80" s="872"/>
      <c r="E80" s="651">
        <f>E78+E79</f>
        <v>0</v>
      </c>
      <c r="F80" s="674" t="e">
        <f>IF('Library Grant'!F33="","",IF('Library Grant'!F33="Qualify","Qualifies for State Library Grant","See 'Library Grant' tab"))</f>
        <v>#REF!</v>
      </c>
    </row>
    <row r="81" spans="2:10" ht="15.75" thickTop="1">
      <c r="B81" s="581"/>
      <c r="C81" s="871"/>
      <c r="D81" s="872"/>
      <c r="E81" s="652"/>
      <c r="F81" s="633"/>
      <c r="G81" s="867" t="s">
        <v>818</v>
      </c>
      <c r="H81" s="868"/>
      <c r="I81" s="868"/>
      <c r="J81" s="869"/>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10.264</v>
      </c>
      <c r="H85" s="630" t="str">
        <f>CONCATENATE("Total ",E1," Mill Rate")</f>
        <v>Total 2013 Mill Rate</v>
      </c>
      <c r="I85" s="654"/>
      <c r="J85" s="655"/>
    </row>
    <row r="86" spans="7:10" ht="15">
      <c r="G86" s="657">
        <f>summ!F22</f>
        <v>10.825</v>
      </c>
      <c r="H86" s="660" t="str">
        <f>CONCATENATE("Total ",E1-1," Mill Rate")</f>
        <v>Total 2012 Mill Rate</v>
      </c>
      <c r="I86" s="661"/>
      <c r="J86" s="662"/>
    </row>
    <row r="87" spans="7:10" ht="15">
      <c r="G87" s="676"/>
      <c r="H87" s="676"/>
      <c r="I87" s="676"/>
      <c r="J87" s="676"/>
    </row>
    <row r="88" spans="3:4" ht="15">
      <c r="C88" s="677" t="s">
        <v>819</v>
      </c>
      <c r="D88" s="677" t="s">
        <v>819</v>
      </c>
    </row>
    <row r="89" spans="3:4" ht="15">
      <c r="C89" s="677" t="s">
        <v>819</v>
      </c>
      <c r="D89" s="677" t="s">
        <v>819</v>
      </c>
    </row>
    <row r="91" spans="3:4" ht="15">
      <c r="C91" s="677" t="s">
        <v>819</v>
      </c>
      <c r="D91" s="677" t="s">
        <v>819</v>
      </c>
    </row>
    <row r="92" spans="3:4" ht="15">
      <c r="C92" s="677" t="s">
        <v>819</v>
      </c>
      <c r="D92" s="677" t="s">
        <v>819</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Plum Creek Township</v>
      </c>
      <c r="B1" s="88"/>
      <c r="C1" s="89"/>
      <c r="D1" s="89"/>
      <c r="E1" s="89"/>
      <c r="F1" s="90" t="s">
        <v>321</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322</v>
      </c>
      <c r="B3" s="89"/>
      <c r="C3" s="89"/>
      <c r="D3" s="89"/>
      <c r="E3" s="89"/>
      <c r="F3" s="88"/>
      <c r="G3" s="89"/>
      <c r="H3" s="89"/>
      <c r="I3" s="89"/>
      <c r="J3" s="89"/>
      <c r="K3" s="89"/>
    </row>
    <row r="4" spans="1:11" ht="15">
      <c r="A4" s="89" t="s">
        <v>323</v>
      </c>
      <c r="B4" s="89"/>
      <c r="C4" s="89" t="s">
        <v>324</v>
      </c>
      <c r="D4" s="89"/>
      <c r="E4" s="89" t="s">
        <v>325</v>
      </c>
      <c r="F4" s="88"/>
      <c r="G4" s="89" t="s">
        <v>326</v>
      </c>
      <c r="H4" s="89"/>
      <c r="I4" s="89" t="s">
        <v>327</v>
      </c>
      <c r="J4" s="89"/>
      <c r="K4" s="89"/>
    </row>
    <row r="5" spans="1:11" ht="15">
      <c r="A5" s="873">
        <f>inputPrYr!B34</f>
        <v>0</v>
      </c>
      <c r="B5" s="874"/>
      <c r="C5" s="873">
        <f>inputPrYr!B35</f>
        <v>0</v>
      </c>
      <c r="D5" s="874"/>
      <c r="E5" s="873">
        <f>inputPrYr!B36</f>
        <v>0</v>
      </c>
      <c r="F5" s="874"/>
      <c r="G5" s="875">
        <f>inputPrYr!B37</f>
        <v>0</v>
      </c>
      <c r="H5" s="874"/>
      <c r="I5" s="875">
        <f>inputPrYr!B38</f>
        <v>0</v>
      </c>
      <c r="J5" s="874"/>
      <c r="K5" s="93"/>
    </row>
    <row r="6" spans="1:11" ht="15">
      <c r="A6" s="94" t="s">
        <v>328</v>
      </c>
      <c r="B6" s="95"/>
      <c r="C6" s="96" t="s">
        <v>328</v>
      </c>
      <c r="D6" s="97"/>
      <c r="E6" s="96" t="s">
        <v>328</v>
      </c>
      <c r="F6" s="98"/>
      <c r="G6" s="96" t="s">
        <v>328</v>
      </c>
      <c r="H6" s="92"/>
      <c r="I6" s="96" t="s">
        <v>328</v>
      </c>
      <c r="J6" s="89"/>
      <c r="K6" s="99" t="s">
        <v>271</v>
      </c>
    </row>
    <row r="7" spans="1:11" ht="15">
      <c r="A7" s="100" t="s">
        <v>329</v>
      </c>
      <c r="B7" s="101"/>
      <c r="C7" s="102" t="s">
        <v>329</v>
      </c>
      <c r="D7" s="101"/>
      <c r="E7" s="102" t="s">
        <v>329</v>
      </c>
      <c r="F7" s="101"/>
      <c r="G7" s="102" t="s">
        <v>329</v>
      </c>
      <c r="H7" s="101"/>
      <c r="I7" s="102" t="s">
        <v>329</v>
      </c>
      <c r="J7" s="101"/>
      <c r="K7" s="103">
        <f>SUM(B7+D7+F7+H7+J7)</f>
        <v>0</v>
      </c>
    </row>
    <row r="8" spans="1:11" ht="15">
      <c r="A8" s="104" t="s">
        <v>116</v>
      </c>
      <c r="B8" s="105"/>
      <c r="C8" s="104" t="s">
        <v>116</v>
      </c>
      <c r="D8" s="106"/>
      <c r="E8" s="104" t="s">
        <v>116</v>
      </c>
      <c r="F8" s="88"/>
      <c r="G8" s="104" t="s">
        <v>116</v>
      </c>
      <c r="H8" s="89"/>
      <c r="I8" s="104" t="s">
        <v>116</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
      <c r="A31" s="89"/>
      <c r="B31" s="119"/>
      <c r="C31" s="89"/>
      <c r="D31" s="88"/>
      <c r="E31" s="89"/>
      <c r="F31" s="89"/>
      <c r="G31" s="120" t="s">
        <v>332</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F23" sqref="F23:H23"/>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
      <c r="A3" s="162"/>
    </row>
    <row r="4" ht="56.25" customHeight="1">
      <c r="A4" s="161" t="s">
        <v>341</v>
      </c>
    </row>
    <row r="5" ht="15">
      <c r="A5" s="79"/>
    </row>
    <row r="6" ht="50.25" customHeight="1">
      <c r="A6" s="161" t="s">
        <v>342</v>
      </c>
    </row>
    <row r="7" ht="16.5" customHeight="1">
      <c r="A7" s="161"/>
    </row>
    <row r="8" ht="50.25" customHeight="1">
      <c r="A8" s="482" t="s">
        <v>709</v>
      </c>
    </row>
    <row r="9" ht="15">
      <c r="A9" s="162"/>
    </row>
    <row r="10" ht="40.5" customHeight="1">
      <c r="A10" s="161" t="s">
        <v>343</v>
      </c>
    </row>
    <row r="11" ht="15">
      <c r="A11" s="79"/>
    </row>
    <row r="12" ht="40.5" customHeight="1">
      <c r="A12" s="161" t="s">
        <v>344</v>
      </c>
    </row>
    <row r="13" ht="15">
      <c r="A13" s="162"/>
    </row>
    <row r="14" ht="71.25" customHeight="1">
      <c r="A14" s="161" t="s">
        <v>345</v>
      </c>
    </row>
    <row r="15" ht="15">
      <c r="A15" s="162"/>
    </row>
    <row r="16" ht="40.5" customHeight="1">
      <c r="A16" s="161" t="s">
        <v>346</v>
      </c>
    </row>
    <row r="17" ht="15">
      <c r="A17" s="79"/>
    </row>
    <row r="18" ht="49.5" customHeight="1">
      <c r="A18" s="161" t="s">
        <v>347</v>
      </c>
    </row>
    <row r="19" ht="15">
      <c r="A19" s="162"/>
    </row>
    <row r="20" ht="52.5" customHeight="1">
      <c r="A20" s="161" t="s">
        <v>348</v>
      </c>
    </row>
    <row r="21" ht="15">
      <c r="A21" s="162"/>
    </row>
    <row r="22" ht="48.75" customHeight="1">
      <c r="A22" s="161" t="s">
        <v>349</v>
      </c>
    </row>
    <row r="23" ht="15">
      <c r="A23" s="162"/>
    </row>
    <row r="24" ht="1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5">
      <selection activeCell="B50" sqref="B50"/>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Plum Creek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153</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2076242</v>
      </c>
    </row>
    <row r="8" spans="1:5" ht="15">
      <c r="A8" s="22" t="str">
        <f>CONCATENATE("New Improvements for ",E1-1,"")</f>
        <v>New Improvements for 2012</v>
      </c>
      <c r="B8" s="19"/>
      <c r="C8" s="19"/>
      <c r="D8" s="19"/>
      <c r="E8" s="280">
        <v>47900</v>
      </c>
    </row>
    <row r="9" spans="1:5" ht="15">
      <c r="A9" s="22" t="str">
        <f>CONCATENATE("Personal Property excluding oil, gas, and mobile homes - ",E1-1,"")</f>
        <v>Personal Property excluding oil, gas, and mobile homes - 2012</v>
      </c>
      <c r="B9" s="19"/>
      <c r="C9" s="19"/>
      <c r="D9" s="19"/>
      <c r="E9" s="280">
        <v>80193</v>
      </c>
    </row>
    <row r="10" spans="1:5" ht="15">
      <c r="A10" s="22" t="str">
        <f>CONCATENATE("Property that has changed in use for ",E1-1,"")</f>
        <v>Property that has changed in use for 2012</v>
      </c>
      <c r="B10" s="19"/>
      <c r="C10" s="19"/>
      <c r="D10" s="19"/>
      <c r="E10" s="280">
        <v>6133</v>
      </c>
    </row>
    <row r="11" spans="1:5" ht="15">
      <c r="A11" s="22" t="str">
        <f>CONCATENATE("Personal Property excluding oil, gas, and mobile homes- ",E1-2,"")</f>
        <v>Personal Property excluding oil, gas, and mobile homes- 2011</v>
      </c>
      <c r="B11" s="19"/>
      <c r="C11" s="19"/>
      <c r="D11" s="19"/>
      <c r="E11" s="280">
        <v>69294</v>
      </c>
    </row>
    <row r="12" spans="1:5" ht="15">
      <c r="A12" s="22" t="str">
        <f>CONCATENATE("Gross earnings (intangible) tax estimate for ",E1,"")</f>
        <v>Gross earnings (intangible) tax estimate for 2013</v>
      </c>
      <c r="B12" s="19"/>
      <c r="C12" s="19"/>
      <c r="D12" s="19"/>
      <c r="E12" s="280">
        <v>3006</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281</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10.825</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271</v>
      </c>
      <c r="C27" s="256"/>
      <c r="D27" s="288">
        <f>SUM(D17:D26)</f>
        <v>10.825</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1907292</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154</v>
      </c>
      <c r="B32" s="20"/>
      <c r="C32" s="20"/>
      <c r="D32" s="292"/>
      <c r="E32" s="34">
        <v>1929</v>
      </c>
    </row>
    <row r="33" spans="1:5" ht="15">
      <c r="A33" s="293" t="s">
        <v>272</v>
      </c>
      <c r="B33" s="264"/>
      <c r="C33" s="264"/>
      <c r="D33" s="31"/>
      <c r="E33" s="34">
        <v>13</v>
      </c>
    </row>
    <row r="34" spans="1:5" ht="15">
      <c r="A34" s="293" t="s">
        <v>155</v>
      </c>
      <c r="B34" s="264"/>
      <c r="C34" s="264"/>
      <c r="D34" s="31"/>
      <c r="E34" s="34">
        <v>771</v>
      </c>
    </row>
    <row r="35" spans="1:5" ht="15">
      <c r="A35" s="293" t="s">
        <v>156</v>
      </c>
      <c r="B35" s="264"/>
      <c r="C35" s="264"/>
      <c r="D35" s="31"/>
      <c r="E35" s="34"/>
    </row>
    <row r="36" spans="1:5" ht="15">
      <c r="A36" s="293" t="s">
        <v>97</v>
      </c>
      <c r="B36" s="20"/>
      <c r="C36" s="20"/>
      <c r="D36" s="292"/>
      <c r="E36" s="34">
        <v>1873</v>
      </c>
    </row>
    <row r="37" spans="1:5" ht="15">
      <c r="A37" s="14" t="s">
        <v>157</v>
      </c>
      <c r="B37" s="14"/>
      <c r="C37" s="14"/>
      <c r="D37" s="14"/>
      <c r="E37" s="14"/>
    </row>
    <row r="38" spans="1:5" ht="15">
      <c r="A38" s="67" t="s">
        <v>158</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849</v>
      </c>
      <c r="B40" s="271"/>
      <c r="C40" s="19"/>
      <c r="D40" s="19"/>
      <c r="E40" s="730">
        <v>0</v>
      </c>
    </row>
    <row r="41" spans="1:5" ht="15">
      <c r="A41" s="294" t="s">
        <v>159</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203</v>
      </c>
      <c r="B45" s="298" t="s">
        <v>204</v>
      </c>
      <c r="C45" s="299" t="s">
        <v>205</v>
      </c>
      <c r="D45" s="300"/>
      <c r="E45" s="300"/>
    </row>
    <row r="46" spans="1:5" ht="15">
      <c r="A46" s="301" t="str">
        <f>inputPrYr!B16</f>
        <v>General</v>
      </c>
      <c r="B46" s="36">
        <v>6807</v>
      </c>
      <c r="C46" s="299" t="s">
        <v>206</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38963</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0.75">
      <c r="A3" s="476" t="s">
        <v>686</v>
      </c>
    </row>
    <row r="4" ht="15">
      <c r="A4" s="477" t="s">
        <v>687</v>
      </c>
    </row>
    <row r="7" ht="30.75">
      <c r="A7" s="476" t="s">
        <v>688</v>
      </c>
    </row>
    <row r="8" ht="15">
      <c r="A8" s="477" t="s">
        <v>689</v>
      </c>
    </row>
    <row r="11" ht="15">
      <c r="A11" s="475" t="s">
        <v>690</v>
      </c>
    </row>
    <row r="12" ht="15">
      <c r="A12" s="477" t="s">
        <v>691</v>
      </c>
    </row>
    <row r="15" ht="15">
      <c r="A15" s="475" t="s">
        <v>692</v>
      </c>
    </row>
    <row r="16" ht="15">
      <c r="A16" s="477" t="s">
        <v>693</v>
      </c>
    </row>
    <row r="19" ht="15">
      <c r="A19" s="475" t="s">
        <v>694</v>
      </c>
    </row>
    <row r="20" ht="15">
      <c r="A20" s="477" t="s">
        <v>695</v>
      </c>
    </row>
    <row r="23" ht="15">
      <c r="A23" s="475" t="s">
        <v>696</v>
      </c>
    </row>
    <row r="24" ht="15">
      <c r="A24" s="477" t="s">
        <v>697</v>
      </c>
    </row>
    <row r="27" ht="15">
      <c r="A27" s="475" t="s">
        <v>698</v>
      </c>
    </row>
    <row r="28" ht="15">
      <c r="A28" s="477" t="s">
        <v>699</v>
      </c>
    </row>
    <row r="31" ht="15">
      <c r="A31" s="475" t="s">
        <v>700</v>
      </c>
    </row>
    <row r="32" ht="15">
      <c r="A32" s="477" t="s">
        <v>701</v>
      </c>
    </row>
    <row r="35" ht="15">
      <c r="A35" s="475" t="s">
        <v>702</v>
      </c>
    </row>
    <row r="36" ht="15">
      <c r="A36" s="477" t="s">
        <v>703</v>
      </c>
    </row>
    <row r="39" ht="15">
      <c r="A39" s="475" t="s">
        <v>704</v>
      </c>
    </row>
    <row r="40" ht="1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922</v>
      </c>
    </row>
    <row r="2" ht="15">
      <c r="A2" s="740" t="s">
        <v>923</v>
      </c>
    </row>
    <row r="4" ht="15">
      <c r="A4" s="370" t="s">
        <v>888</v>
      </c>
    </row>
    <row r="5" ht="15">
      <c r="A5" s="79" t="s">
        <v>889</v>
      </c>
    </row>
    <row r="6" ht="15">
      <c r="A6" s="79" t="s">
        <v>890</v>
      </c>
    </row>
    <row r="7" ht="15">
      <c r="A7" s="79" t="s">
        <v>891</v>
      </c>
    </row>
    <row r="8" ht="15">
      <c r="A8" s="79" t="s">
        <v>892</v>
      </c>
    </row>
    <row r="9" ht="15">
      <c r="A9" s="79" t="s">
        <v>893</v>
      </c>
    </row>
    <row r="10" ht="15">
      <c r="A10" s="79" t="s">
        <v>894</v>
      </c>
    </row>
    <row r="11" ht="15">
      <c r="A11" s="79" t="s">
        <v>895</v>
      </c>
    </row>
    <row r="12" ht="15">
      <c r="A12" s="79" t="s">
        <v>896</v>
      </c>
    </row>
    <row r="13" ht="15">
      <c r="A13" s="79" t="s">
        <v>897</v>
      </c>
    </row>
    <row r="14" ht="15">
      <c r="A14" s="79" t="s">
        <v>898</v>
      </c>
    </row>
    <row r="15" ht="15">
      <c r="A15" s="79" t="s">
        <v>899</v>
      </c>
    </row>
    <row r="16" ht="15">
      <c r="A16" s="79" t="s">
        <v>900</v>
      </c>
    </row>
    <row r="17" ht="15">
      <c r="A17" s="79" t="s">
        <v>901</v>
      </c>
    </row>
    <row r="18" ht="15">
      <c r="A18" s="79" t="s">
        <v>902</v>
      </c>
    </row>
    <row r="19" ht="15">
      <c r="A19" s="79" t="s">
        <v>903</v>
      </c>
    </row>
    <row r="20" ht="15">
      <c r="A20" s="79" t="s">
        <v>904</v>
      </c>
    </row>
    <row r="21" ht="15">
      <c r="A21" s="79" t="s">
        <v>905</v>
      </c>
    </row>
    <row r="22" ht="15">
      <c r="A22" s="79" t="s">
        <v>906</v>
      </c>
    </row>
    <row r="23" ht="15">
      <c r="A23" s="79" t="s">
        <v>907</v>
      </c>
    </row>
    <row r="24" ht="15">
      <c r="A24" s="79" t="s">
        <v>908</v>
      </c>
    </row>
    <row r="25" ht="15">
      <c r="A25" s="79" t="s">
        <v>909</v>
      </c>
    </row>
    <row r="26" ht="15">
      <c r="A26" s="79" t="s">
        <v>910</v>
      </c>
    </row>
    <row r="27" ht="15">
      <c r="A27" s="79" t="s">
        <v>911</v>
      </c>
    </row>
    <row r="28" ht="15">
      <c r="A28" s="79" t="s">
        <v>912</v>
      </c>
    </row>
    <row r="29" ht="15">
      <c r="A29" s="79" t="s">
        <v>913</v>
      </c>
    </row>
    <row r="30" ht="15">
      <c r="A30" s="79" t="s">
        <v>914</v>
      </c>
    </row>
    <row r="31" ht="15">
      <c r="A31" s="79" t="s">
        <v>915</v>
      </c>
    </row>
    <row r="32" ht="15">
      <c r="A32" s="79" t="s">
        <v>917</v>
      </c>
    </row>
    <row r="33" ht="15">
      <c r="A33" s="79" t="s">
        <v>916</v>
      </c>
    </row>
    <row r="35" ht="15">
      <c r="A35" s="370" t="s">
        <v>748</v>
      </c>
    </row>
    <row r="36" ht="15">
      <c r="A36" s="79" t="s">
        <v>749</v>
      </c>
    </row>
    <row r="38" ht="15">
      <c r="A38" s="370" t="s">
        <v>746</v>
      </c>
    </row>
    <row r="39" ht="15">
      <c r="A39" s="79" t="s">
        <v>747</v>
      </c>
    </row>
    <row r="41" ht="15">
      <c r="A41" s="370" t="s">
        <v>743</v>
      </c>
    </row>
    <row r="42" ht="15">
      <c r="A42" s="532" t="s">
        <v>744</v>
      </c>
    </row>
    <row r="44" ht="15">
      <c r="A44" s="370" t="s">
        <v>740</v>
      </c>
    </row>
    <row r="45" ht="15">
      <c r="A45" s="79" t="s">
        <v>741</v>
      </c>
    </row>
    <row r="46" ht="15">
      <c r="A46" s="79" t="s">
        <v>742</v>
      </c>
    </row>
    <row r="48" ht="15">
      <c r="A48" s="370" t="s">
        <v>716</v>
      </c>
    </row>
    <row r="49" ht="15">
      <c r="A49" s="532" t="s">
        <v>717</v>
      </c>
    </row>
    <row r="50" ht="15">
      <c r="A50" s="532" t="s">
        <v>718</v>
      </c>
    </row>
    <row r="51" ht="30.75">
      <c r="A51" s="531" t="s">
        <v>719</v>
      </c>
    </row>
    <row r="52" ht="15">
      <c r="A52" s="532" t="s">
        <v>720</v>
      </c>
    </row>
    <row r="53" ht="15">
      <c r="A53" s="532" t="s">
        <v>721</v>
      </c>
    </row>
    <row r="54" ht="15">
      <c r="A54" s="532" t="s">
        <v>722</v>
      </c>
    </row>
    <row r="55" ht="15">
      <c r="A55" s="532" t="s">
        <v>723</v>
      </c>
    </row>
    <row r="56" ht="15">
      <c r="A56" s="532" t="s">
        <v>724</v>
      </c>
    </row>
    <row r="57" ht="15">
      <c r="A57" s="532" t="s">
        <v>725</v>
      </c>
    </row>
    <row r="58" ht="15">
      <c r="A58" s="532" t="s">
        <v>726</v>
      </c>
    </row>
    <row r="59" ht="15">
      <c r="A59" s="532" t="s">
        <v>727</v>
      </c>
    </row>
    <row r="60" ht="15">
      <c r="A60" s="532" t="s">
        <v>728</v>
      </c>
    </row>
    <row r="61" ht="15">
      <c r="A61" s="532" t="s">
        <v>738</v>
      </c>
    </row>
    <row r="62" ht="15">
      <c r="A62" s="532" t="s">
        <v>729</v>
      </c>
    </row>
    <row r="63" ht="15">
      <c r="A63" s="532" t="s">
        <v>730</v>
      </c>
    </row>
    <row r="64" ht="15">
      <c r="A64" s="532" t="s">
        <v>731</v>
      </c>
    </row>
    <row r="65" ht="15">
      <c r="A65" s="532" t="s">
        <v>732</v>
      </c>
    </row>
    <row r="66" ht="15">
      <c r="A66" s="532" t="s">
        <v>733</v>
      </c>
    </row>
    <row r="67" ht="15">
      <c r="A67" s="532" t="s">
        <v>734</v>
      </c>
    </row>
    <row r="68" ht="15">
      <c r="A68" s="532" t="s">
        <v>735</v>
      </c>
    </row>
    <row r="69" ht="15">
      <c r="A69" s="532" t="s">
        <v>736</v>
      </c>
    </row>
    <row r="70" ht="15">
      <c r="A70" s="532" t="s">
        <v>737</v>
      </c>
    </row>
    <row r="71" ht="15">
      <c r="A71" s="532" t="s">
        <v>739</v>
      </c>
    </row>
    <row r="73" ht="15">
      <c r="A73" s="370" t="s">
        <v>615</v>
      </c>
    </row>
    <row r="74" ht="39" customHeight="1">
      <c r="A74" s="331" t="s">
        <v>616</v>
      </c>
    </row>
    <row r="75" ht="23.25" customHeight="1"/>
    <row r="76" ht="15">
      <c r="A76" s="370" t="s">
        <v>611</v>
      </c>
    </row>
    <row r="77" ht="15">
      <c r="A77" s="79" t="s">
        <v>612</v>
      </c>
    </row>
    <row r="78" ht="15">
      <c r="A78" s="79" t="s">
        <v>613</v>
      </c>
    </row>
    <row r="79" ht="15">
      <c r="A79" s="79" t="s">
        <v>614</v>
      </c>
    </row>
    <row r="81" ht="15">
      <c r="A81" s="373" t="s">
        <v>600</v>
      </c>
    </row>
    <row r="82" ht="15">
      <c r="A82" s="79" t="s">
        <v>610</v>
      </c>
    </row>
    <row r="84" ht="15">
      <c r="A84" s="370" t="s">
        <v>584</v>
      </c>
    </row>
    <row r="85" ht="15">
      <c r="A85" s="371" t="s">
        <v>585</v>
      </c>
    </row>
    <row r="86" ht="15">
      <c r="A86" s="371" t="s">
        <v>586</v>
      </c>
    </row>
    <row r="87" ht="15">
      <c r="A87" s="371" t="s">
        <v>587</v>
      </c>
    </row>
    <row r="88" ht="15">
      <c r="A88" s="369" t="s">
        <v>588</v>
      </c>
    </row>
    <row r="90" ht="15">
      <c r="A90" s="343" t="s">
        <v>312</v>
      </c>
    </row>
    <row r="91" ht="15">
      <c r="A91" s="79" t="s">
        <v>314</v>
      </c>
    </row>
    <row r="92" ht="15">
      <c r="A92" s="79" t="s">
        <v>315</v>
      </c>
    </row>
    <row r="93" ht="15">
      <c r="A93" s="79" t="s">
        <v>316</v>
      </c>
    </row>
    <row r="94" ht="15">
      <c r="A94" s="79" t="s">
        <v>317</v>
      </c>
    </row>
    <row r="95" ht="15">
      <c r="A95" s="79" t="s">
        <v>318</v>
      </c>
    </row>
    <row r="96" ht="15">
      <c r="A96" s="79" t="s">
        <v>319</v>
      </c>
    </row>
    <row r="97" ht="15">
      <c r="A97" s="79" t="s">
        <v>334</v>
      </c>
    </row>
    <row r="98" ht="15">
      <c r="A98" s="79" t="s">
        <v>335</v>
      </c>
    </row>
    <row r="99" ht="15">
      <c r="A99" s="79" t="s">
        <v>336</v>
      </c>
    </row>
    <row r="100" ht="15">
      <c r="A100" s="79" t="s">
        <v>337</v>
      </c>
    </row>
    <row r="101" ht="15">
      <c r="A101" s="79" t="s">
        <v>352</v>
      </c>
    </row>
    <row r="102" ht="30.75">
      <c r="A102" s="331" t="s">
        <v>353</v>
      </c>
    </row>
    <row r="103" ht="15">
      <c r="A103" s="331" t="s">
        <v>362</v>
      </c>
    </row>
    <row r="104" ht="15">
      <c r="A104" s="345" t="s">
        <v>365</v>
      </c>
    </row>
    <row r="105" ht="15">
      <c r="A105" s="346" t="s">
        <v>366</v>
      </c>
    </row>
    <row r="107" ht="15">
      <c r="A107" s="343" t="s">
        <v>307</v>
      </c>
    </row>
    <row r="108" ht="15">
      <c r="A108" s="79" t="s">
        <v>308</v>
      </c>
    </row>
    <row r="109" ht="15">
      <c r="A109" s="79" t="s">
        <v>309</v>
      </c>
    </row>
    <row r="111" ht="15">
      <c r="A111" s="343" t="s">
        <v>305</v>
      </c>
    </row>
    <row r="112" ht="15">
      <c r="A112" s="79" t="s">
        <v>306</v>
      </c>
    </row>
    <row r="114" ht="15">
      <c r="A114" s="343" t="s">
        <v>303</v>
      </c>
    </row>
    <row r="115" ht="15">
      <c r="A115" s="79" t="s">
        <v>304</v>
      </c>
    </row>
    <row r="117" ht="15">
      <c r="A117" s="343" t="s">
        <v>300</v>
      </c>
    </row>
    <row r="118" ht="15">
      <c r="A118" s="79" t="s">
        <v>301</v>
      </c>
    </row>
    <row r="119" ht="15">
      <c r="A119" s="79" t="s">
        <v>302</v>
      </c>
    </row>
    <row r="121" ht="15">
      <c r="A121" s="79" t="s">
        <v>296</v>
      </c>
    </row>
    <row r="122" ht="15">
      <c r="A122" s="79" t="s">
        <v>297</v>
      </c>
    </row>
    <row r="123" ht="15">
      <c r="A123" s="79" t="s">
        <v>298</v>
      </c>
    </row>
    <row r="124" ht="15">
      <c r="A124" s="79" t="s">
        <v>299</v>
      </c>
    </row>
    <row r="126" ht="15">
      <c r="A126" s="79" t="s">
        <v>292</v>
      </c>
    </row>
    <row r="127" ht="15">
      <c r="A127" s="79" t="s">
        <v>293</v>
      </c>
    </row>
    <row r="128" ht="15">
      <c r="A128" s="79" t="s">
        <v>294</v>
      </c>
    </row>
    <row r="130" ht="15">
      <c r="A130" s="79" t="s">
        <v>290</v>
      </c>
    </row>
    <row r="131" ht="34.5" customHeight="1">
      <c r="A131" s="79" t="s">
        <v>291</v>
      </c>
    </row>
    <row r="133" ht="15">
      <c r="A133" s="79" t="s">
        <v>245</v>
      </c>
    </row>
    <row r="134" ht="15">
      <c r="A134" s="79" t="s">
        <v>246</v>
      </c>
    </row>
    <row r="135" ht="30.75">
      <c r="A135" s="331" t="s">
        <v>262</v>
      </c>
    </row>
    <row r="136" ht="15">
      <c r="A136" s="79" t="s">
        <v>247</v>
      </c>
    </row>
    <row r="137" ht="15">
      <c r="A137" s="79" t="s">
        <v>248</v>
      </c>
    </row>
    <row r="138" ht="15">
      <c r="A138" s="79" t="s">
        <v>249</v>
      </c>
    </row>
    <row r="139" ht="15">
      <c r="A139" s="79" t="s">
        <v>250</v>
      </c>
    </row>
    <row r="140" ht="30.75">
      <c r="A140" s="331" t="s">
        <v>230</v>
      </c>
    </row>
    <row r="141" ht="30.75">
      <c r="A141" s="331" t="s">
        <v>258</v>
      </c>
    </row>
    <row r="142" ht="30.75">
      <c r="A142" s="331" t="s">
        <v>251</v>
      </c>
    </row>
    <row r="143" ht="15">
      <c r="A143" s="331" t="s">
        <v>252</v>
      </c>
    </row>
    <row r="144" ht="30.7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0.75">
      <c r="A155" s="331" t="s">
        <v>228</v>
      </c>
    </row>
    <row r="156" ht="30.75">
      <c r="A156" s="331" t="s">
        <v>232</v>
      </c>
    </row>
    <row r="157" ht="30.75">
      <c r="A157" s="331" t="s">
        <v>229</v>
      </c>
    </row>
    <row r="158" ht="46.5">
      <c r="A158" s="331" t="s">
        <v>233</v>
      </c>
    </row>
    <row r="159" ht="15">
      <c r="A159" s="331" t="s">
        <v>239</v>
      </c>
    </row>
    <row r="161" ht="15">
      <c r="A161" s="79" t="s">
        <v>183</v>
      </c>
    </row>
    <row r="162" ht="46.5">
      <c r="A162" s="331" t="s">
        <v>234</v>
      </c>
    </row>
    <row r="163" ht="15">
      <c r="A163" s="79" t="s">
        <v>184</v>
      </c>
    </row>
    <row r="164" ht="15">
      <c r="A164" s="79" t="s">
        <v>188</v>
      </c>
    </row>
    <row r="165" ht="15">
      <c r="A165" s="79" t="s">
        <v>189</v>
      </c>
    </row>
    <row r="166" ht="15">
      <c r="A166" s="79" t="s">
        <v>185</v>
      </c>
    </row>
    <row r="167" ht="15">
      <c r="A167" s="79" t="s">
        <v>186</v>
      </c>
    </row>
    <row r="168" ht="15">
      <c r="A168" s="79" t="s">
        <v>187</v>
      </c>
    </row>
    <row r="169" ht="15">
      <c r="A169" s="331" t="s">
        <v>190</v>
      </c>
    </row>
    <row r="170" ht="15">
      <c r="A170" s="79" t="s">
        <v>191</v>
      </c>
    </row>
    <row r="171" ht="15">
      <c r="A171" s="79" t="s">
        <v>192</v>
      </c>
    </row>
    <row r="172" ht="15">
      <c r="A172" s="79" t="s">
        <v>235</v>
      </c>
    </row>
    <row r="173" ht="15">
      <c r="A173" s="79" t="s">
        <v>193</v>
      </c>
    </row>
    <row r="174" ht="15">
      <c r="A174" s="79" t="s">
        <v>236</v>
      </c>
    </row>
    <row r="175" ht="15">
      <c r="A175" s="79" t="s">
        <v>194</v>
      </c>
    </row>
    <row r="176" ht="15">
      <c r="A176" s="79" t="s">
        <v>237</v>
      </c>
    </row>
    <row r="177" ht="15">
      <c r="A177" s="79" t="s">
        <v>195</v>
      </c>
    </row>
    <row r="178" ht="15">
      <c r="A178" s="79" t="s">
        <v>199</v>
      </c>
    </row>
    <row r="179" ht="15">
      <c r="A179" s="79" t="s">
        <v>238</v>
      </c>
    </row>
    <row r="180" ht="15">
      <c r="A180" s="79" t="s">
        <v>214</v>
      </c>
    </row>
    <row r="181" ht="15">
      <c r="A181" s="79" t="s">
        <v>215</v>
      </c>
    </row>
    <row r="182" ht="15">
      <c r="A182" s="79" t="s">
        <v>216</v>
      </c>
    </row>
    <row r="183" ht="15">
      <c r="A183" s="79" t="s">
        <v>200</v>
      </c>
    </row>
    <row r="184" ht="15">
      <c r="A184" s="79" t="s">
        <v>201</v>
      </c>
    </row>
    <row r="185" ht="15">
      <c r="A185" s="79" t="s">
        <v>202</v>
      </c>
    </row>
    <row r="186" ht="15">
      <c r="A186" s="79" t="s">
        <v>211</v>
      </c>
    </row>
    <row r="187" ht="15">
      <c r="A187" s="79" t="s">
        <v>212</v>
      </c>
    </row>
    <row r="188" ht="15">
      <c r="A188" s="79" t="s">
        <v>213</v>
      </c>
    </row>
    <row r="189" ht="15">
      <c r="A189" s="79" t="s">
        <v>223</v>
      </c>
    </row>
    <row r="190" ht="15">
      <c r="A190" s="79"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3" sqref="B13"/>
    </sheetView>
  </sheetViews>
  <sheetFormatPr defaultColWidth="8.796875" defaultRowHeight="15.75"/>
  <cols>
    <col min="1" max="1" width="13.69921875" style="0" customWidth="1"/>
    <col min="2" max="2" width="16" style="0" customWidth="1"/>
  </cols>
  <sheetData>
    <row r="1" ht="15">
      <c r="J1" s="710" t="s">
        <v>833</v>
      </c>
    </row>
    <row r="2" spans="1:10" ht="54" customHeight="1">
      <c r="A2" s="754" t="s">
        <v>367</v>
      </c>
      <c r="B2" s="755"/>
      <c r="C2" s="755"/>
      <c r="D2" s="755"/>
      <c r="E2" s="755"/>
      <c r="F2" s="755"/>
      <c r="J2" s="710" t="s">
        <v>834</v>
      </c>
    </row>
    <row r="3" ht="15">
      <c r="J3" s="710" t="s">
        <v>835</v>
      </c>
    </row>
    <row r="4" spans="1:10" ht="15">
      <c r="A4" s="475" t="s">
        <v>831</v>
      </c>
      <c r="B4" s="356" t="s">
        <v>932</v>
      </c>
      <c r="C4" s="709"/>
      <c r="J4" s="710" t="s">
        <v>836</v>
      </c>
    </row>
    <row r="5" spans="1:10" ht="15">
      <c r="A5" s="475"/>
      <c r="B5" s="709"/>
      <c r="J5" s="710" t="s">
        <v>837</v>
      </c>
    </row>
    <row r="6" spans="1:10" ht="15">
      <c r="A6" s="475" t="s">
        <v>832</v>
      </c>
      <c r="B6" s="356" t="s">
        <v>933</v>
      </c>
      <c r="J6" s="710" t="s">
        <v>838</v>
      </c>
    </row>
    <row r="7" spans="1:10" ht="15">
      <c r="A7" s="353"/>
      <c r="B7" s="353"/>
      <c r="C7" s="353"/>
      <c r="D7" s="355"/>
      <c r="E7" s="353"/>
      <c r="F7" s="353"/>
      <c r="J7" s="710" t="s">
        <v>839</v>
      </c>
    </row>
    <row r="8" spans="1:10" ht="15">
      <c r="A8" s="354" t="s">
        <v>368</v>
      </c>
      <c r="B8" s="356" t="s">
        <v>934</v>
      </c>
      <c r="C8" s="357"/>
      <c r="D8" s="354" t="s">
        <v>830</v>
      </c>
      <c r="E8" s="353"/>
      <c r="F8" s="353"/>
      <c r="J8" s="710" t="s">
        <v>840</v>
      </c>
    </row>
    <row r="9" spans="1:10" ht="15">
      <c r="A9" s="354"/>
      <c r="B9" s="358"/>
      <c r="C9" s="359"/>
      <c r="D9" s="354" t="str">
        <f>IF(B8="","",CONCATENATE("Latest date for notice to be published in your newspaper: ",G19," ",G23,", ",G24))</f>
        <v>Latest date for notice to be published in your newspaper: July 22, 2012</v>
      </c>
      <c r="E9" s="353"/>
      <c r="F9" s="353"/>
      <c r="J9" s="710" t="s">
        <v>841</v>
      </c>
    </row>
    <row r="10" spans="1:10" ht="15">
      <c r="A10" s="354" t="s">
        <v>369</v>
      </c>
      <c r="B10" s="356" t="s">
        <v>935</v>
      </c>
      <c r="C10" s="360"/>
      <c r="D10" s="354"/>
      <c r="E10" s="353"/>
      <c r="F10" s="353"/>
      <c r="J10" s="710" t="s">
        <v>842</v>
      </c>
    </row>
    <row r="11" spans="1:10" ht="15">
      <c r="A11" s="354"/>
      <c r="B11" s="354"/>
      <c r="C11" s="354"/>
      <c r="D11" s="354"/>
      <c r="E11" s="353"/>
      <c r="F11" s="353"/>
      <c r="J11" s="710" t="s">
        <v>843</v>
      </c>
    </row>
    <row r="12" spans="1:10" ht="15">
      <c r="A12" s="354" t="s">
        <v>370</v>
      </c>
      <c r="B12" s="361" t="s">
        <v>946</v>
      </c>
      <c r="C12" s="361"/>
      <c r="D12" s="361"/>
      <c r="E12" s="362"/>
      <c r="F12" s="353"/>
      <c r="J12" s="710" t="s">
        <v>844</v>
      </c>
    </row>
    <row r="13" spans="1:6" ht="15">
      <c r="A13" s="354"/>
      <c r="B13" s="354"/>
      <c r="C13" s="354"/>
      <c r="D13" s="354"/>
      <c r="E13" s="353"/>
      <c r="F13" s="353"/>
    </row>
    <row r="14" spans="1:6" ht="15">
      <c r="A14" s="354"/>
      <c r="B14" s="354"/>
      <c r="C14" s="354"/>
      <c r="D14" s="354"/>
      <c r="E14" s="353"/>
      <c r="F14" s="353"/>
    </row>
    <row r="15" spans="1:6" ht="15">
      <c r="A15" s="354" t="s">
        <v>371</v>
      </c>
      <c r="B15" s="361" t="s">
        <v>929</v>
      </c>
      <c r="C15" s="361"/>
      <c r="D15" s="361"/>
      <c r="E15" s="362"/>
      <c r="F15" s="353"/>
    </row>
    <row r="18" spans="1:6" ht="15">
      <c r="A18" s="756" t="s">
        <v>372</v>
      </c>
      <c r="B18" s="756"/>
      <c r="C18" s="354"/>
      <c r="D18" s="354"/>
      <c r="E18" s="354"/>
      <c r="F18" s="353"/>
    </row>
    <row r="19" spans="1:7" ht="15">
      <c r="A19" s="354"/>
      <c r="B19" s="354"/>
      <c r="C19" s="354"/>
      <c r="D19" s="354"/>
      <c r="E19" s="354"/>
      <c r="F19" s="353"/>
      <c r="G19" s="710" t="str">
        <f ca="1">IF(B8="","",INDIRECT(G20))</f>
        <v>July</v>
      </c>
    </row>
    <row r="20" spans="1:7" ht="15">
      <c r="A20" s="354" t="s">
        <v>368</v>
      </c>
      <c r="B20" s="358" t="s">
        <v>373</v>
      </c>
      <c r="C20" s="354"/>
      <c r="D20" s="354"/>
      <c r="E20" s="354"/>
      <c r="G20" s="711" t="str">
        <f>IF(B8="","",CONCATENATE("J",G22))</f>
        <v>J7</v>
      </c>
    </row>
    <row r="21" spans="1:7" ht="15">
      <c r="A21" s="354"/>
      <c r="B21" s="354"/>
      <c r="C21" s="354"/>
      <c r="D21" s="354"/>
      <c r="E21" s="354"/>
      <c r="G21" s="712">
        <f>B8-10</f>
        <v>41112</v>
      </c>
    </row>
    <row r="22" spans="1:7" ht="15">
      <c r="A22" s="354" t="s">
        <v>369</v>
      </c>
      <c r="B22" s="354" t="s">
        <v>374</v>
      </c>
      <c r="C22" s="354"/>
      <c r="D22" s="354"/>
      <c r="E22" s="354"/>
      <c r="G22" s="713">
        <f>IF(B8="","",MONTH(G21))</f>
        <v>7</v>
      </c>
    </row>
    <row r="23" spans="1:7" ht="15">
      <c r="A23" s="354"/>
      <c r="B23" s="354"/>
      <c r="C23" s="354"/>
      <c r="D23" s="354"/>
      <c r="E23" s="354"/>
      <c r="G23" s="714">
        <f>IF(B8="","",DAY(G21))</f>
        <v>22</v>
      </c>
    </row>
    <row r="24" spans="1:7" ht="15">
      <c r="A24" s="354" t="s">
        <v>370</v>
      </c>
      <c r="B24" s="354" t="s">
        <v>376</v>
      </c>
      <c r="C24" s="354"/>
      <c r="D24" s="354"/>
      <c r="E24" s="354"/>
      <c r="G24" s="715">
        <f>IF(B8="","",YEAR(G21))</f>
        <v>2012</v>
      </c>
    </row>
    <row r="25" spans="1:5" ht="15">
      <c r="A25" s="354"/>
      <c r="B25" s="354"/>
      <c r="C25" s="354"/>
      <c r="D25" s="354"/>
      <c r="E25" s="354"/>
    </row>
    <row r="26" spans="1:5" ht="1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9" t="s">
        <v>67</v>
      </c>
      <c r="C1" s="769"/>
      <c r="D1" s="769"/>
      <c r="E1" s="769"/>
      <c r="F1" s="769"/>
      <c r="G1" s="769"/>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58"/>
      <c r="D3" s="758"/>
      <c r="E3" s="758"/>
      <c r="F3" s="758"/>
      <c r="G3" s="758"/>
      <c r="H3" s="758"/>
    </row>
    <row r="4" spans="2:7" s="14" customFormat="1" ht="15">
      <c r="B4" s="757" t="s">
        <v>147</v>
      </c>
      <c r="C4" s="765"/>
      <c r="D4" s="765"/>
      <c r="E4" s="765"/>
      <c r="F4" s="765"/>
      <c r="G4" s="765"/>
    </row>
    <row r="5" spans="2:7" s="14" customFormat="1" ht="15">
      <c r="B5" s="766" t="str">
        <f>inputPrYr!D2</f>
        <v>Plum Creek Township</v>
      </c>
      <c r="C5" s="765"/>
      <c r="D5" s="765"/>
      <c r="E5" s="765"/>
      <c r="F5" s="765"/>
      <c r="G5" s="765"/>
    </row>
    <row r="6" spans="2:7" s="14" customFormat="1" ht="15">
      <c r="B6" s="776" t="s">
        <v>145</v>
      </c>
      <c r="C6" s="758"/>
      <c r="D6" s="758"/>
      <c r="E6" s="758"/>
      <c r="F6" s="758"/>
      <c r="G6" s="758"/>
    </row>
    <row r="7" spans="2:7" s="14" customFormat="1" ht="15.75" customHeight="1">
      <c r="B7" s="757" t="s">
        <v>146</v>
      </c>
      <c r="C7" s="777"/>
      <c r="D7" s="777"/>
      <c r="E7" s="777"/>
      <c r="F7" s="777"/>
      <c r="G7" s="777"/>
    </row>
    <row r="8" spans="2:7" s="14" customFormat="1" ht="15.75" customHeight="1">
      <c r="B8" s="757"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57"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5"/>
      <c r="F10" s="65"/>
      <c r="G10" s="65"/>
    </row>
    <row r="11" spans="4:7" s="14" customFormat="1" ht="15">
      <c r="D11" s="19"/>
      <c r="E11" s="773" t="str">
        <f>CONCATENATE("",H1," Adopted Budget")</f>
        <v>2013 Adopted Budget</v>
      </c>
      <c r="F11" s="774"/>
      <c r="G11" s="775"/>
    </row>
    <row r="12" spans="2:7" s="14" customFormat="1" ht="15">
      <c r="B12" s="22"/>
      <c r="D12" s="65"/>
      <c r="E12" s="252" t="s">
        <v>273</v>
      </c>
      <c r="F12" s="770" t="str">
        <f>CONCATENATE("Amount of ",H1-1," Ad Valorem Tax")</f>
        <v>Amount of 2012 Ad Valorem Tax</v>
      </c>
      <c r="G12" s="23" t="s">
        <v>274</v>
      </c>
    </row>
    <row r="13" spans="4:7" s="14" customFormat="1" ht="15">
      <c r="D13" s="23" t="s">
        <v>275</v>
      </c>
      <c r="E13" s="517" t="s">
        <v>204</v>
      </c>
      <c r="F13" s="771"/>
      <c r="G13" s="155" t="s">
        <v>276</v>
      </c>
    </row>
    <row r="14" spans="2:7" s="14" customFormat="1" ht="15">
      <c r="B14" s="70" t="s">
        <v>277</v>
      </c>
      <c r="C14" s="20"/>
      <c r="D14" s="26" t="s">
        <v>278</v>
      </c>
      <c r="E14" s="518" t="s">
        <v>713</v>
      </c>
      <c r="F14" s="772"/>
      <c r="G14" s="26" t="s">
        <v>280</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828</v>
      </c>
      <c r="C16" s="28"/>
      <c r="D16" s="159">
        <v>3</v>
      </c>
      <c r="E16" s="19"/>
      <c r="F16" s="19"/>
      <c r="G16" s="254"/>
    </row>
    <row r="17" spans="2:7" s="14" customFormat="1" ht="15">
      <c r="B17" s="63" t="s">
        <v>164</v>
      </c>
      <c r="C17" s="28"/>
      <c r="D17" s="159">
        <v>4</v>
      </c>
      <c r="E17" s="19"/>
      <c r="F17" s="19"/>
      <c r="G17" s="254"/>
    </row>
    <row r="18" spans="2:7" s="14" customFormat="1" ht="15">
      <c r="B18" s="63" t="s">
        <v>136</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281</v>
      </c>
      <c r="C20" s="145" t="s">
        <v>282</v>
      </c>
      <c r="D20" s="176"/>
      <c r="G20" s="256"/>
    </row>
    <row r="21" spans="2:7" s="14" customFormat="1" ht="15">
      <c r="B21" s="84" t="str">
        <f>inputPrYr!B16</f>
        <v>General</v>
      </c>
      <c r="C21" s="257" t="str">
        <f>inputPrYr!C16</f>
        <v>79-1962</v>
      </c>
      <c r="D21" s="258">
        <f>IF(gen!C51&gt;0,gen!C51,"  ")</f>
        <v>6</v>
      </c>
      <c r="E21" s="721">
        <f>IF(gen!$E$40&lt;&gt;0,gen!$E$40,"  ")</f>
        <v>8177</v>
      </c>
      <c r="F21" s="721">
        <f>IF(gen!$E$47&lt;&gt;0,gen!$E$47,0)</f>
        <v>0</v>
      </c>
      <c r="G21" s="722" t="str">
        <f>IF(AND(gen!E47=0,$C$40&gt;=0)," ",IF(AND(F21&gt;0,$C$40=0)," ",IF(AND(F21&gt;0,$C$40&gt;0),ROUND(F21/$C$40*1000,3))))</f>
        <v> </v>
      </c>
    </row>
    <row r="22" spans="2:7" s="14" customFormat="1" ht="1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IF(road!C64&gt;0,road!C64,"  ")</f>
        <v>7</v>
      </c>
      <c r="E24" s="721">
        <f>IF(road!$E$40&lt;&gt;0,road!$E$40,"  ")</f>
        <v>30897</v>
      </c>
      <c r="F24" s="721">
        <f>IF(road!$E$47&lt;&gt;0,road!$E$47,"  ")</f>
        <v>21311</v>
      </c>
      <c r="G24" s="722" t="str">
        <f>IF(AND(road!E47=0,$C$40&gt;=0),"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283</v>
      </c>
      <c r="C34" s="260"/>
      <c r="D34" s="261">
        <f>IF(road!C64&gt;0,road!C64,"  ")</f>
        <v>7</v>
      </c>
      <c r="E34" s="233"/>
      <c r="F34" s="233"/>
      <c r="G34" s="722"/>
    </row>
    <row r="35" spans="2:7" s="14" customFormat="1" ht="15.75" thickBot="1">
      <c r="B35" s="263" t="s">
        <v>284</v>
      </c>
      <c r="C35" s="264"/>
      <c r="D35" s="158" t="s">
        <v>285</v>
      </c>
      <c r="E35" s="723">
        <f>SUM(E21:E30)</f>
        <v>39074</v>
      </c>
      <c r="F35" s="723">
        <f>SUM(F21:F30)</f>
        <v>21311</v>
      </c>
      <c r="G35" s="724">
        <f>IF(SUM(G21:G30)&gt;0,SUM(G21:G30),"")</f>
      </c>
    </row>
    <row r="36" spans="2:4" s="14" customFormat="1" ht="15.75" thickTop="1">
      <c r="B36" s="27" t="s">
        <v>163</v>
      </c>
      <c r="C36" s="256"/>
      <c r="D36" s="261">
        <f>summ!D33</f>
        <v>8</v>
      </c>
    </row>
    <row r="37" spans="2:6" s="14" customFormat="1" ht="15">
      <c r="B37" s="27" t="s">
        <v>210</v>
      </c>
      <c r="C37" s="28"/>
      <c r="D37" s="261">
        <f>IF(nhood!C38&gt;0,nhood!C38,"")</f>
      </c>
      <c r="E37" s="265" t="s">
        <v>152</v>
      </c>
      <c r="F37" s="266" t="str">
        <f>IF(F35&gt;computation!J34,"Yes","No")</f>
        <v>No</v>
      </c>
    </row>
    <row r="38" spans="2:6" s="14" customFormat="1" ht="15">
      <c r="B38" s="27" t="s">
        <v>151</v>
      </c>
      <c r="C38" s="28"/>
      <c r="D38" s="261">
        <f>IF(Resolution!D50&gt;0,Resolution!D50,"")</f>
      </c>
      <c r="E38" s="267"/>
      <c r="F38" s="268"/>
    </row>
    <row r="39" spans="2:7" s="14" customFormat="1" ht="15">
      <c r="B39" s="63" t="s">
        <v>94</v>
      </c>
      <c r="C39" s="759" t="s">
        <v>120</v>
      </c>
      <c r="D39" s="760"/>
      <c r="E39" s="269"/>
      <c r="G39" s="22" t="s">
        <v>286</v>
      </c>
    </row>
    <row r="40" spans="2:7" s="14" customFormat="1" ht="15">
      <c r="B40" s="27" t="s">
        <v>95</v>
      </c>
      <c r="C40" s="761"/>
      <c r="D40" s="762"/>
      <c r="E40" s="270"/>
      <c r="G40" s="22"/>
    </row>
    <row r="41" spans="2:7" s="14" customFormat="1" ht="15">
      <c r="B41" s="271"/>
      <c r="C41" s="763" t="str">
        <f>CONCATENATE("Nov. 1, ",H1-1," Valuation")</f>
        <v>Nov. 1, 2012 Valuation</v>
      </c>
      <c r="D41" s="764"/>
      <c r="E41" s="269"/>
      <c r="G41" s="22"/>
    </row>
    <row r="42" spans="2:7" s="14" customFormat="1" ht="15">
      <c r="B42" s="271" t="s">
        <v>287</v>
      </c>
      <c r="E42" s="19"/>
      <c r="G42" s="22"/>
    </row>
    <row r="43" spans="2:7" s="14" customFormat="1" ht="15">
      <c r="B43" s="128" t="s">
        <v>924</v>
      </c>
      <c r="C43" s="272"/>
      <c r="E43" s="725" t="s">
        <v>845</v>
      </c>
      <c r="F43" s="725"/>
      <c r="G43" s="725"/>
    </row>
    <row r="44" spans="2:7" s="14" customFormat="1" ht="15">
      <c r="B44" s="272"/>
      <c r="C44" s="273"/>
      <c r="E44" s="726"/>
      <c r="F44" s="726"/>
      <c r="G44" s="726"/>
    </row>
    <row r="45" spans="2:7" s="14" customFormat="1" ht="15">
      <c r="B45" s="271" t="s">
        <v>140</v>
      </c>
      <c r="E45" s="725" t="s">
        <v>845</v>
      </c>
      <c r="F45" s="725"/>
      <c r="G45" s="725"/>
    </row>
    <row r="46" spans="2:7" s="14" customFormat="1" ht="15">
      <c r="B46" s="272" t="s">
        <v>925</v>
      </c>
      <c r="C46" s="272"/>
      <c r="D46" s="22"/>
      <c r="E46" s="725"/>
      <c r="F46" s="725"/>
      <c r="G46" s="725"/>
    </row>
    <row r="47" spans="2:7" s="14" customFormat="1" ht="15">
      <c r="B47" s="273" t="s">
        <v>926</v>
      </c>
      <c r="C47" s="273"/>
      <c r="D47" s="22"/>
      <c r="E47" s="725" t="s">
        <v>845</v>
      </c>
      <c r="F47" s="727"/>
      <c r="G47" s="727"/>
    </row>
    <row r="48" spans="2:8" ht="15">
      <c r="B48" s="271" t="s">
        <v>829</v>
      </c>
      <c r="C48" s="14"/>
      <c r="D48" s="22"/>
      <c r="E48" s="728"/>
      <c r="F48" s="725"/>
      <c r="G48" s="725"/>
      <c r="H48" s="89"/>
    </row>
    <row r="49" spans="2:8" ht="15">
      <c r="B49" s="272" t="s">
        <v>927</v>
      </c>
      <c r="C49" s="272"/>
      <c r="D49" s="22"/>
      <c r="E49" s="725" t="s">
        <v>845</v>
      </c>
      <c r="F49" s="727"/>
      <c r="G49" s="727"/>
      <c r="H49" s="89"/>
    </row>
    <row r="50" spans="2:8" ht="15">
      <c r="B50" s="65"/>
      <c r="C50" s="14"/>
      <c r="D50" s="22"/>
      <c r="E50" s="728"/>
      <c r="F50" s="725"/>
      <c r="G50" s="725"/>
      <c r="H50" s="89"/>
    </row>
    <row r="51" spans="2:8" ht="15">
      <c r="B51" s="526" t="s">
        <v>144</v>
      </c>
      <c r="C51" s="276">
        <f>H1-1</f>
        <v>2012</v>
      </c>
      <c r="D51" s="22"/>
      <c r="E51" s="725" t="s">
        <v>845</v>
      </c>
      <c r="F51" s="727"/>
      <c r="G51" s="727"/>
      <c r="H51" s="89"/>
    </row>
    <row r="52" spans="2:8" ht="15">
      <c r="B52" s="14"/>
      <c r="C52" s="14"/>
      <c r="D52" s="14"/>
      <c r="E52" s="725"/>
      <c r="F52" s="728"/>
      <c r="G52" s="725"/>
      <c r="H52" s="89"/>
    </row>
    <row r="53" spans="2:8" ht="15">
      <c r="B53" s="516"/>
      <c r="C53" s="14"/>
      <c r="D53" s="14"/>
      <c r="E53" s="725" t="s">
        <v>845</v>
      </c>
      <c r="F53" s="725"/>
      <c r="G53" s="725"/>
      <c r="H53" s="89"/>
    </row>
    <row r="54" spans="2:7" ht="15">
      <c r="B54" s="49" t="s">
        <v>289</v>
      </c>
      <c r="C54" s="14"/>
      <c r="D54" s="14"/>
      <c r="E54" s="767" t="s">
        <v>288</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Plum Creek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9"/>
      <c r="C3" s="769"/>
      <c r="D3" s="769"/>
      <c r="E3" s="769"/>
      <c r="F3" s="769"/>
      <c r="G3" s="769"/>
      <c r="H3" s="769"/>
      <c r="I3" s="769"/>
      <c r="J3" s="769"/>
    </row>
    <row r="4" spans="1:10" ht="15">
      <c r="A4" s="14"/>
      <c r="B4" s="14"/>
      <c r="C4" s="14"/>
      <c r="D4" s="14"/>
      <c r="E4" s="769"/>
      <c r="F4" s="769"/>
      <c r="G4" s="769"/>
      <c r="H4" s="124"/>
      <c r="I4" s="14"/>
      <c r="J4" s="241" t="s">
        <v>76</v>
      </c>
    </row>
    <row r="5" spans="1:10" ht="15">
      <c r="A5" s="242" t="s">
        <v>77</v>
      </c>
      <c r="B5" s="14" t="str">
        <f>CONCATENATE("Total Tax Levy Amount in ",J1-1,"")</f>
        <v>Total Tax Levy Amount in 2012</v>
      </c>
      <c r="C5" s="14"/>
      <c r="D5" s="14"/>
      <c r="E5" s="55"/>
      <c r="F5" s="55"/>
      <c r="G5" s="55"/>
      <c r="H5" s="243" t="s">
        <v>15</v>
      </c>
      <c r="I5" s="55" t="s">
        <v>2</v>
      </c>
      <c r="J5" s="244">
        <f>inputPrYr!E26</f>
        <v>20645</v>
      </c>
    </row>
    <row r="6" spans="1:10" ht="15">
      <c r="A6" s="242" t="s">
        <v>78</v>
      </c>
      <c r="B6" s="14" t="str">
        <f>CONCATENATE("Debt Service Levy in ",J1-1,"")</f>
        <v>Debt Service Levy in 2012</v>
      </c>
      <c r="C6" s="14"/>
      <c r="D6" s="14"/>
      <c r="E6" s="55"/>
      <c r="F6" s="55"/>
      <c r="G6" s="55"/>
      <c r="H6" s="243" t="s">
        <v>79</v>
      </c>
      <c r="I6" s="55" t="s">
        <v>2</v>
      </c>
      <c r="J6" s="245">
        <f>inputPrYr!E17</f>
        <v>0</v>
      </c>
    </row>
    <row r="7" spans="1:10" ht="15">
      <c r="A7" s="242" t="s">
        <v>80</v>
      </c>
      <c r="B7" s="17" t="s">
        <v>103</v>
      </c>
      <c r="C7" s="14"/>
      <c r="D7" s="14"/>
      <c r="E7" s="55"/>
      <c r="F7" s="55"/>
      <c r="G7" s="55"/>
      <c r="H7" s="55"/>
      <c r="I7" s="55" t="s">
        <v>2</v>
      </c>
      <c r="J7" s="246">
        <f>J5-J6</f>
        <v>20645</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81</v>
      </c>
      <c r="B11" s="17" t="str">
        <f>CONCATENATE("New Improvements for ",J1-1,":")</f>
        <v>New Improvements for 2012:</v>
      </c>
      <c r="C11" s="14"/>
      <c r="D11" s="14"/>
      <c r="E11" s="243"/>
      <c r="F11" s="243" t="s">
        <v>15</v>
      </c>
      <c r="G11" s="244">
        <f>inputOth!E8</f>
        <v>47900</v>
      </c>
      <c r="H11" s="53"/>
      <c r="I11" s="55"/>
      <c r="J11" s="55"/>
    </row>
    <row r="12" spans="1:10" ht="15">
      <c r="A12" s="242"/>
      <c r="B12" s="242"/>
      <c r="C12" s="14"/>
      <c r="D12" s="14"/>
      <c r="E12" s="243"/>
      <c r="F12" s="243"/>
      <c r="G12" s="53"/>
      <c r="H12" s="53"/>
      <c r="I12" s="55"/>
      <c r="J12" s="55"/>
    </row>
    <row r="13" spans="1:10" ht="15">
      <c r="A13" s="242" t="s">
        <v>82</v>
      </c>
      <c r="B13" s="17" t="str">
        <f>CONCATENATE("Increase in Personal Property for ",J1-1,":")</f>
        <v>Increase in Personal Property for 2012:</v>
      </c>
      <c r="C13" s="14"/>
      <c r="D13" s="14"/>
      <c r="E13" s="243"/>
      <c r="F13" s="243"/>
      <c r="G13" s="53"/>
      <c r="H13" s="53"/>
      <c r="I13" s="55"/>
      <c r="J13" s="55"/>
    </row>
    <row r="14" spans="1:10" ht="15">
      <c r="A14" s="14"/>
      <c r="B14" s="14" t="s">
        <v>83</v>
      </c>
      <c r="C14" s="14" t="str">
        <f>CONCATENATE("Personal Property ",J1-1,"")</f>
        <v>Personal Property 2012</v>
      </c>
      <c r="D14" s="242" t="s">
        <v>15</v>
      </c>
      <c r="E14" s="244">
        <f>inputOth!E9</f>
        <v>80193</v>
      </c>
      <c r="F14" s="243"/>
      <c r="G14" s="55"/>
      <c r="H14" s="55"/>
      <c r="I14" s="53"/>
      <c r="J14" s="55"/>
    </row>
    <row r="15" spans="1:10" ht="15">
      <c r="A15" s="242"/>
      <c r="B15" s="14" t="s">
        <v>84</v>
      </c>
      <c r="C15" s="14" t="str">
        <f>CONCATENATE("Personal Property ",J1-2,"")</f>
        <v>Personal Property 2011</v>
      </c>
      <c r="D15" s="242" t="s">
        <v>79</v>
      </c>
      <c r="E15" s="246">
        <f>inputOth!E11</f>
        <v>69294</v>
      </c>
      <c r="F15" s="243"/>
      <c r="G15" s="53"/>
      <c r="H15" s="53"/>
      <c r="I15" s="55"/>
      <c r="J15" s="55"/>
    </row>
    <row r="16" spans="1:10" ht="15">
      <c r="A16" s="242"/>
      <c r="B16" s="14" t="s">
        <v>85</v>
      </c>
      <c r="C16" s="14" t="s">
        <v>104</v>
      </c>
      <c r="D16" s="14"/>
      <c r="E16" s="55"/>
      <c r="F16" s="55" t="s">
        <v>15</v>
      </c>
      <c r="G16" s="244">
        <f>IF(E14&gt;E15,E14-E15,0)</f>
        <v>10899</v>
      </c>
      <c r="H16" s="53"/>
      <c r="I16" s="55"/>
      <c r="J16" s="55"/>
    </row>
    <row r="17" spans="1:10" ht="15">
      <c r="A17" s="242"/>
      <c r="B17" s="242"/>
      <c r="C17" s="14"/>
      <c r="D17" s="14"/>
      <c r="E17" s="55"/>
      <c r="F17" s="55"/>
      <c r="G17" s="53" t="s">
        <v>93</v>
      </c>
      <c r="H17" s="53"/>
      <c r="I17" s="55"/>
      <c r="J17" s="55"/>
    </row>
    <row r="18" spans="1:10" ht="15">
      <c r="A18" s="242" t="s">
        <v>86</v>
      </c>
      <c r="B18" s="17" t="str">
        <f>CONCATENATE("Valuation of Property that Changed in Use during ",J1-1,":")</f>
        <v>Valuation of Property that Changed in Use during 2012:</v>
      </c>
      <c r="C18" s="14"/>
      <c r="D18" s="14"/>
      <c r="E18" s="55"/>
      <c r="F18" s="243" t="s">
        <v>15</v>
      </c>
      <c r="G18" s="244">
        <f>inputOth!E10</f>
        <v>6133</v>
      </c>
      <c r="H18" s="55"/>
      <c r="I18" s="55"/>
      <c r="J18" s="55"/>
    </row>
    <row r="19" spans="1:10" ht="15">
      <c r="A19" s="14" t="s">
        <v>273</v>
      </c>
      <c r="B19" s="14"/>
      <c r="C19" s="14"/>
      <c r="D19" s="242"/>
      <c r="E19" s="53"/>
      <c r="F19" s="53"/>
      <c r="G19" s="53"/>
      <c r="H19" s="55"/>
      <c r="I19" s="55"/>
      <c r="J19" s="55"/>
    </row>
    <row r="20" spans="1:10" ht="15">
      <c r="A20" s="242" t="s">
        <v>87</v>
      </c>
      <c r="B20" s="17" t="s">
        <v>105</v>
      </c>
      <c r="C20" s="14"/>
      <c r="D20" s="14"/>
      <c r="E20" s="55"/>
      <c r="F20" s="55"/>
      <c r="G20" s="244">
        <f>G11+G16+G18</f>
        <v>64932</v>
      </c>
      <c r="H20" s="53"/>
      <c r="I20" s="55"/>
      <c r="J20" s="55"/>
    </row>
    <row r="21" spans="1:10" ht="15">
      <c r="A21" s="242"/>
      <c r="B21" s="242"/>
      <c r="C21" s="17"/>
      <c r="D21" s="14"/>
      <c r="E21" s="55"/>
      <c r="F21" s="55"/>
      <c r="G21" s="53"/>
      <c r="H21" s="53"/>
      <c r="I21" s="55"/>
      <c r="J21" s="55"/>
    </row>
    <row r="22" spans="1:10" ht="15">
      <c r="A22" s="242" t="s">
        <v>88</v>
      </c>
      <c r="B22" s="14" t="str">
        <f>CONCATENATE("Total Estimated Valuation July 1,",J1-1,"")</f>
        <v>Total Estimated Valuation July 1,2012</v>
      </c>
      <c r="C22" s="14"/>
      <c r="D22" s="14"/>
      <c r="E22" s="244">
        <f>inputOth!E7</f>
        <v>2076242</v>
      </c>
      <c r="F22" s="55"/>
      <c r="G22" s="55"/>
      <c r="H22" s="55"/>
      <c r="I22" s="243"/>
      <c r="J22" s="55"/>
    </row>
    <row r="23" spans="1:10" ht="15">
      <c r="A23" s="242"/>
      <c r="B23" s="242"/>
      <c r="C23" s="14"/>
      <c r="D23" s="14"/>
      <c r="E23" s="53"/>
      <c r="F23" s="55"/>
      <c r="G23" s="55"/>
      <c r="H23" s="55"/>
      <c r="I23" s="243"/>
      <c r="J23" s="55"/>
    </row>
    <row r="24" spans="1:10" ht="15">
      <c r="A24" s="242" t="s">
        <v>89</v>
      </c>
      <c r="B24" s="17" t="s">
        <v>106</v>
      </c>
      <c r="C24" s="14"/>
      <c r="D24" s="14"/>
      <c r="E24" s="55"/>
      <c r="F24" s="55"/>
      <c r="G24" s="244">
        <f>E22-G20</f>
        <v>2011310</v>
      </c>
      <c r="H24" s="53"/>
      <c r="I24" s="243"/>
      <c r="J24" s="55"/>
    </row>
    <row r="25" spans="1:10" ht="15">
      <c r="A25" s="242"/>
      <c r="B25" s="242"/>
      <c r="C25" s="17"/>
      <c r="D25" s="14"/>
      <c r="E25" s="14"/>
      <c r="F25" s="14"/>
      <c r="G25" s="247"/>
      <c r="H25" s="19"/>
      <c r="I25" s="242"/>
      <c r="J25" s="14"/>
    </row>
    <row r="26" spans="1:10" ht="15">
      <c r="A26" s="242" t="s">
        <v>90</v>
      </c>
      <c r="B26" s="14" t="s">
        <v>107</v>
      </c>
      <c r="C26" s="14"/>
      <c r="D26" s="14"/>
      <c r="E26" s="14"/>
      <c r="F26" s="14"/>
      <c r="G26" s="248">
        <f>IF(G20&gt;0,G20/G24,0)</f>
        <v>0.03228343716284412</v>
      </c>
      <c r="H26" s="19"/>
      <c r="I26" s="14"/>
      <c r="J26" s="14"/>
    </row>
    <row r="27" spans="1:10" ht="15">
      <c r="A27" s="242"/>
      <c r="B27" s="242"/>
      <c r="C27" s="14"/>
      <c r="D27" s="14"/>
      <c r="E27" s="14"/>
      <c r="F27" s="14"/>
      <c r="G27" s="19"/>
      <c r="H27" s="19"/>
      <c r="I27" s="14"/>
      <c r="J27" s="14"/>
    </row>
    <row r="28" spans="1:10" ht="15">
      <c r="A28" s="242" t="s">
        <v>91</v>
      </c>
      <c r="B28" s="14" t="s">
        <v>108</v>
      </c>
      <c r="C28" s="14"/>
      <c r="D28" s="14"/>
      <c r="E28" s="14"/>
      <c r="F28" s="14"/>
      <c r="G28" s="19"/>
      <c r="H28" s="249" t="s">
        <v>15</v>
      </c>
      <c r="I28" s="14" t="s">
        <v>2</v>
      </c>
      <c r="J28" s="244">
        <f>ROUND(G26*J7,0)</f>
        <v>666</v>
      </c>
    </row>
    <row r="29" spans="1:10" ht="15">
      <c r="A29" s="242"/>
      <c r="B29" s="242"/>
      <c r="C29" s="14"/>
      <c r="D29" s="14"/>
      <c r="E29" s="14"/>
      <c r="F29" s="14"/>
      <c r="G29" s="19"/>
      <c r="H29" s="249"/>
      <c r="I29" s="14"/>
      <c r="J29" s="53"/>
    </row>
    <row r="30" spans="1:10" ht="15.75" thickBot="1">
      <c r="A30" s="242" t="s">
        <v>92</v>
      </c>
      <c r="B30" s="17" t="s">
        <v>112</v>
      </c>
      <c r="C30" s="14"/>
      <c r="D30" s="14"/>
      <c r="E30" s="14"/>
      <c r="F30" s="14"/>
      <c r="G30" s="14"/>
      <c r="H30" s="14"/>
      <c r="I30" s="14" t="s">
        <v>2</v>
      </c>
      <c r="J30" s="250">
        <f>J7+J28</f>
        <v>21311</v>
      </c>
    </row>
    <row r="31" spans="1:10" ht="15.75" thickTop="1">
      <c r="A31" s="14"/>
      <c r="B31" s="14"/>
      <c r="C31" s="14"/>
      <c r="D31" s="14"/>
      <c r="E31" s="14"/>
      <c r="F31" s="14"/>
      <c r="G31" s="14"/>
      <c r="H31" s="14"/>
      <c r="I31" s="14"/>
      <c r="J31" s="14"/>
    </row>
    <row r="32" spans="1:10" ht="15">
      <c r="A32" s="242" t="s">
        <v>110</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111</v>
      </c>
      <c r="B34" s="17" t="s">
        <v>113</v>
      </c>
      <c r="C34" s="14"/>
      <c r="D34" s="14"/>
      <c r="E34" s="14"/>
      <c r="F34" s="14"/>
      <c r="G34" s="14"/>
      <c r="H34" s="14"/>
      <c r="I34" s="14"/>
      <c r="J34" s="250">
        <f>J30+J32</f>
        <v>21311</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Plum Creek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761</v>
      </c>
      <c r="C6" s="768"/>
      <c r="D6" s="768"/>
      <c r="E6" s="768"/>
      <c r="F6" s="768"/>
      <c r="G6" s="768"/>
      <c r="H6" s="768"/>
      <c r="I6" s="768"/>
      <c r="J6" s="768"/>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759</v>
      </c>
      <c r="C9" s="168"/>
      <c r="D9" s="551" t="s">
        <v>760</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74</v>
      </c>
      <c r="H10" s="26"/>
      <c r="I10" s="26" t="s">
        <v>75</v>
      </c>
      <c r="J10" s="159" t="s">
        <v>117</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20645</v>
      </c>
      <c r="E14" s="130">
        <f>IF(inputOth!D20&gt;0,inputOth!D20,"  ")</f>
        <v>10.825</v>
      </c>
      <c r="F14" s="716"/>
      <c r="G14" s="159">
        <f>IF(inputPrYr!E19=0,0,ROUND(D14*$G$30,0))</f>
        <v>1929</v>
      </c>
      <c r="H14" s="717"/>
      <c r="I14" s="159">
        <f>IF(inputPrYr!$E$19=0,0,ROUND($D$14*$I$32,0))</f>
        <v>13</v>
      </c>
      <c r="J14" s="159">
        <f>IF(inputPrYr!E19=0,0,ROUND($D14*$J$34,0))</f>
        <v>771</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271</v>
      </c>
      <c r="C21" s="234"/>
      <c r="D21" s="718">
        <f>SUM(D11:D20)</f>
        <v>20645</v>
      </c>
      <c r="E21" s="719">
        <f>SUM(E11:E20)</f>
        <v>10.825</v>
      </c>
      <c r="F21" s="720"/>
      <c r="G21" s="718">
        <f>SUM(G11:G20)</f>
        <v>1929</v>
      </c>
      <c r="H21" s="718"/>
      <c r="I21" s="718">
        <f>SUM(I11:I20)</f>
        <v>13</v>
      </c>
      <c r="J21" s="718">
        <f>SUM(J11:J20)</f>
        <v>771</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1929</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13</v>
      </c>
      <c r="J25" s="14"/>
      <c r="K25" s="14"/>
      <c r="L25" s="89"/>
    </row>
    <row r="26" spans="2:12" ht="15">
      <c r="B26" s="14"/>
      <c r="C26" s="14"/>
      <c r="D26" s="14"/>
      <c r="E26" s="14"/>
      <c r="F26" s="14"/>
      <c r="G26" s="14"/>
      <c r="H26" s="14"/>
      <c r="I26" s="14"/>
      <c r="J26" s="14"/>
      <c r="K26" s="14"/>
      <c r="L26" s="89"/>
    </row>
    <row r="27" spans="2:12" ht="15">
      <c r="B27" s="22" t="s">
        <v>72</v>
      </c>
      <c r="C27" s="14"/>
      <c r="D27" s="14"/>
      <c r="E27" s="14"/>
      <c r="F27" s="14"/>
      <c r="G27" s="14"/>
      <c r="H27" s="14"/>
      <c r="I27" s="14"/>
      <c r="J27" s="78">
        <f>inputOth!E34</f>
        <v>771</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0.09343666747396465</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0.0006296924194720272</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73</v>
      </c>
      <c r="H34" s="14"/>
      <c r="I34" s="14"/>
      <c r="J34" s="235">
        <f>IF(D21=0,0,J27/D21)</f>
        <v>0.0373456042625333</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Plum Creek Township</v>
      </c>
      <c r="B2" s="87"/>
      <c r="C2" s="14"/>
      <c r="D2" s="14"/>
      <c r="E2" s="52"/>
      <c r="F2" s="14"/>
    </row>
    <row r="3" spans="1:6" ht="15">
      <c r="A3" s="13"/>
      <c r="B3" s="87"/>
      <c r="C3" s="14"/>
      <c r="D3" s="14"/>
      <c r="E3" s="52"/>
      <c r="F3" s="14"/>
    </row>
    <row r="4" spans="1:6" ht="15">
      <c r="A4" s="13"/>
      <c r="B4" s="14"/>
      <c r="C4" s="14"/>
      <c r="D4" s="14"/>
      <c r="E4" s="52"/>
      <c r="F4" s="14"/>
    </row>
    <row r="5" spans="1:6" ht="15" customHeight="1">
      <c r="A5" s="769" t="s">
        <v>164</v>
      </c>
      <c r="B5" s="769"/>
      <c r="C5" s="769"/>
      <c r="D5" s="769"/>
      <c r="E5" s="769"/>
      <c r="F5" s="769"/>
    </row>
    <row r="6" spans="1:6" ht="14.25" customHeight="1">
      <c r="A6" s="124"/>
      <c r="B6" s="210"/>
      <c r="C6" s="210"/>
      <c r="D6" s="210"/>
      <c r="E6" s="210"/>
      <c r="F6" s="210"/>
    </row>
    <row r="7" spans="1:6" ht="15" customHeight="1">
      <c r="A7" s="211" t="s">
        <v>279</v>
      </c>
      <c r="B7" s="211" t="s">
        <v>606</v>
      </c>
      <c r="C7" s="212" t="s">
        <v>32</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2011</v>
      </c>
      <c r="D9" s="216">
        <f>F1-1</f>
        <v>2012</v>
      </c>
      <c r="E9" s="216">
        <f>F1</f>
        <v>2013</v>
      </c>
      <c r="F9" s="216" t="s">
        <v>266</v>
      </c>
    </row>
    <row r="10" spans="1:6" ht="15" customHeight="1" thickTop="1">
      <c r="A10" s="218"/>
      <c r="B10" s="218"/>
      <c r="C10" s="219"/>
      <c r="D10" s="219"/>
      <c r="E10" s="219"/>
      <c r="F10" s="218"/>
    </row>
    <row r="11" spans="1:6" ht="15" customHeight="1">
      <c r="A11" s="72" t="s">
        <v>244</v>
      </c>
      <c r="B11" s="72" t="s">
        <v>283</v>
      </c>
      <c r="C11" s="220">
        <f>gen!$C$33</f>
        <v>0</v>
      </c>
      <c r="D11" s="220">
        <f>gen!$D$33</f>
        <v>0</v>
      </c>
      <c r="E11" s="220">
        <f>gen!$E$33</f>
        <v>0</v>
      </c>
      <c r="F11" s="72">
        <f>IF(C11+D11+E11&gt;0,"80-1406b","")</f>
      </c>
    </row>
    <row r="12" spans="1:6" ht="15" customHeight="1">
      <c r="A12" s="72" t="s">
        <v>244</v>
      </c>
      <c r="B12" s="72" t="s">
        <v>283</v>
      </c>
      <c r="C12" s="220">
        <f>gen!$C$35</f>
        <v>0</v>
      </c>
      <c r="D12" s="220">
        <f>gen!$D$35</f>
        <v>0</v>
      </c>
      <c r="E12" s="220">
        <f>gen!$E$35</f>
        <v>0</v>
      </c>
      <c r="F12" s="72">
        <f>IF(C12+D12+E12&gt;0,"80-122","")</f>
      </c>
    </row>
    <row r="13" spans="1:6" ht="15" customHeight="1">
      <c r="A13" s="72" t="s">
        <v>270</v>
      </c>
      <c r="B13" s="72" t="s">
        <v>283</v>
      </c>
      <c r="C13" s="220">
        <f>road!$C$35</f>
        <v>0</v>
      </c>
      <c r="D13" s="220">
        <f>road!$D$35</f>
        <v>0</v>
      </c>
      <c r="E13" s="220">
        <f>road!$E$35</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271</v>
      </c>
      <c r="C27" s="225">
        <f>SUM(C10:C26)</f>
        <v>0</v>
      </c>
      <c r="D27" s="225">
        <f>SUM(D10:D26)</f>
        <v>0</v>
      </c>
      <c r="E27" s="225">
        <f>SUM(E10:E26)</f>
        <v>0</v>
      </c>
      <c r="F27" s="128"/>
    </row>
    <row r="28" spans="1:6" ht="15">
      <c r="A28" s="128"/>
      <c r="B28" s="224" t="s">
        <v>605</v>
      </c>
      <c r="C28" s="128"/>
      <c r="D28" s="221"/>
      <c r="E28" s="221"/>
      <c r="F28" s="128"/>
    </row>
    <row r="29" spans="1:6" ht="15">
      <c r="A29" s="128"/>
      <c r="B29" s="176" t="s">
        <v>172</v>
      </c>
      <c r="C29" s="226">
        <f>C27</f>
        <v>0</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609</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313</v>
      </c>
    </row>
    <row r="2" ht="15">
      <c r="A2" s="79"/>
    </row>
    <row r="3" ht="51" customHeight="1">
      <c r="A3" s="393" t="s">
        <v>706</v>
      </c>
    </row>
    <row r="4" ht="17.25" customHeight="1">
      <c r="A4" s="393"/>
    </row>
    <row r="5" ht="15">
      <c r="A5" s="79"/>
    </row>
    <row r="6" ht="52.5" customHeight="1">
      <c r="A6" s="161" t="s">
        <v>354</v>
      </c>
    </row>
    <row r="7" ht="15">
      <c r="A7" s="79"/>
    </row>
    <row r="8" ht="15">
      <c r="A8" s="79"/>
    </row>
    <row r="9" ht="70.5" customHeight="1">
      <c r="A9" s="161" t="s">
        <v>355</v>
      </c>
    </row>
    <row r="10" ht="15">
      <c r="A10" s="162"/>
    </row>
    <row r="11" ht="15">
      <c r="A11" s="162"/>
    </row>
    <row r="12" ht="62.25">
      <c r="A12" s="482" t="s">
        <v>707</v>
      </c>
    </row>
    <row r="13" ht="15">
      <c r="A13" s="162"/>
    </row>
    <row r="14" ht="15">
      <c r="A14" s="162"/>
    </row>
    <row r="15" ht="62.25">
      <c r="A15" s="482" t="s">
        <v>708</v>
      </c>
    </row>
    <row r="16" ht="15">
      <c r="A16" s="162"/>
    </row>
    <row r="17" ht="15">
      <c r="A17" s="79"/>
    </row>
    <row r="18" ht="56.25" customHeight="1">
      <c r="A18" s="161" t="s">
        <v>356</v>
      </c>
    </row>
    <row r="19" ht="15">
      <c r="A19" s="162"/>
    </row>
    <row r="20" ht="15">
      <c r="A20" s="162"/>
    </row>
    <row r="21" ht="87.75" customHeight="1">
      <c r="A21" s="161" t="s">
        <v>357</v>
      </c>
    </row>
    <row r="22" ht="15">
      <c r="A22" s="162"/>
    </row>
    <row r="23" ht="15">
      <c r="A23" s="79"/>
    </row>
    <row r="24" ht="54.75" customHeight="1">
      <c r="A24" s="161" t="s">
        <v>358</v>
      </c>
    </row>
    <row r="25" ht="15">
      <c r="A25" s="79"/>
    </row>
    <row r="26" ht="15.75" customHeight="1">
      <c r="A26" s="79"/>
    </row>
    <row r="27" ht="69" customHeight="1">
      <c r="A27" s="161" t="s">
        <v>359</v>
      </c>
    </row>
    <row r="28" ht="15.75" customHeight="1">
      <c r="A28" s="161"/>
    </row>
    <row r="29" ht="15.75" customHeight="1">
      <c r="A29" s="161"/>
    </row>
    <row r="30" ht="87" customHeight="1">
      <c r="A30" s="161" t="s">
        <v>758</v>
      </c>
    </row>
    <row r="31" ht="15">
      <c r="A31" s="79"/>
    </row>
    <row r="32" ht="15">
      <c r="A32" s="206"/>
    </row>
    <row r="33" ht="47.25" customHeight="1">
      <c r="A33" s="207" t="s">
        <v>360</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2012-07-17T16:41:07Z</cp:lastPrinted>
  <dcterms:created xsi:type="dcterms:W3CDTF">1998-08-26T16:30:41Z</dcterms:created>
  <dcterms:modified xsi:type="dcterms:W3CDTF">2012-08-07T16:17:15Z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