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5160" tabRatio="850" activeTab="4"/>
  </bookViews>
  <sheets>
    <sheet name="instructions" sheetId="1" r:id="rId1"/>
    <sheet name="inputPrYr" sheetId="2" r:id="rId2"/>
    <sheet name="inputOth" sheetId="3" r:id="rId3"/>
    <sheet name="Sheet1" sheetId="4" r:id="rId4"/>
    <sheet name="cert" sheetId="5" r:id="rId5"/>
    <sheet name="computation" sheetId="6" r:id="rId6"/>
    <sheet name="mvalloc" sheetId="7" r:id="rId7"/>
    <sheet name="transfer" sheetId="8" r:id="rId8"/>
    <sheet name="debt" sheetId="9" r:id="rId9"/>
    <sheet name="gen" sheetId="10" r:id="rId10"/>
    <sheet name="summ" sheetId="11" r:id="rId11"/>
    <sheet name="Signed Certificate" sheetId="12" r:id="rId12"/>
    <sheet name="Affidavit" sheetId="13" r:id="rId13"/>
    <sheet name="bondint" sheetId="14" r:id="rId14"/>
    <sheet name="Resolution" sheetId="15" r:id="rId15"/>
    <sheet name="road" sheetId="16" r:id="rId16"/>
    <sheet name="levypage9" sheetId="17" r:id="rId17"/>
    <sheet name="levypage10" sheetId="18" r:id="rId18"/>
    <sheet name="levypage11" sheetId="19" r:id="rId19"/>
    <sheet name="levypage12" sheetId="20" r:id="rId20"/>
    <sheet name="nolevypage13" sheetId="21" r:id="rId21"/>
    <sheet name="nolevypage14" sheetId="22" r:id="rId22"/>
    <sheet name="nhood" sheetId="23" r:id="rId23"/>
    <sheet name="legend" sheetId="24" r:id="rId24"/>
  </sheets>
  <definedNames>
    <definedName name="_xlnm.Print_Area" localSheetId="9">'gen'!$A$1:$E$59</definedName>
    <definedName name="_xlnm.Print_Area" localSheetId="1">'inputPrYr'!$A$1:$E$83</definedName>
  </definedNames>
  <calcPr fullCalcOnLoad="1"/>
</workbook>
</file>

<file path=xl/sharedStrings.xml><?xml version="1.0" encoding="utf-8"?>
<sst xmlns="http://schemas.openxmlformats.org/spreadsheetml/2006/main" count="908" uniqueCount="377">
  <si>
    <r>
      <t xml:space="preserve">10.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</si>
  <si>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</si>
  <si>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</si>
  <si>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</si>
  <si>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</si>
  <si>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</si>
  <si>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</si>
  <si>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</si>
  <si>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</si>
  <si>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Enter Township Name followed by 'Township'</t>
  </si>
  <si>
    <t>Enter County Name followed by 'County'</t>
  </si>
  <si>
    <t>Note: The green shaded areas will automatically expand.</t>
  </si>
  <si>
    <t>68-518c</t>
  </si>
  <si>
    <t>Allocation of Motor, Recreational, 16/20M Vehicle Tax, and Slider</t>
  </si>
  <si>
    <t>TOTAL</t>
  </si>
  <si>
    <t>Net Valuation Factor:</t>
  </si>
  <si>
    <t>Neighborhood Revitalization Subj to Rebate</t>
  </si>
  <si>
    <t>Neighborhood Revitalization factor</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</si>
  <si>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</si>
  <si>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</si>
  <si>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</si>
  <si>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</si>
  <si>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</si>
  <si>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</si>
  <si>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21. Added warning "Exceeds 5%" on all levy fund pages for the non-appropirated balance.</t>
  </si>
  <si>
    <t>8. Added  LAVTR to the input page and to the General Fund page.</t>
  </si>
  <si>
    <t>15. Budget Summary changed the sentence "will meet…" so the year appears as YYYY.</t>
  </si>
  <si>
    <t>Township Assessed Valuation Only</t>
  </si>
  <si>
    <r>
      <t xml:space="preserve">11g. The Budget Summary computation for mil rate for Road and Noxious Weed </t>
    </r>
    <r>
      <rPr>
        <u val="single"/>
        <sz val="12"/>
        <rFont val="Times New Roman"/>
        <family val="1"/>
      </rPr>
      <t>uses only</t>
    </r>
    <r>
      <rPr>
        <sz val="12"/>
        <rFont val="Times New Roman"/>
        <family val="1"/>
      </rPr>
      <t xml:space="preserve"> the township valuation and the rest of the funds mil rate uses the total valuation which includes the third class cities. If Road and Noxious Weed funds are not used, then delete them from the input page, but </t>
    </r>
    <r>
      <rPr>
        <b/>
        <sz val="12"/>
        <rFont val="Times New Roman"/>
        <family val="1"/>
      </rPr>
      <t>do not</t>
    </r>
    <r>
      <rPr>
        <sz val="12"/>
        <rFont val="Times New Roman"/>
        <family val="1"/>
      </rPr>
      <t xml:space="preserve"> replace them with any other funds. </t>
    </r>
  </si>
  <si>
    <t xml:space="preserve"> State Use Only</t>
  </si>
  <si>
    <t xml:space="preserve"> Received________________</t>
  </si>
  <si>
    <t xml:space="preserve"> Reviewed by_____________</t>
  </si>
  <si>
    <t xml:space="preserve"> Follow-up: Yes___No___</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</si>
  <si>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</si>
  <si>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</si>
  <si>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</si>
  <si>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</si>
  <si>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</si>
  <si>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</si>
  <si>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</si>
  <si>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</si>
  <si>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</si>
  <si>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</si>
  <si>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</si>
  <si>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</si>
  <si>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</si>
  <si>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</si>
  <si>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</si>
  <si>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</si>
  <si>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</si>
  <si>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</si>
  <si>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68-141g</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</si>
  <si>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</si>
  <si>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</si>
  <si>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</si>
  <si>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</si>
  <si>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</si>
  <si>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</si>
  <si>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</si>
  <si>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</si>
  <si>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</si>
  <si>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</si>
  <si>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</si>
  <si>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</si>
  <si>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</si>
  <si>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</si>
  <si>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</si>
  <si>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</si>
  <si>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</si>
  <si>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</si>
  <si>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</si>
  <si>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</si>
  <si>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</si>
  <si>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Code</t>
  </si>
  <si>
    <t>Unencumbered Cash Balance, Jan 1</t>
  </si>
  <si>
    <t>+</t>
  </si>
  <si>
    <t>Ad Valorem Tax</t>
  </si>
  <si>
    <t>Delinquent Tax</t>
  </si>
  <si>
    <t>Motor Vehicle Tax</t>
  </si>
  <si>
    <t>Recreational Vehicle Tax</t>
  </si>
  <si>
    <t>Gross Earnings (Intangibles) Tax</t>
  </si>
  <si>
    <t>Other</t>
  </si>
  <si>
    <t>U99</t>
  </si>
  <si>
    <t>Interest on Idle Funds</t>
  </si>
  <si>
    <t>Total Receipts</t>
  </si>
  <si>
    <t>Resources Available:</t>
  </si>
  <si>
    <t>Expenditures:</t>
  </si>
  <si>
    <t>Total Expenditures</t>
  </si>
  <si>
    <t>Unencumbered Cash Balance, Dec 31</t>
  </si>
  <si>
    <t>W61</t>
  </si>
  <si>
    <t>Non-Appropriated Balance</t>
  </si>
  <si>
    <t>Tax Required</t>
  </si>
  <si>
    <t>%</t>
  </si>
  <si>
    <t>NR</t>
  </si>
  <si>
    <t>U20</t>
  </si>
  <si>
    <t>F44</t>
  </si>
  <si>
    <t xml:space="preserve">Special Machinery </t>
  </si>
  <si>
    <t xml:space="preserve">     K.S.A. 68-141g</t>
  </si>
  <si>
    <t>Actual</t>
  </si>
  <si>
    <t>Transfers from:</t>
  </si>
  <si>
    <t xml:space="preserve">  Road Fund</t>
  </si>
  <si>
    <t xml:space="preserve">        </t>
  </si>
  <si>
    <t xml:space="preserve">    </t>
  </si>
  <si>
    <t xml:space="preserve">       </t>
  </si>
  <si>
    <t xml:space="preserve">     </t>
  </si>
  <si>
    <t>The governing body of</t>
  </si>
  <si>
    <t>hearing and answering objections of taxpayers relating  to the proposed use of all funds and the amount</t>
  </si>
  <si>
    <t>and will be available at this hearing.</t>
  </si>
  <si>
    <t>Est.</t>
  </si>
  <si>
    <t>Tax</t>
  </si>
  <si>
    <t>Expenditures</t>
  </si>
  <si>
    <t>Rate*</t>
  </si>
  <si>
    <t>Less: Transfers</t>
  </si>
  <si>
    <t>Net Expenditure</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</si>
  <si>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</si>
  <si>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</si>
  <si>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</si>
  <si>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</si>
  <si>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</si>
  <si>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</si>
  <si>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</si>
  <si>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</si>
  <si>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</si>
  <si>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</si>
  <si>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</si>
  <si>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</si>
  <si>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</si>
  <si>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</si>
  <si>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</si>
  <si>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</si>
  <si>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</si>
  <si>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</si>
  <si>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</si>
  <si>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</si>
  <si>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</si>
  <si>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</si>
  <si>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</si>
  <si>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</si>
  <si>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</si>
  <si>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</si>
  <si>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</si>
  <si>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</si>
  <si>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</si>
  <si>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</si>
  <si>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</si>
  <si>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</si>
  <si>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</si>
  <si>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</si>
  <si>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</si>
  <si>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</si>
  <si>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</si>
  <si>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</si>
  <si>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</si>
  <si>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of ad valorem tax.</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</si>
  <si>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</si>
  <si>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</si>
  <si>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</si>
  <si>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</si>
  <si>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</si>
  <si>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</si>
  <si>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</si>
  <si>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</si>
  <si>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</si>
  <si>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</si>
  <si>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</si>
  <si>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</si>
  <si>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</si>
  <si>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</si>
  <si>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</si>
  <si>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</si>
  <si>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</si>
  <si>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</si>
  <si>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</si>
  <si>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</si>
  <si>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</si>
  <si>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</si>
  <si>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</si>
  <si>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</si>
  <si>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</si>
  <si>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</si>
  <si>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</si>
  <si>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</si>
  <si>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</si>
  <si>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</si>
  <si>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</si>
  <si>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</si>
  <si>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</si>
  <si>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</si>
  <si>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</si>
  <si>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</si>
  <si>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</si>
  <si>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</si>
  <si>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Co Treasurer Balance January 1</t>
  </si>
  <si>
    <t>Unencumbered Cash Balance January 1</t>
  </si>
  <si>
    <t>Co Treasurer Balance December 31</t>
  </si>
  <si>
    <t>Unencumbered Cash Balance Dec 31</t>
  </si>
  <si>
    <t>Receipts:</t>
  </si>
  <si>
    <t>16/20M Veh</t>
  </si>
  <si>
    <t>Outstanding</t>
  </si>
  <si>
    <t>(Beginning Principal)</t>
  </si>
  <si>
    <t>November 1st Valuation</t>
  </si>
  <si>
    <t>County Clerk's Use Only</t>
  </si>
  <si>
    <t>Salaries &amp; Wages</t>
  </si>
  <si>
    <t>Road Maintenance</t>
  </si>
  <si>
    <t>xxxxxxxxxxxxxxx</t>
  </si>
  <si>
    <t>xxxxxxxxxxxxxxxx</t>
  </si>
  <si>
    <t>xxxxxxxxxxxxxx</t>
  </si>
  <si>
    <t>xxxxxxxxxxxxx</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</si>
  <si>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</si>
  <si>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</si>
  <si>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</si>
  <si>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</si>
  <si>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</si>
  <si>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</si>
  <si>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</si>
  <si>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</si>
  <si>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</si>
  <si>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</si>
  <si>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</si>
  <si>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</si>
  <si>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</si>
  <si>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</si>
  <si>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</si>
  <si>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</si>
  <si>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</si>
  <si>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</si>
  <si>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</si>
  <si>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</si>
  <si>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</si>
  <si>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</si>
  <si>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</si>
  <si>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</si>
  <si>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</si>
  <si>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</si>
  <si>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Bond &amp; Interest</t>
  </si>
  <si>
    <t>In Lieu of Tax (IRB)</t>
  </si>
  <si>
    <t xml:space="preserve"> Delinquency Computation % Rate</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</si>
  <si>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</si>
  <si>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</si>
  <si>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</si>
  <si>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</si>
  <si>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</si>
  <si>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</si>
  <si>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</si>
  <si>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</si>
  <si>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</si>
  <si>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</si>
  <si>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</si>
  <si>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</si>
  <si>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</si>
  <si>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</si>
  <si>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</si>
  <si>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 xml:space="preserve">Fund </t>
  </si>
  <si>
    <t>Current</t>
  </si>
  <si>
    <t>Proposed</t>
  </si>
  <si>
    <t>Transfers</t>
  </si>
  <si>
    <t xml:space="preserve">Transferred </t>
  </si>
  <si>
    <t>Transferred</t>
  </si>
  <si>
    <t>Amount for</t>
  </si>
  <si>
    <t xml:space="preserve">Authorized by </t>
  </si>
  <si>
    <t>From:</t>
  </si>
  <si>
    <t xml:space="preserve">  To:</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</si>
  <si>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</si>
  <si>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</si>
  <si>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</si>
  <si>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</si>
  <si>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</si>
  <si>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The County Clerk may still require hard copies of the budget forms, even if they allow for electronic submission.  At a minimum for electronic submission, the County Clerk will want two (2) hard copy forms of the following documents: the Certificate Page (signed by the governing body), the newspaper publication of the 'Notice of Budget Hearing', the affidavit of publication (if the publication does not contain a publication date), and resolution (if needed). </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</si>
  <si>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</si>
  <si>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</si>
  <si>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</si>
  <si>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</si>
  <si>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</si>
  <si>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</si>
  <si>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</si>
  <si>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</si>
  <si>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</si>
  <si>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3a.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</si>
  <si>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6. The Schedule of Transfers (transfers) is completed from the individual completed fund pages. Be sure to provide the statute that authorizes the transfer.</t>
  </si>
  <si>
    <t>6a. The totals are now linked to the Budget Summary page. Adjustment occurs if the expenditure transfer does not show up in the total expenditures on the Budget Summary page.</t>
  </si>
  <si>
    <t xml:space="preserve">Townships can use the township.xls,  township1.xls, or township2.xls files.   You must choose a form that meets the needs for the number of funds.  If you don't need all the funds, just leave the pages blank and number the completed pages sequentially. </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</si>
  <si>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</si>
  <si>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</si>
  <si>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</si>
  <si>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</si>
  <si>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</si>
  <si>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</si>
  <si>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</si>
  <si>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</si>
  <si>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</si>
  <si>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</si>
  <si>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</si>
  <si>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Township1 Spreadsheet Instructions</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</si>
  <si>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</si>
  <si>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</si>
  <si>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</si>
  <si>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</si>
  <si>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</si>
  <si>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</si>
  <si>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</si>
  <si>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</si>
  <si>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</si>
  <si>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</si>
  <si>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</si>
  <si>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</si>
  <si>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</si>
  <si>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</si>
  <si>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</si>
  <si>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</si>
  <si>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</si>
  <si>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Township1.xls spreadsheet has General Fund, Bond &amp; Interest, Road Bridge, 8 levy fund pages, and 4 no levy fund pages. Additionally, the spreadsheet is setup to take in two Third Class Cities valuation and vehicle allocation. </t>
  </si>
  <si>
    <t xml:space="preserve">  Other</t>
  </si>
  <si>
    <t>1b. Information for up to two third class cities can be entered into the spreadsheet for the township's budget.</t>
  </si>
  <si>
    <r>
      <t xml:space="preserve">7.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</si>
  <si>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4a. Print the Resolution page (resolution) if the max levy is exceeded.  Complete the printed resolution and ensure to attached it the budget. Don't forget to number the resolution page as the page number is linked to the Budget Summary page.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</si>
  <si>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</si>
  <si>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</si>
  <si>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</si>
  <si>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</si>
  <si>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</si>
  <si>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</si>
  <si>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</si>
  <si>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</si>
  <si>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</si>
  <si>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</si>
  <si>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</si>
  <si>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</si>
  <si>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xxxxxxxxxxxxxxxxxxx</t>
  </si>
  <si>
    <t>25. Added Slider to the Vehicle Allocation table and linked to the fund pages.</t>
  </si>
  <si>
    <t>Total Expenditures/Non-Appropriated Bal</t>
  </si>
  <si>
    <t>(+)</t>
  </si>
  <si>
    <t>(-)</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</si>
  <si>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</si>
  <si>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</si>
  <si>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</si>
  <si>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</si>
  <si>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</si>
  <si>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</si>
  <si>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</si>
  <si>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</si>
  <si>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</si>
  <si>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</si>
  <si>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r>
      <t xml:space="preserve">8.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</si>
  <si>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5.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</si>
  <si>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</si>
  <si>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</si>
  <si>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r>
      <t xml:space="preserve">Paper submission of the budget, you will need to send two (2) copies of the completed budgets to your County Clerk Office. The County Clerk may also accept budgets in an electronic format, please contact your County Clerk directly for specific instructions and requirements.  Municipal Services will accept electric budgets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</si>
  <si>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</si>
  <si>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</si>
  <si>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</si>
  <si>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4. The majority of information on the Computation to Determine Limit Page (computation) comes from data on the Input Pages (inputpryr and inputoth) and Bond &amp; Interest Page (bondint). If there is incorrect information on the Computation Page, please correct the source of the information from either the Input Page or Bond &amp; Interest Page. If you can not correct the error, please call us for assistance.</t>
  </si>
  <si>
    <t>9.  The spreadsheet has individual fund sheets for General Fund (general), Bond &amp; Interest (bondint), Road (road),  8 levy pages (levy page9 to levy page12), and 4 no levy fund pages (nolevypage12 to nolevypage13),   Only complete the fund pages needed.  When the fund pages are completed, the totals will be linked to the Certificate and Budget Summary pages.</t>
  </si>
  <si>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</si>
  <si>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 xml:space="preserve">3b.  If someone other than a municipal employee assists in preparing the budget, please enter the person's or firm's name and address in the area provided. </t>
  </si>
  <si>
    <t>9a. For the tax levy funds, if the County Treasurer Balance Jan 1 and Dec 31 is used, then the Jan 1 amount is entered as a positive amount and Dec 31 amount is entered as a negative amount. The Jan 1 amount is added in the Resources Available only while the Dec 31 amount is added in the Total  Receipts. The Dec 31 negative amount is then changed to a positive amount and atomically linked to the follow year's Jan 1 amount.</t>
  </si>
  <si>
    <r>
      <t xml:space="preserve">9b.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</si>
  <si>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9c.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</si>
  <si>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 xml:space="preserve">9d. The Bond &amp; Interest fund page (bondint) can contain all debts owe by the township and the amounts should agree with the Statement of Indebtedness amounts.  Debts that </t>
    </r>
    <r>
      <rPr>
        <b/>
        <u val="single"/>
        <sz val="12"/>
        <rFont val="Times New Roman"/>
        <family val="1"/>
      </rPr>
      <t>are not from</t>
    </r>
    <r>
      <rPr>
        <sz val="12"/>
        <rFont val="Times New Roman"/>
        <family val="1"/>
      </rPr>
      <t xml:space="preserve"> a tax levy fund should have enough funds transferred into the Bond &amp; Interest fund to cover the bond principle and interest for these debts.</t>
    </r>
  </si>
  <si>
    <r>
      <t xml:space="preserve">9e.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</si>
  <si>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9f.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</si>
  <si>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9g.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 of Resource Available</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the Road and Special Machinery.</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</si>
  <si>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</si>
  <si>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</si>
  <si>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</si>
  <si>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Hackberry Township</t>
  </si>
  <si>
    <t>Labette</t>
  </si>
  <si>
    <t>Bartlett</t>
  </si>
  <si>
    <t>General Expense</t>
  </si>
  <si>
    <t>Lawn Care</t>
  </si>
  <si>
    <t>Fire Protection</t>
  </si>
  <si>
    <t>Cemetery</t>
  </si>
  <si>
    <t>Fuel</t>
  </si>
  <si>
    <t>Detailed budget information is available at the home of Richard Houston and the office of the County Clerk</t>
  </si>
  <si>
    <t xml:space="preserve">                        /s/  Richard Houston</t>
  </si>
  <si>
    <t>Linda Schreppel</t>
  </si>
  <si>
    <t>Special Machinery - Transfer</t>
  </si>
  <si>
    <t>will meet on the 30th  day of July, 2012, at 6:30 p.m., at the Hackberry Firestation for the purpose of</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</si>
</sst>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s>
  <fonts count="5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34"/>
        <bgColor indexed="64"/>
      </patternFill>
    </fill>
    <fill>
      <patternFill patternType="solid">
        <fgColor indexed="43"/>
        <bgColor indexed="64"/>
      </patternFill>
    </fill>
    <fill>
      <patternFill patternType="solid">
        <fgColor indexed="1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color indexed="63"/>
      </left>
      <right style="thin"/>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3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33" borderId="10" xfId="0" applyFont="1" applyFill="1" applyBorder="1" applyAlignment="1" applyProtection="1">
      <alignment/>
      <protection locked="0"/>
    </xf>
    <xf numFmtId="37" fontId="6" fillId="33" borderId="11" xfId="0" applyNumberFormat="1" applyFont="1" applyFill="1" applyBorder="1" applyAlignment="1" applyProtection="1">
      <alignment/>
      <protection locked="0"/>
    </xf>
    <xf numFmtId="0" fontId="6" fillId="0" borderId="0" xfId="0" applyFont="1" applyBorder="1" applyAlignment="1" applyProtection="1">
      <alignment/>
      <protection locked="0"/>
    </xf>
    <xf numFmtId="0" fontId="6" fillId="33" borderId="11" xfId="0" applyFont="1" applyFill="1" applyBorder="1" applyAlignment="1" applyProtection="1">
      <alignment/>
      <protection locked="0"/>
    </xf>
    <xf numFmtId="37" fontId="6" fillId="33" borderId="0" xfId="0" applyNumberFormat="1" applyFont="1" applyFill="1" applyAlignment="1" applyProtection="1">
      <alignment horizontal="left"/>
      <protection locked="0"/>
    </xf>
    <xf numFmtId="0" fontId="6" fillId="33" borderId="0" xfId="0" applyFont="1" applyFill="1" applyAlignment="1" applyProtection="1">
      <alignment/>
      <protection locked="0"/>
    </xf>
    <xf numFmtId="37" fontId="6" fillId="33" borderId="11" xfId="0" applyNumberFormat="1" applyFont="1" applyFill="1" applyBorder="1" applyAlignment="1" applyProtection="1">
      <alignment horizontal="left"/>
      <protection locked="0"/>
    </xf>
    <xf numFmtId="0" fontId="6" fillId="33" borderId="0" xfId="0" applyFont="1" applyFill="1" applyAlignment="1" applyProtection="1">
      <alignment/>
      <protection locked="0"/>
    </xf>
    <xf numFmtId="3" fontId="6" fillId="33" borderId="10" xfId="0" applyNumberFormat="1" applyFont="1" applyFill="1" applyBorder="1" applyAlignment="1" applyProtection="1">
      <alignment/>
      <protection locked="0"/>
    </xf>
    <xf numFmtId="164" fontId="6" fillId="33" borderId="0" xfId="0" applyNumberFormat="1" applyFont="1" applyFill="1" applyAlignment="1" applyProtection="1">
      <alignment/>
      <protection locked="0"/>
    </xf>
    <xf numFmtId="0" fontId="6" fillId="0" borderId="0" xfId="57" applyFont="1" applyProtection="1">
      <alignment/>
      <protection locked="0"/>
    </xf>
    <xf numFmtId="2" fontId="6" fillId="33" borderId="10" xfId="0" applyNumberFormat="1" applyFont="1" applyFill="1" applyBorder="1" applyAlignment="1" applyProtection="1">
      <alignment/>
      <protection locked="0"/>
    </xf>
    <xf numFmtId="0" fontId="6" fillId="0" borderId="0" xfId="58" applyFont="1">
      <alignment/>
      <protection/>
    </xf>
    <xf numFmtId="1" fontId="6" fillId="33" borderId="10" xfId="0" applyNumberFormat="1" applyFont="1" applyFill="1" applyBorder="1" applyAlignment="1" applyProtection="1">
      <alignment/>
      <protection locked="0"/>
    </xf>
    <xf numFmtId="0" fontId="5" fillId="0" borderId="0" xfId="0" applyFont="1" applyAlignment="1" applyProtection="1">
      <alignment/>
      <protection locked="0"/>
    </xf>
    <xf numFmtId="0" fontId="5" fillId="0" borderId="0" xfId="0" applyFont="1" applyAlignment="1">
      <alignment wrapText="1"/>
    </xf>
    <xf numFmtId="0" fontId="6" fillId="0" borderId="0" xfId="0" applyFont="1" applyFill="1" applyBorder="1" applyAlignment="1" applyProtection="1">
      <alignment/>
      <protection locked="0"/>
    </xf>
    <xf numFmtId="0" fontId="6" fillId="0" borderId="0" xfId="0" applyFont="1" applyFill="1" applyAlignment="1" applyProtection="1">
      <alignment/>
      <protection locked="0"/>
    </xf>
    <xf numFmtId="37" fontId="6" fillId="33" borderId="12" xfId="0" applyNumberFormat="1" applyFont="1" applyFill="1" applyBorder="1" applyAlignment="1" applyProtection="1">
      <alignment/>
      <protection locked="0"/>
    </xf>
    <xf numFmtId="0" fontId="0" fillId="0" borderId="0" xfId="0" applyAlignment="1" applyProtection="1">
      <alignment/>
      <protection locked="0"/>
    </xf>
    <xf numFmtId="3" fontId="6" fillId="33" borderId="10" xfId="0" applyNumberFormat="1" applyFont="1" applyFill="1" applyBorder="1" applyAlignment="1" applyProtection="1">
      <alignment/>
      <protection locked="0"/>
    </xf>
    <xf numFmtId="0" fontId="8" fillId="0" borderId="0" xfId="0" applyFont="1" applyAlignment="1">
      <alignment/>
    </xf>
    <xf numFmtId="37" fontId="7" fillId="34" borderId="0" xfId="0" applyNumberFormat="1" applyFont="1" applyFill="1" applyAlignment="1" applyProtection="1">
      <alignment/>
      <protection/>
    </xf>
    <xf numFmtId="37" fontId="6" fillId="34" borderId="10" xfId="0" applyNumberFormat="1" applyFont="1" applyFill="1" applyBorder="1" applyAlignment="1" applyProtection="1">
      <alignment/>
      <protection/>
    </xf>
    <xf numFmtId="37" fontId="6" fillId="34" borderId="13"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0" fontId="5" fillId="34" borderId="0" xfId="0" applyFont="1" applyFill="1" applyAlignment="1" applyProtection="1">
      <alignment horizontal="center"/>
      <protection/>
    </xf>
    <xf numFmtId="0" fontId="5" fillId="34" borderId="0" xfId="0" applyFont="1" applyFill="1" applyAlignment="1" applyProtection="1">
      <alignment horizontal="center" wrapText="1"/>
      <protection/>
    </xf>
    <xf numFmtId="0" fontId="6" fillId="34" borderId="0" xfId="0" applyFont="1" applyFill="1" applyAlignment="1" applyProtection="1" quotePrefix="1">
      <alignment/>
      <protection/>
    </xf>
    <xf numFmtId="3" fontId="6" fillId="34" borderId="0" xfId="0" applyNumberFormat="1" applyFont="1" applyFill="1" applyAlignment="1" applyProtection="1">
      <alignment/>
      <protection/>
    </xf>
    <xf numFmtId="3" fontId="6" fillId="34" borderId="0" xfId="0" applyNumberFormat="1" applyFont="1" applyFill="1" applyAlignment="1" applyProtection="1" quotePrefix="1">
      <alignment/>
      <protection/>
    </xf>
    <xf numFmtId="3" fontId="6" fillId="34" borderId="11" xfId="0" applyNumberFormat="1" applyFont="1" applyFill="1" applyBorder="1" applyAlignment="1" applyProtection="1">
      <alignment/>
      <protection/>
    </xf>
    <xf numFmtId="0" fontId="5" fillId="34" borderId="0" xfId="0"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14" xfId="0" applyFont="1" applyFill="1" applyBorder="1" applyAlignment="1" applyProtection="1">
      <alignment/>
      <protection/>
    </xf>
    <xf numFmtId="0" fontId="6" fillId="34" borderId="0" xfId="0" applyFont="1" applyFill="1" applyBorder="1" applyAlignment="1" applyProtection="1">
      <alignment/>
      <protection/>
    </xf>
    <xf numFmtId="169" fontId="6" fillId="34" borderId="11" xfId="0" applyNumberFormat="1" applyFont="1" applyFill="1" applyBorder="1" applyAlignment="1" applyProtection="1">
      <alignment/>
      <protection/>
    </xf>
    <xf numFmtId="0" fontId="6" fillId="34" borderId="0" xfId="0" applyFont="1" applyFill="1" applyBorder="1" applyAlignment="1" applyProtection="1" quotePrefix="1">
      <alignment/>
      <protection/>
    </xf>
    <xf numFmtId="3" fontId="6" fillId="34" borderId="15" xfId="0" applyNumberFormat="1"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0" fontId="7" fillId="34" borderId="0" xfId="0" applyFont="1" applyFill="1" applyBorder="1" applyAlignment="1" applyProtection="1">
      <alignment horizontal="centerContinuous"/>
      <protection/>
    </xf>
    <xf numFmtId="0" fontId="6" fillId="34" borderId="0" xfId="0" applyFont="1" applyFill="1" applyBorder="1" applyAlignment="1" applyProtection="1">
      <alignment horizontal="centerContinuous"/>
      <protection/>
    </xf>
    <xf numFmtId="0" fontId="6" fillId="34" borderId="16" xfId="0" applyFont="1" applyFill="1" applyBorder="1" applyAlignment="1" applyProtection="1">
      <alignment horizontal="center"/>
      <protection/>
    </xf>
    <xf numFmtId="37" fontId="6" fillId="34" borderId="16" xfId="0" applyNumberFormat="1" applyFont="1" applyFill="1" applyBorder="1" applyAlignment="1" applyProtection="1">
      <alignment horizontal="center"/>
      <protection/>
    </xf>
    <xf numFmtId="0" fontId="6" fillId="34" borderId="17" xfId="0" applyFont="1" applyFill="1" applyBorder="1" applyAlignment="1" applyProtection="1">
      <alignment horizontal="center"/>
      <protection/>
    </xf>
    <xf numFmtId="37" fontId="6" fillId="34" borderId="17"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protection/>
    </xf>
    <xf numFmtId="166" fontId="6" fillId="34" borderId="11" xfId="0" applyNumberFormat="1" applyFont="1" applyFill="1" applyBorder="1" applyAlignment="1" applyProtection="1">
      <alignment/>
      <protection/>
    </xf>
    <xf numFmtId="164" fontId="6" fillId="34" borderId="0" xfId="0" applyNumberFormat="1" applyFont="1" applyFill="1" applyAlignment="1" applyProtection="1">
      <alignment/>
      <protection/>
    </xf>
    <xf numFmtId="0" fontId="7" fillId="34" borderId="0" xfId="0" applyFont="1" applyFill="1" applyAlignment="1" applyProtection="1">
      <alignment/>
      <protection/>
    </xf>
    <xf numFmtId="37" fontId="6" fillId="34" borderId="0" xfId="57" applyNumberFormat="1" applyFont="1" applyFill="1" applyProtection="1">
      <alignment/>
      <protection/>
    </xf>
    <xf numFmtId="0" fontId="6" fillId="34" borderId="0" xfId="57" applyFont="1" applyFill="1" applyProtection="1">
      <alignment/>
      <protection/>
    </xf>
    <xf numFmtId="0" fontId="5" fillId="34" borderId="0" xfId="58" applyFont="1" applyFill="1" applyAlignment="1" applyProtection="1">
      <alignment horizontal="centerContinuous"/>
      <protection/>
    </xf>
    <xf numFmtId="0" fontId="6" fillId="34" borderId="0" xfId="57" applyFont="1" applyFill="1" applyAlignment="1" applyProtection="1">
      <alignment horizontal="centerContinuous"/>
      <protection/>
    </xf>
    <xf numFmtId="0" fontId="6" fillId="34" borderId="18" xfId="0" applyFont="1" applyFill="1" applyBorder="1" applyAlignment="1" applyProtection="1">
      <alignment horizontal="centerContinuous"/>
      <protection/>
    </xf>
    <xf numFmtId="0" fontId="6" fillId="34" borderId="19" xfId="0" applyFont="1" applyFill="1" applyBorder="1" applyAlignment="1" applyProtection="1">
      <alignment horizontal="centerContinuous"/>
      <protection/>
    </xf>
    <xf numFmtId="0" fontId="6" fillId="34" borderId="20" xfId="0" applyFont="1" applyFill="1" applyBorder="1" applyAlignment="1" applyProtection="1">
      <alignment horizontal="center"/>
      <protection/>
    </xf>
    <xf numFmtId="0" fontId="6" fillId="34" borderId="21" xfId="0" applyFont="1" applyFill="1" applyBorder="1" applyAlignment="1" applyProtection="1">
      <alignment horizontal="centerContinuous"/>
      <protection/>
    </xf>
    <xf numFmtId="0" fontId="6" fillId="34" borderId="22" xfId="0" applyFont="1" applyFill="1" applyBorder="1" applyAlignment="1" applyProtection="1">
      <alignment horizontal="centerContinuous"/>
      <protection/>
    </xf>
    <xf numFmtId="0" fontId="6" fillId="34" borderId="22" xfId="0" applyFont="1" applyFill="1" applyBorder="1" applyAlignment="1" applyProtection="1">
      <alignment horizontal="left"/>
      <protection/>
    </xf>
    <xf numFmtId="14" fontId="6" fillId="34" borderId="17" xfId="0" applyNumberFormat="1" applyFont="1" applyFill="1" applyBorder="1" applyAlignment="1" applyProtection="1" quotePrefix="1">
      <alignment horizontal="center"/>
      <protection/>
    </xf>
    <xf numFmtId="0" fontId="6" fillId="34" borderId="10" xfId="0" applyFont="1" applyFill="1" applyBorder="1" applyAlignment="1" applyProtection="1">
      <alignment horizontal="center"/>
      <protection/>
    </xf>
    <xf numFmtId="0" fontId="6" fillId="34" borderId="0" xfId="58" applyFont="1" applyFill="1" applyAlignment="1" applyProtection="1">
      <alignment horizontal="centerContinuous"/>
      <protection/>
    </xf>
    <xf numFmtId="0" fontId="6" fillId="34" borderId="0" xfId="58" applyFont="1" applyFill="1" applyProtection="1">
      <alignment/>
      <protection/>
    </xf>
    <xf numFmtId="0" fontId="6" fillId="34" borderId="0" xfId="0" applyFont="1" applyFill="1" applyBorder="1" applyAlignment="1" applyProtection="1">
      <alignment horizontal="fill"/>
      <protection/>
    </xf>
    <xf numFmtId="0" fontId="6" fillId="34" borderId="0" xfId="58" applyFont="1" applyFill="1" applyBorder="1" applyProtection="1">
      <alignment/>
      <protection/>
    </xf>
    <xf numFmtId="0" fontId="5" fillId="34" borderId="10" xfId="57" applyFont="1" applyFill="1" applyBorder="1" applyAlignment="1" applyProtection="1">
      <alignment horizontal="left"/>
      <protection/>
    </xf>
    <xf numFmtId="0" fontId="5" fillId="34" borderId="18" xfId="57" applyFont="1" applyFill="1" applyBorder="1" applyProtection="1">
      <alignment/>
      <protection/>
    </xf>
    <xf numFmtId="0" fontId="5" fillId="34" borderId="14" xfId="57" applyFont="1" applyFill="1" applyBorder="1" applyProtection="1">
      <alignment/>
      <protection/>
    </xf>
    <xf numFmtId="3" fontId="5" fillId="34" borderId="19" xfId="57" applyNumberFormat="1" applyFont="1" applyFill="1" applyBorder="1" applyProtection="1">
      <alignment/>
      <protection/>
    </xf>
    <xf numFmtId="0" fontId="5" fillId="34" borderId="19" xfId="57" applyFont="1" applyFill="1" applyBorder="1" applyProtection="1">
      <alignment/>
      <protection/>
    </xf>
    <xf numFmtId="0" fontId="6" fillId="34" borderId="11" xfId="0" applyFont="1" applyFill="1" applyBorder="1" applyAlignment="1" applyProtection="1">
      <alignment horizontal="fill"/>
      <protection/>
    </xf>
    <xf numFmtId="0" fontId="6" fillId="34" borderId="16" xfId="0" applyFont="1" applyFill="1" applyBorder="1" applyAlignment="1" applyProtection="1">
      <alignment/>
      <protection/>
    </xf>
    <xf numFmtId="0" fontId="6" fillId="34" borderId="23" xfId="58" applyFont="1" applyFill="1" applyBorder="1" applyProtection="1">
      <alignment/>
      <protection/>
    </xf>
    <xf numFmtId="0" fontId="6" fillId="34" borderId="20" xfId="0" applyFont="1" applyFill="1" applyBorder="1" applyAlignment="1" applyProtection="1">
      <alignment/>
      <protection/>
    </xf>
    <xf numFmtId="0" fontId="6" fillId="34" borderId="17" xfId="0" applyFont="1" applyFill="1" applyBorder="1" applyAlignment="1" applyProtection="1">
      <alignment horizontal="left"/>
      <protection/>
    </xf>
    <xf numFmtId="0" fontId="0" fillId="34" borderId="0" xfId="0" applyFill="1" applyAlignment="1" applyProtection="1">
      <alignment/>
      <protection/>
    </xf>
    <xf numFmtId="3" fontId="5" fillId="34" borderId="14" xfId="57" applyNumberFormat="1" applyFont="1" applyFill="1" applyBorder="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3" fontId="6" fillId="34" borderId="10" xfId="0" applyNumberFormat="1" applyFont="1" applyFill="1" applyBorder="1" applyAlignment="1" applyProtection="1">
      <alignment/>
      <protection/>
    </xf>
    <xf numFmtId="3" fontId="6" fillId="34" borderId="10" xfId="0" applyNumberFormat="1" applyFont="1" applyFill="1" applyBorder="1" applyAlignment="1" applyProtection="1">
      <alignment horizontal="fill"/>
      <protection/>
    </xf>
    <xf numFmtId="3" fontId="5" fillId="34" borderId="10" xfId="0" applyNumberFormat="1" applyFont="1" applyFill="1" applyBorder="1" applyAlignment="1" applyProtection="1">
      <alignment/>
      <protection/>
    </xf>
    <xf numFmtId="37" fontId="5" fillId="34" borderId="10" xfId="0" applyNumberFormat="1" applyFont="1" applyFill="1" applyBorder="1" applyAlignment="1" applyProtection="1">
      <alignment horizontal="left"/>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quotePrefix="1">
      <alignment horizontal="right"/>
      <protection/>
    </xf>
    <xf numFmtId="37" fontId="6" fillId="34" borderId="0" xfId="0" applyNumberFormat="1" applyFont="1" applyFill="1" applyAlignment="1" applyProtection="1">
      <alignment horizontal="fill"/>
      <protection/>
    </xf>
    <xf numFmtId="1" fontId="6" fillId="34" borderId="16"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64" fontId="6" fillId="33" borderId="0" xfId="0" applyNumberFormat="1" applyFont="1" applyFill="1" applyAlignment="1" applyProtection="1">
      <alignment/>
      <protection locked="0"/>
    </xf>
    <xf numFmtId="37" fontId="6" fillId="34" borderId="0" xfId="0" applyNumberFormat="1" applyFont="1" applyFill="1" applyBorder="1" applyAlignment="1" applyProtection="1" quotePrefix="1">
      <alignment horizontal="right"/>
      <protection/>
    </xf>
    <xf numFmtId="1" fontId="6" fillId="34" borderId="0" xfId="0" applyNumberFormat="1" applyFont="1" applyFill="1" applyAlignment="1" applyProtection="1">
      <alignment horizontal="right"/>
      <protection/>
    </xf>
    <xf numFmtId="37" fontId="5" fillId="34" borderId="0" xfId="0" applyNumberFormat="1" applyFont="1" applyFill="1" applyAlignment="1" applyProtection="1">
      <alignment horizontal="centerContinuous"/>
      <protection/>
    </xf>
    <xf numFmtId="37" fontId="7" fillId="34" borderId="0" xfId="0" applyNumberFormat="1" applyFont="1" applyFill="1" applyAlignment="1" applyProtection="1">
      <alignment horizontal="center"/>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6" fillId="34" borderId="20" xfId="0" applyNumberFormat="1" applyFont="1" applyFill="1" applyBorder="1" applyAlignment="1" applyProtection="1">
      <alignment horizontal="center"/>
      <protection/>
    </xf>
    <xf numFmtId="165" fontId="6" fillId="34" borderId="10" xfId="0" applyNumberFormat="1" applyFont="1" applyFill="1" applyBorder="1" applyAlignment="1" applyProtection="1">
      <alignment/>
      <protection/>
    </xf>
    <xf numFmtId="164" fontId="6" fillId="34" borderId="0" xfId="0" applyNumberFormat="1" applyFont="1" applyFill="1" applyAlignment="1" applyProtection="1">
      <alignment horizontal="right"/>
      <protection/>
    </xf>
    <xf numFmtId="0" fontId="6" fillId="34" borderId="11" xfId="0" applyFont="1" applyFill="1" applyBorder="1" applyAlignment="1" applyProtection="1">
      <alignment/>
      <protection/>
    </xf>
    <xf numFmtId="37" fontId="6" fillId="34" borderId="11" xfId="0" applyNumberFormat="1" applyFont="1" applyFill="1" applyBorder="1" applyAlignment="1" applyProtection="1" quotePrefix="1">
      <alignment horizontal="right"/>
      <protection/>
    </xf>
    <xf numFmtId="37" fontId="6" fillId="34" borderId="16" xfId="0" applyNumberFormat="1" applyFont="1" applyFill="1" applyBorder="1" applyAlignment="1" applyProtection="1">
      <alignment horizontal="left"/>
      <protection/>
    </xf>
    <xf numFmtId="0" fontId="6" fillId="34" borderId="19" xfId="0" applyFont="1" applyFill="1" applyBorder="1" applyAlignment="1" applyProtection="1">
      <alignment/>
      <protection/>
    </xf>
    <xf numFmtId="0" fontId="6" fillId="34" borderId="24" xfId="0" applyFont="1" applyFill="1" applyBorder="1" applyAlignment="1" applyProtection="1">
      <alignment/>
      <protection/>
    </xf>
    <xf numFmtId="37" fontId="7" fillId="34" borderId="21" xfId="0" applyNumberFormat="1" applyFont="1" applyFill="1" applyBorder="1" applyAlignment="1" applyProtection="1">
      <alignment horizontal="left"/>
      <protection/>
    </xf>
    <xf numFmtId="0" fontId="6" fillId="34" borderId="22" xfId="0" applyFont="1" applyFill="1" applyBorder="1" applyAlignment="1" applyProtection="1">
      <alignment/>
      <protection/>
    </xf>
    <xf numFmtId="165" fontId="6" fillId="34" borderId="0" xfId="0" applyNumberFormat="1" applyFont="1" applyFill="1" applyAlignment="1" applyProtection="1">
      <alignmen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2" xfId="0" applyNumberFormat="1" applyFont="1" applyFill="1" applyBorder="1" applyAlignment="1" applyProtection="1">
      <alignment horizontal="left"/>
      <protection locked="0"/>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37" fontId="6" fillId="34" borderId="25" xfId="0" applyNumberFormat="1" applyFont="1" applyFill="1" applyBorder="1" applyAlignment="1" applyProtection="1">
      <alignment horizontal="left"/>
      <protection/>
    </xf>
    <xf numFmtId="0" fontId="6" fillId="34" borderId="26" xfId="0" applyFont="1" applyFill="1" applyBorder="1" applyAlignment="1" applyProtection="1">
      <alignment/>
      <protection/>
    </xf>
    <xf numFmtId="0" fontId="9" fillId="34" borderId="17" xfId="0" applyFont="1" applyFill="1" applyBorder="1" applyAlignment="1" applyProtection="1">
      <alignment horizontal="center"/>
      <protection/>
    </xf>
    <xf numFmtId="170" fontId="6" fillId="33" borderId="10" xfId="0" applyNumberFormat="1" applyFont="1" applyFill="1" applyBorder="1" applyAlignment="1" applyProtection="1">
      <alignment/>
      <protection locked="0"/>
    </xf>
    <xf numFmtId="171" fontId="6" fillId="33" borderId="10" xfId="0" applyNumberFormat="1" applyFont="1" applyFill="1" applyBorder="1" applyAlignment="1" applyProtection="1">
      <alignment/>
      <protection locked="0"/>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21" xfId="0" applyNumberFormat="1" applyFont="1" applyFill="1" applyBorder="1" applyAlignment="1" applyProtection="1">
      <alignment horizontal="left"/>
      <protection/>
    </xf>
    <xf numFmtId="37" fontId="6" fillId="34" borderId="10" xfId="0" applyNumberFormat="1" applyFont="1" applyFill="1" applyBorder="1" applyAlignment="1" applyProtection="1">
      <alignment horizontal="center"/>
      <protection/>
    </xf>
    <xf numFmtId="164" fontId="6" fillId="34" borderId="10" xfId="0" applyNumberFormat="1" applyFont="1" applyFill="1" applyBorder="1" applyAlignment="1" applyProtection="1">
      <alignment horizontal="center"/>
      <protection/>
    </xf>
    <xf numFmtId="0" fontId="6" fillId="34" borderId="0" xfId="0" applyNumberFormat="1" applyFont="1" applyFill="1" applyAlignment="1" applyProtection="1">
      <alignment horizontal="right"/>
      <protection/>
    </xf>
    <xf numFmtId="0" fontId="6" fillId="34" borderId="10" xfId="0" applyFont="1" applyFill="1" applyBorder="1" applyAlignment="1" applyProtection="1">
      <alignment horizontal="left"/>
      <protection/>
    </xf>
    <xf numFmtId="0" fontId="10" fillId="34" borderId="0" xfId="0" applyFont="1" applyFill="1" applyAlignment="1" applyProtection="1">
      <alignment horizontal="center"/>
      <protection/>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33" borderId="10" xfId="0" applyFont="1" applyFill="1" applyBorder="1" applyAlignment="1" applyProtection="1">
      <alignment horizontal="center"/>
      <protection locked="0"/>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3" borderId="12" xfId="0" applyFont="1" applyFill="1" applyBorder="1" applyAlignment="1" applyProtection="1">
      <alignment/>
      <protection locked="0"/>
    </xf>
    <xf numFmtId="0" fontId="6" fillId="34" borderId="0" xfId="0" applyFont="1" applyFill="1" applyAlignment="1" applyProtection="1">
      <alignment horizontal="left"/>
      <protection/>
    </xf>
    <xf numFmtId="1" fontId="6" fillId="34" borderId="0" xfId="0" applyNumberFormat="1" applyFont="1" applyFill="1" applyBorder="1" applyAlignment="1" applyProtection="1">
      <alignment horizontal="right"/>
      <protection/>
    </xf>
    <xf numFmtId="3" fontId="6" fillId="33" borderId="10" xfId="0" applyNumberFormat="1" applyFont="1" applyFill="1" applyBorder="1" applyAlignment="1" applyProtection="1">
      <alignment horizontal="right"/>
      <protection locked="0"/>
    </xf>
    <xf numFmtId="3" fontId="6" fillId="34" borderId="10" xfId="42" applyNumberFormat="1" applyFont="1" applyFill="1" applyBorder="1" applyAlignment="1" applyProtection="1">
      <alignment horizontal="right"/>
      <protection/>
    </xf>
    <xf numFmtId="3" fontId="6" fillId="34" borderId="10" xfId="0" applyNumberFormat="1" applyFont="1" applyFill="1" applyBorder="1" applyAlignment="1" applyProtection="1">
      <alignment horizontal="right"/>
      <protection/>
    </xf>
    <xf numFmtId="3" fontId="6" fillId="33" borderId="10" xfId="0" applyNumberFormat="1" applyFont="1" applyFill="1" applyBorder="1" applyAlignment="1" applyProtection="1">
      <alignment horizontal="right"/>
      <protection locked="0"/>
    </xf>
    <xf numFmtId="37" fontId="5" fillId="34" borderId="25" xfId="0" applyNumberFormat="1" applyFont="1" applyFill="1" applyBorder="1" applyAlignment="1" applyProtection="1">
      <alignment horizontal="left"/>
      <protection/>
    </xf>
    <xf numFmtId="3" fontId="6" fillId="33" borderId="10" xfId="0" applyNumberFormat="1" applyFont="1" applyFill="1" applyBorder="1" applyAlignment="1" applyProtection="1">
      <alignment/>
      <protection/>
    </xf>
    <xf numFmtId="178" fontId="6" fillId="34" borderId="0" xfId="0" applyNumberFormat="1" applyFont="1" applyFill="1" applyAlignment="1" applyProtection="1">
      <alignment horizontal="center"/>
      <protection/>
    </xf>
    <xf numFmtId="0" fontId="6" fillId="34" borderId="0" xfId="0" applyNumberFormat="1" applyFont="1" applyFill="1" applyBorder="1" applyAlignment="1" applyProtection="1">
      <alignment horizontal="right"/>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34" borderId="0" xfId="0" applyFont="1" applyFill="1" applyBorder="1" applyAlignment="1" applyProtection="1">
      <alignment/>
      <protection locked="0"/>
    </xf>
    <xf numFmtId="0" fontId="18" fillId="37" borderId="26" xfId="0" applyFont="1" applyFill="1" applyBorder="1" applyAlignment="1" applyProtection="1">
      <alignment horizontal="center"/>
      <protection/>
    </xf>
    <xf numFmtId="0" fontId="6" fillId="0" borderId="0" xfId="0" applyFont="1" applyAlignment="1">
      <alignment horizontal="right"/>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7"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5" borderId="0" xfId="0" applyNumberFormat="1" applyFont="1" applyFill="1" applyAlignment="1" applyProtection="1">
      <alignment horizontal="left"/>
      <protection/>
    </xf>
    <xf numFmtId="37" fontId="6" fillId="34" borderId="0" xfId="0" applyNumberFormat="1" applyFont="1" applyFill="1" applyBorder="1" applyAlignment="1" applyProtection="1">
      <alignment/>
      <protection locked="0"/>
    </xf>
    <xf numFmtId="0" fontId="6" fillId="38" borderId="0" xfId="0" applyFont="1" applyFill="1" applyAlignment="1" applyProtection="1">
      <alignment/>
      <protection/>
    </xf>
    <xf numFmtId="3" fontId="6" fillId="33" borderId="11"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22" xfId="0" applyNumberFormat="1" applyFont="1" applyFill="1" applyBorder="1" applyAlignment="1" applyProtection="1">
      <alignment/>
      <protection/>
    </xf>
    <xf numFmtId="3" fontId="6" fillId="34" borderId="26"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22" xfId="0" applyFont="1" applyFill="1" applyBorder="1" applyAlignment="1" applyProtection="1">
      <alignment/>
      <protection locked="0"/>
    </xf>
    <xf numFmtId="0" fontId="6" fillId="35" borderId="12" xfId="0" applyFont="1" applyFill="1" applyBorder="1" applyAlignment="1" applyProtection="1">
      <alignment/>
      <protection/>
    </xf>
    <xf numFmtId="0" fontId="6" fillId="34" borderId="26" xfId="0" applyFont="1" applyFill="1" applyBorder="1" applyAlignment="1" applyProtection="1">
      <alignment/>
      <protection locked="0"/>
    </xf>
    <xf numFmtId="0" fontId="6" fillId="34" borderId="12" xfId="0" applyFont="1" applyFill="1" applyBorder="1" applyAlignment="1" applyProtection="1">
      <alignment/>
      <protection locked="0"/>
    </xf>
    <xf numFmtId="165" fontId="6" fillId="34" borderId="11" xfId="0" applyNumberFormat="1" applyFont="1" applyFill="1" applyBorder="1" applyAlignment="1" applyProtection="1">
      <alignment/>
      <protection/>
    </xf>
    <xf numFmtId="37" fontId="6" fillId="39" borderId="13" xfId="0" applyNumberFormat="1" applyFont="1" applyFill="1" applyBorder="1" applyAlignment="1" applyProtection="1">
      <alignment/>
      <protection/>
    </xf>
    <xf numFmtId="3" fontId="6" fillId="39" borderId="13" xfId="0" applyNumberFormat="1" applyFont="1" applyFill="1" applyBorder="1" applyAlignment="1" applyProtection="1">
      <alignment/>
      <protection/>
    </xf>
    <xf numFmtId="0" fontId="5" fillId="34" borderId="11"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9" xfId="0" applyFont="1" applyFill="1" applyBorder="1" applyAlignment="1" applyProtection="1">
      <alignment horizontal="center"/>
      <protection/>
    </xf>
    <xf numFmtId="0" fontId="5" fillId="34" borderId="20" xfId="0" applyFont="1" applyFill="1" applyBorder="1" applyAlignment="1" applyProtection="1">
      <alignment horizontal="center"/>
      <protection/>
    </xf>
    <xf numFmtId="0" fontId="5" fillId="34" borderId="24" xfId="0" applyFont="1" applyFill="1" applyBorder="1" applyAlignment="1" applyProtection="1">
      <alignment horizontal="center"/>
      <protection/>
    </xf>
    <xf numFmtId="0" fontId="5" fillId="34" borderId="27" xfId="0" applyFont="1" applyFill="1" applyBorder="1" applyAlignment="1" applyProtection="1">
      <alignment horizontal="center"/>
      <protection/>
    </xf>
    <xf numFmtId="0" fontId="5" fillId="34" borderId="28" xfId="0" applyFont="1" applyFill="1" applyBorder="1" applyAlignment="1" applyProtection="1">
      <alignment horizontal="center"/>
      <protection/>
    </xf>
    <xf numFmtId="0" fontId="6" fillId="0" borderId="0" xfId="0" applyFont="1" applyAlignment="1" applyProtection="1">
      <alignment horizontal="center"/>
      <protection locked="0"/>
    </xf>
    <xf numFmtId="0" fontId="6" fillId="33" borderId="17" xfId="0" applyFont="1" applyFill="1" applyBorder="1" applyAlignment="1" applyProtection="1">
      <alignment/>
      <protection locked="0"/>
    </xf>
    <xf numFmtId="180" fontId="6" fillId="33" borderId="17" xfId="42" applyNumberFormat="1" applyFont="1" applyFill="1" applyBorder="1" applyAlignment="1" applyProtection="1">
      <alignment/>
      <protection locked="0"/>
    </xf>
    <xf numFmtId="0" fontId="6" fillId="33" borderId="10" xfId="0" applyFont="1" applyFill="1" applyBorder="1" applyAlignment="1" applyProtection="1">
      <alignment/>
      <protection locked="0"/>
    </xf>
    <xf numFmtId="180" fontId="6" fillId="33" borderId="10" xfId="42" applyNumberFormat="1" applyFont="1" applyFill="1" applyBorder="1" applyAlignment="1" applyProtection="1">
      <alignment/>
      <protection locked="0"/>
    </xf>
    <xf numFmtId="0" fontId="7"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8" borderId="0" xfId="0" applyFont="1" applyFill="1" applyAlignment="1">
      <alignment wrapText="1"/>
    </xf>
    <xf numFmtId="37" fontId="6" fillId="0" borderId="0" xfId="0" applyNumberFormat="1" applyFont="1" applyFill="1" applyAlignment="1" applyProtection="1">
      <alignment horizontal="left" wrapText="1"/>
      <protection/>
    </xf>
    <xf numFmtId="179" fontId="6" fillId="40" borderId="10" xfId="0" applyNumberFormat="1" applyFont="1" applyFill="1" applyBorder="1" applyAlignment="1" applyProtection="1">
      <alignment/>
      <protection/>
    </xf>
    <xf numFmtId="0" fontId="6" fillId="37" borderId="10" xfId="0" applyFont="1" applyFill="1" applyBorder="1" applyAlignment="1" applyProtection="1">
      <alignment horizontal="center" shrinkToFit="1"/>
      <protection/>
    </xf>
    <xf numFmtId="3" fontId="6" fillId="40" borderId="12" xfId="0" applyNumberFormat="1" applyFont="1" applyFill="1" applyBorder="1" applyAlignment="1" applyProtection="1">
      <alignment/>
      <protection/>
    </xf>
    <xf numFmtId="37" fontId="6" fillId="33" borderId="10" xfId="0" applyNumberFormat="1" applyFont="1" applyFill="1" applyBorder="1" applyAlignment="1" applyProtection="1">
      <alignment/>
      <protection/>
    </xf>
    <xf numFmtId="0" fontId="6" fillId="33" borderId="10" xfId="0" applyFont="1" applyFill="1" applyBorder="1" applyAlignment="1" applyProtection="1">
      <alignment/>
      <protection/>
    </xf>
    <xf numFmtId="170" fontId="6" fillId="34" borderId="10" xfId="0" applyNumberFormat="1" applyFont="1" applyFill="1" applyBorder="1" applyAlignment="1" applyProtection="1">
      <alignment horizontal="left"/>
      <protection/>
    </xf>
    <xf numFmtId="171" fontId="6" fillId="34" borderId="10" xfId="0" applyNumberFormat="1" applyFont="1" applyFill="1" applyBorder="1" applyAlignment="1" applyProtection="1">
      <alignment horizontal="left"/>
      <protection/>
    </xf>
    <xf numFmtId="170" fontId="6" fillId="34" borderId="10" xfId="0" applyNumberFormat="1" applyFont="1" applyFill="1" applyBorder="1" applyAlignment="1" applyProtection="1">
      <alignment/>
      <protection/>
    </xf>
    <xf numFmtId="2" fontId="6" fillId="34" borderId="10" xfId="0" applyNumberFormat="1" applyFont="1" applyFill="1" applyBorder="1" applyAlignment="1" applyProtection="1">
      <alignment/>
      <protection/>
    </xf>
    <xf numFmtId="171" fontId="6" fillId="34" borderId="10" xfId="0" applyNumberFormat="1" applyFont="1" applyFill="1" applyBorder="1" applyAlignment="1" applyProtection="1">
      <alignment/>
      <protection/>
    </xf>
    <xf numFmtId="37" fontId="6" fillId="40" borderId="13" xfId="0" applyNumberFormat="1" applyFont="1" applyFill="1" applyBorder="1" applyAlignment="1" applyProtection="1">
      <alignment horizontal="center"/>
      <protection/>
    </xf>
    <xf numFmtId="173" fontId="6" fillId="40" borderId="13" xfId="0" applyNumberFormat="1" applyFont="1" applyFill="1" applyBorder="1" applyAlignment="1" applyProtection="1">
      <alignment/>
      <protection/>
    </xf>
    <xf numFmtId="37" fontId="5" fillId="34" borderId="11" xfId="0" applyNumberFormat="1" applyFont="1" applyFill="1" applyBorder="1" applyAlignment="1" applyProtection="1">
      <alignment horizontal="left"/>
      <protection/>
    </xf>
    <xf numFmtId="37" fontId="5" fillId="37" borderId="11" xfId="0" applyNumberFormat="1" applyFont="1" applyFill="1" applyBorder="1" applyAlignment="1" applyProtection="1">
      <alignment horizontal="left"/>
      <protection/>
    </xf>
    <xf numFmtId="0" fontId="6" fillId="37" borderId="12" xfId="0" applyFont="1" applyFill="1" applyBorder="1" applyAlignment="1" applyProtection="1">
      <alignment/>
      <protection/>
    </xf>
    <xf numFmtId="3" fontId="6" fillId="40" borderId="10" xfId="0" applyNumberFormat="1" applyFont="1" applyFill="1" applyBorder="1" applyAlignment="1" applyProtection="1">
      <alignment/>
      <protection/>
    </xf>
    <xf numFmtId="37" fontId="5" fillId="40" borderId="10" xfId="57" applyNumberFormat="1" applyFont="1" applyFill="1" applyBorder="1" applyProtection="1">
      <alignment/>
      <protection/>
    </xf>
    <xf numFmtId="37" fontId="6" fillId="40" borderId="10" xfId="0" applyNumberFormat="1" applyFont="1" applyFill="1" applyBorder="1" applyAlignment="1" applyProtection="1">
      <alignment/>
      <protection/>
    </xf>
    <xf numFmtId="0" fontId="7" fillId="34" borderId="0" xfId="0" applyFont="1" applyFill="1" applyBorder="1" applyAlignment="1" applyProtection="1">
      <alignment/>
      <protection/>
    </xf>
    <xf numFmtId="165" fontId="6" fillId="40" borderId="13" xfId="0" applyNumberFormat="1" applyFont="1" applyFill="1" applyBorder="1" applyAlignment="1" applyProtection="1">
      <alignment/>
      <protection/>
    </xf>
    <xf numFmtId="0" fontId="6" fillId="0" borderId="0" xfId="0" applyFont="1" applyAlignment="1" applyProtection="1">
      <alignment/>
      <protection/>
    </xf>
    <xf numFmtId="37" fontId="6" fillId="0" borderId="0" xfId="0" applyNumberFormat="1" applyFont="1" applyAlignment="1" applyProtection="1">
      <alignment horizontal="fill"/>
      <protection/>
    </xf>
    <xf numFmtId="37" fontId="20" fillId="34" borderId="0" xfId="0" applyNumberFormat="1" applyFont="1" applyFill="1" applyAlignment="1" applyProtection="1">
      <alignment horizontal="left"/>
      <protection/>
    </xf>
    <xf numFmtId="0" fontId="5" fillId="33" borderId="10" xfId="0" applyFont="1" applyFill="1" applyBorder="1" applyAlignment="1" applyProtection="1">
      <alignment horizontal="center"/>
      <protection locked="0"/>
    </xf>
    <xf numFmtId="179" fontId="6" fillId="33" borderId="11" xfId="0" applyNumberFormat="1" applyFont="1" applyFill="1" applyBorder="1" applyAlignment="1" applyProtection="1">
      <alignment/>
      <protection locked="0"/>
    </xf>
    <xf numFmtId="179" fontId="6" fillId="33" borderId="12" xfId="0" applyNumberFormat="1" applyFont="1" applyFill="1" applyBorder="1" applyAlignment="1" applyProtection="1">
      <alignment/>
      <protection locked="0"/>
    </xf>
    <xf numFmtId="179" fontId="6" fillId="33" borderId="14" xfId="0" applyNumberFormat="1" applyFont="1" applyFill="1" applyBorder="1" applyAlignment="1" applyProtection="1">
      <alignment/>
      <protection locked="0"/>
    </xf>
    <xf numFmtId="171" fontId="6"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protection/>
    </xf>
    <xf numFmtId="3" fontId="6" fillId="40" borderId="26" xfId="0" applyNumberFormat="1" applyFont="1" applyFill="1" applyBorder="1" applyAlignment="1" applyProtection="1">
      <alignment horizontal="right"/>
      <protection/>
    </xf>
    <xf numFmtId="3" fontId="5" fillId="40" borderId="10" xfId="0" applyNumberFormat="1" applyFont="1" applyFill="1" applyBorder="1" applyAlignment="1" applyProtection="1">
      <alignment horizontal="right"/>
      <protection/>
    </xf>
    <xf numFmtId="3" fontId="5" fillId="40" borderId="22" xfId="0" applyNumberFormat="1" applyFont="1" applyFill="1" applyBorder="1" applyAlignment="1" applyProtection="1">
      <alignment horizontal="right"/>
      <protection/>
    </xf>
    <xf numFmtId="3" fontId="5" fillId="40" borderId="17" xfId="0" applyNumberFormat="1" applyFont="1" applyFill="1" applyBorder="1" applyAlignment="1" applyProtection="1">
      <alignment horizontal="right"/>
      <protection/>
    </xf>
    <xf numFmtId="3" fontId="5" fillId="40" borderId="26" xfId="0" applyNumberFormat="1" applyFont="1" applyFill="1" applyBorder="1" applyAlignment="1" applyProtection="1">
      <alignment horizontal="right"/>
      <protection/>
    </xf>
    <xf numFmtId="0" fontId="18" fillId="0" borderId="0" xfId="0" applyFont="1" applyAlignment="1" applyProtection="1">
      <alignment/>
      <protection/>
    </xf>
    <xf numFmtId="37" fontId="6" fillId="40" borderId="12"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40" borderId="12"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181" fontId="6" fillId="34" borderId="10" xfId="0" applyNumberFormat="1" applyFont="1" applyFill="1" applyBorder="1" applyAlignment="1" applyProtection="1">
      <alignment/>
      <protection/>
    </xf>
    <xf numFmtId="181" fontId="6" fillId="39" borderId="13" xfId="0" applyNumberFormat="1" applyFont="1" applyFill="1" applyBorder="1" applyAlignment="1" applyProtection="1">
      <alignment/>
      <protection/>
    </xf>
    <xf numFmtId="37" fontId="6" fillId="34" borderId="17" xfId="0" applyNumberFormat="1" applyFont="1" applyFill="1" applyBorder="1" applyAlignment="1" applyProtection="1">
      <alignment/>
      <protection/>
    </xf>
    <xf numFmtId="166" fontId="6" fillId="40" borderId="11" xfId="0" applyNumberFormat="1" applyFont="1" applyFill="1" applyBorder="1" applyAlignment="1" applyProtection="1">
      <alignment/>
      <protection/>
    </xf>
    <xf numFmtId="169" fontId="6" fillId="40" borderId="11" xfId="0" applyNumberFormat="1" applyFont="1" applyFill="1" applyBorder="1" applyAlignment="1" applyProtection="1">
      <alignment/>
      <protection/>
    </xf>
    <xf numFmtId="3" fontId="6" fillId="36" borderId="0" xfId="0" applyNumberFormat="1" applyFont="1" applyFill="1" applyAlignment="1" applyProtection="1">
      <alignment/>
      <protection/>
    </xf>
    <xf numFmtId="0" fontId="0" fillId="34" borderId="0" xfId="0" applyFont="1" applyFill="1" applyAlignment="1" applyProtection="1">
      <alignment/>
      <protection/>
    </xf>
    <xf numFmtId="166" fontId="6" fillId="34" borderId="0" xfId="0" applyNumberFormat="1" applyFont="1" applyFill="1" applyBorder="1" applyAlignment="1" applyProtection="1">
      <alignment/>
      <protection/>
    </xf>
    <xf numFmtId="0" fontId="0" fillId="33" borderId="0" xfId="0" applyFill="1" applyAlignment="1" applyProtection="1">
      <alignment/>
      <protection locked="0"/>
    </xf>
    <xf numFmtId="0" fontId="6" fillId="34" borderId="25" xfId="0" applyFont="1" applyFill="1" applyBorder="1" applyAlignment="1" applyProtection="1">
      <alignment horizontal="left"/>
      <protection/>
    </xf>
    <xf numFmtId="0" fontId="6" fillId="33" borderId="25" xfId="0" applyFont="1" applyFill="1" applyBorder="1" applyAlignment="1" applyProtection="1">
      <alignment/>
      <protection locked="0"/>
    </xf>
    <xf numFmtId="0" fontId="6" fillId="33" borderId="25" xfId="0" applyFont="1" applyFill="1" applyBorder="1" applyAlignment="1" applyProtection="1">
      <alignment horizontal="left"/>
      <protection locked="0"/>
    </xf>
    <xf numFmtId="3" fontId="6" fillId="33" borderId="26" xfId="0" applyNumberFormat="1" applyFont="1" applyFill="1" applyBorder="1" applyAlignment="1" applyProtection="1">
      <alignment/>
      <protection locked="0"/>
    </xf>
    <xf numFmtId="37" fontId="6" fillId="34" borderId="26" xfId="0" applyNumberFormat="1" applyFont="1" applyFill="1" applyBorder="1" applyAlignment="1" applyProtection="1">
      <alignment/>
      <protection/>
    </xf>
    <xf numFmtId="3" fontId="5" fillId="40" borderId="26" xfId="0" applyNumberFormat="1" applyFont="1" applyFill="1" applyBorder="1" applyAlignment="1" applyProtection="1">
      <alignment/>
      <protection/>
    </xf>
    <xf numFmtId="3" fontId="6" fillId="40" borderId="26" xfId="0" applyNumberFormat="1" applyFont="1" applyFill="1" applyBorder="1" applyAlignment="1" applyProtection="1">
      <alignment/>
      <protection/>
    </xf>
    <xf numFmtId="0" fontId="6" fillId="34" borderId="21" xfId="0" applyFont="1" applyFill="1" applyBorder="1" applyAlignment="1" applyProtection="1">
      <alignment horizontal="left"/>
      <protection/>
    </xf>
    <xf numFmtId="0" fontId="6" fillId="34" borderId="26" xfId="0" applyFont="1" applyFill="1" applyBorder="1" applyAlignment="1" applyProtection="1">
      <alignment horizontal="left"/>
      <protection/>
    </xf>
    <xf numFmtId="0" fontId="6" fillId="33" borderId="26" xfId="0" applyFont="1" applyFill="1" applyBorder="1" applyAlignment="1" applyProtection="1">
      <alignment horizontal="left"/>
      <protection/>
    </xf>
    <xf numFmtId="3" fontId="5" fillId="34" borderId="26" xfId="0" applyNumberFormat="1" applyFont="1" applyFill="1" applyBorder="1" applyAlignment="1" applyProtection="1">
      <alignment/>
      <protection/>
    </xf>
    <xf numFmtId="37" fontId="6" fillId="34" borderId="0" xfId="0" applyNumberFormat="1" applyFont="1" applyFill="1" applyBorder="1" applyAlignment="1" applyProtection="1">
      <alignment horizontal="center"/>
      <protection/>
    </xf>
    <xf numFmtId="0" fontId="6" fillId="34" borderId="25" xfId="0" applyFont="1" applyFill="1" applyBorder="1" applyAlignment="1" applyProtection="1">
      <alignment/>
      <protection/>
    </xf>
    <xf numFmtId="37" fontId="6" fillId="33" borderId="25" xfId="0" applyNumberFormat="1" applyFont="1" applyFill="1" applyBorder="1" applyAlignment="1" applyProtection="1">
      <alignment horizontal="left"/>
      <protection locked="0"/>
    </xf>
    <xf numFmtId="0" fontId="5" fillId="34" borderId="25" xfId="0" applyFont="1" applyFill="1" applyBorder="1" applyAlignment="1" applyProtection="1">
      <alignment/>
      <protection/>
    </xf>
    <xf numFmtId="3" fontId="6" fillId="33" borderId="25" xfId="0" applyNumberFormat="1" applyFont="1" applyFill="1" applyBorder="1" applyAlignment="1" applyProtection="1">
      <alignment/>
      <protection locked="0"/>
    </xf>
    <xf numFmtId="0" fontId="6" fillId="33" borderId="26" xfId="0" applyFont="1" applyFill="1" applyBorder="1" applyAlignment="1" applyProtection="1">
      <alignment/>
      <protection/>
    </xf>
    <xf numFmtId="0" fontId="6" fillId="34" borderId="26" xfId="0" applyFont="1" applyFill="1" applyBorder="1" applyAlignment="1" applyProtection="1">
      <alignment horizontal="right"/>
      <protection/>
    </xf>
    <xf numFmtId="0" fontId="6" fillId="34" borderId="25" xfId="0" applyNumberFormat="1" applyFont="1" applyFill="1" applyBorder="1" applyAlignment="1" applyProtection="1">
      <alignment horizontal="left"/>
      <protection/>
    </xf>
    <xf numFmtId="0" fontId="6" fillId="33" borderId="25" xfId="0" applyNumberFormat="1" applyFont="1" applyFill="1" applyBorder="1" applyAlignment="1" applyProtection="1">
      <alignment horizontal="left"/>
      <protection locked="0"/>
    </xf>
    <xf numFmtId="0" fontId="6" fillId="33" borderId="18" xfId="0" applyNumberFormat="1" applyFont="1" applyFill="1" applyBorder="1" applyAlignment="1" applyProtection="1">
      <alignment horizontal="left"/>
      <protection locked="0"/>
    </xf>
    <xf numFmtId="3" fontId="6" fillId="33" borderId="26" xfId="0" applyNumberFormat="1" applyFont="1" applyFill="1" applyBorder="1" applyAlignment="1" applyProtection="1">
      <alignment horizontal="right"/>
      <protection locked="0"/>
    </xf>
    <xf numFmtId="3" fontId="6" fillId="34" borderId="26" xfId="0" applyNumberFormat="1" applyFont="1" applyFill="1" applyBorder="1" applyAlignment="1" applyProtection="1">
      <alignment horizontal="right"/>
      <protection/>
    </xf>
    <xf numFmtId="3" fontId="6" fillId="34" borderId="22" xfId="0" applyNumberFormat="1" applyFont="1" applyFill="1" applyBorder="1" applyAlignment="1" applyProtection="1">
      <alignment horizontal="right"/>
      <protection/>
    </xf>
    <xf numFmtId="37" fontId="6" fillId="34" borderId="26" xfId="0" applyNumberFormat="1" applyFont="1" applyFill="1" applyBorder="1" applyAlignment="1" applyProtection="1">
      <alignment horizontal="left"/>
      <protection/>
    </xf>
    <xf numFmtId="37" fontId="6" fillId="34" borderId="26" xfId="0" applyNumberFormat="1" applyFont="1" applyFill="1" applyBorder="1" applyAlignment="1" applyProtection="1">
      <alignment horizontal="right"/>
      <protection/>
    </xf>
    <xf numFmtId="37" fontId="6" fillId="33" borderId="26" xfId="0" applyNumberFormat="1" applyFont="1" applyFill="1" applyBorder="1" applyAlignment="1" applyProtection="1">
      <alignment horizontal="left"/>
      <protection/>
    </xf>
    <xf numFmtId="0" fontId="6" fillId="38" borderId="16" xfId="0" applyFont="1" applyFill="1" applyBorder="1" applyAlignment="1">
      <alignment horizontal="center"/>
    </xf>
    <xf numFmtId="0" fontId="6" fillId="38"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3" fontId="6" fillId="34" borderId="0" xfId="0" applyNumberFormat="1" applyFont="1" applyFill="1" applyAlignment="1" applyProtection="1">
      <alignment horizontal="center"/>
      <protection/>
    </xf>
    <xf numFmtId="0" fontId="19" fillId="34" borderId="0" xfId="0" applyFont="1" applyFill="1" applyAlignment="1" applyProtection="1">
      <alignment horizontal="center"/>
      <protection/>
    </xf>
    <xf numFmtId="37" fontId="6" fillId="34" borderId="14" xfId="0" applyNumberFormat="1" applyFont="1" applyFill="1" applyBorder="1" applyAlignment="1" applyProtection="1">
      <alignment horizontal="right"/>
      <protection/>
    </xf>
    <xf numFmtId="0" fontId="6" fillId="41" borderId="0" xfId="0" applyFont="1" applyFill="1" applyAlignment="1">
      <alignment/>
    </xf>
    <xf numFmtId="0" fontId="6" fillId="34" borderId="10" xfId="0" applyFont="1" applyFill="1" applyBorder="1" applyAlignment="1" applyProtection="1">
      <alignment horizontal="center"/>
      <protection locked="0"/>
    </xf>
    <xf numFmtId="0" fontId="6" fillId="34" borderId="0" xfId="0" applyFont="1" applyFill="1" applyBorder="1" applyAlignment="1" applyProtection="1">
      <alignment horizontal="center" shrinkToFit="1"/>
      <protection/>
    </xf>
    <xf numFmtId="0" fontId="18" fillId="34" borderId="0" xfId="0" applyFont="1" applyFill="1" applyBorder="1" applyAlignment="1" applyProtection="1">
      <alignment horizontal="center"/>
      <protection/>
    </xf>
    <xf numFmtId="164" fontId="6" fillId="34" borderId="26" xfId="0" applyNumberFormat="1" applyFont="1" applyFill="1" applyBorder="1" applyAlignment="1" applyProtection="1">
      <alignment horizontal="center"/>
      <protection/>
    </xf>
    <xf numFmtId="37" fontId="6" fillId="34" borderId="26" xfId="0" applyNumberFormat="1" applyFont="1" applyFill="1" applyBorder="1" applyAlignment="1" applyProtection="1">
      <alignment horizontal="fill"/>
      <protection/>
    </xf>
    <xf numFmtId="0" fontId="6" fillId="34" borderId="16" xfId="0" applyFont="1" applyFill="1" applyBorder="1" applyAlignment="1" applyProtection="1">
      <alignment wrapText="1"/>
      <protection/>
    </xf>
    <xf numFmtId="0" fontId="6" fillId="34" borderId="16" xfId="0" applyFont="1" applyFill="1" applyBorder="1" applyAlignment="1" applyProtection="1">
      <alignment horizontal="center" wrapText="1"/>
      <protection/>
    </xf>
    <xf numFmtId="0" fontId="6" fillId="34" borderId="19" xfId="0" applyFont="1" applyFill="1" applyBorder="1" applyAlignment="1" applyProtection="1">
      <alignment horizontal="center" wrapText="1"/>
      <protection/>
    </xf>
    <xf numFmtId="0" fontId="6" fillId="34" borderId="10" xfId="0" applyFont="1" applyFill="1" applyBorder="1" applyAlignment="1" applyProtection="1">
      <alignment horizontal="center" wrapText="1"/>
      <protection/>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6" xfId="0" applyNumberFormat="1" applyFont="1" applyFill="1" applyBorder="1" applyAlignment="1" applyProtection="1">
      <alignment horizontal="center"/>
      <protection locked="0"/>
    </xf>
    <xf numFmtId="3" fontId="6" fillId="34" borderId="13" xfId="0" applyNumberFormat="1" applyFont="1" applyFill="1" applyBorder="1" applyAlignment="1" applyProtection="1">
      <alignment horizontal="center"/>
      <protection/>
    </xf>
    <xf numFmtId="181" fontId="6" fillId="34" borderId="13"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37" fontId="6" fillId="34" borderId="25" xfId="0" applyNumberFormat="1" applyFont="1" applyFill="1" applyBorder="1" applyAlignment="1" applyProtection="1">
      <alignment horizontal="left"/>
      <protection locked="0"/>
    </xf>
    <xf numFmtId="3" fontId="18" fillId="37" borderId="26" xfId="0" applyNumberFormat="1" applyFont="1" applyFill="1" applyBorder="1" applyAlignment="1" applyProtection="1">
      <alignment horizontal="center"/>
      <protection/>
    </xf>
    <xf numFmtId="0" fontId="18" fillId="34" borderId="0" xfId="0" applyFont="1" applyFill="1" applyAlignment="1" applyProtection="1">
      <alignment/>
      <protection/>
    </xf>
    <xf numFmtId="37" fontId="6" fillId="34" borderId="20" xfId="0" applyNumberFormat="1" applyFont="1" applyFill="1" applyBorder="1" applyAlignment="1" applyProtection="1">
      <alignment horizontal="left"/>
      <protection/>
    </xf>
    <xf numFmtId="37" fontId="6" fillId="34" borderId="17" xfId="0" applyNumberFormat="1" applyFont="1" applyFill="1" applyBorder="1" applyAlignment="1" applyProtection="1">
      <alignment horizontal="fill"/>
      <protection/>
    </xf>
    <xf numFmtId="0" fontId="6" fillId="41" borderId="0" xfId="57" applyFont="1" applyFill="1" applyProtection="1">
      <alignment/>
      <protection/>
    </xf>
    <xf numFmtId="37" fontId="5" fillId="33" borderId="0" xfId="0" applyNumberFormat="1" applyFont="1" applyFill="1" applyAlignment="1" applyProtection="1">
      <alignment horizontal="centerContinuous"/>
      <protection locked="0"/>
    </xf>
    <xf numFmtId="0" fontId="5" fillId="33" borderId="0" xfId="0" applyFont="1" applyFill="1" applyAlignment="1" applyProtection="1">
      <alignment horizontal="centerContinuous"/>
      <protection locked="0"/>
    </xf>
    <xf numFmtId="0" fontId="5" fillId="34" borderId="0" xfId="0" applyFont="1" applyFill="1" applyBorder="1" applyAlignment="1" applyProtection="1">
      <alignment/>
      <protection/>
    </xf>
    <xf numFmtId="1" fontId="5" fillId="34" borderId="25" xfId="0" applyNumberFormat="1" applyFont="1" applyFill="1" applyBorder="1" applyAlignment="1" applyProtection="1">
      <alignment horizontal="centerContinuous"/>
      <protection/>
    </xf>
    <xf numFmtId="1" fontId="5" fillId="34" borderId="26" xfId="0" applyNumberFormat="1" applyFont="1" applyFill="1" applyBorder="1" applyAlignment="1" applyProtection="1">
      <alignment horizontal="centerContinuous"/>
      <protection/>
    </xf>
    <xf numFmtId="0" fontId="5" fillId="34" borderId="26" xfId="0" applyFont="1" applyFill="1" applyBorder="1" applyAlignment="1" applyProtection="1">
      <alignment horizontal="centerContinuous"/>
      <protection/>
    </xf>
    <xf numFmtId="37" fontId="5" fillId="34" borderId="25" xfId="0" applyNumberFormat="1" applyFont="1" applyFill="1" applyBorder="1" applyAlignment="1" applyProtection="1">
      <alignment horizontal="centerContinuous"/>
      <protection/>
    </xf>
    <xf numFmtId="0" fontId="5" fillId="34" borderId="12" xfId="0" applyFont="1" applyFill="1" applyBorder="1" applyAlignment="1" applyProtection="1">
      <alignment horizontal="centerContinuous"/>
      <protection/>
    </xf>
    <xf numFmtId="1" fontId="5" fillId="34" borderId="16" xfId="0" applyNumberFormat="1" applyFont="1" applyFill="1" applyBorder="1" applyAlignment="1" applyProtection="1">
      <alignment horizontal="center"/>
      <protection/>
    </xf>
    <xf numFmtId="37" fontId="5" fillId="34" borderId="16" xfId="0" applyNumberFormat="1" applyFont="1" applyFill="1" applyBorder="1" applyAlignment="1" applyProtection="1">
      <alignment horizontal="center"/>
      <protection/>
    </xf>
    <xf numFmtId="0" fontId="5" fillId="34" borderId="16" xfId="0" applyFont="1" applyFill="1" applyBorder="1" applyAlignment="1" applyProtection="1">
      <alignment/>
      <protection/>
    </xf>
    <xf numFmtId="37" fontId="5" fillId="34" borderId="20" xfId="0" applyNumberFormat="1" applyFont="1" applyFill="1" applyBorder="1" applyAlignment="1" applyProtection="1">
      <alignment horizontal="center"/>
      <protection/>
    </xf>
    <xf numFmtId="37" fontId="5" fillId="34" borderId="22" xfId="0" applyNumberFormat="1" applyFont="1" applyFill="1" applyBorder="1" applyAlignment="1" applyProtection="1">
      <alignment horizontal="center"/>
      <protection/>
    </xf>
    <xf numFmtId="37" fontId="5" fillId="34" borderId="17" xfId="0" applyNumberFormat="1" applyFont="1" applyFill="1" applyBorder="1" applyAlignment="1" applyProtection="1">
      <alignment horizontal="center"/>
      <protection/>
    </xf>
    <xf numFmtId="37" fontId="5" fillId="34" borderId="10" xfId="0" applyNumberFormat="1" applyFont="1" applyFill="1" applyBorder="1" applyAlignment="1" applyProtection="1">
      <alignment/>
      <protection/>
    </xf>
    <xf numFmtId="165" fontId="5" fillId="34" borderId="10" xfId="0" applyNumberFormat="1" applyFont="1" applyFill="1" applyBorder="1" applyAlignment="1" applyProtection="1">
      <alignment/>
      <protection/>
    </xf>
    <xf numFmtId="0" fontId="5" fillId="34" borderId="10" xfId="0" applyFont="1" applyFill="1" applyBorder="1" applyAlignment="1" applyProtection="1">
      <alignment/>
      <protection/>
    </xf>
    <xf numFmtId="37" fontId="5" fillId="40" borderId="10" xfId="0" applyNumberFormat="1" applyFont="1" applyFill="1" applyBorder="1" applyAlignment="1" applyProtection="1">
      <alignment/>
      <protection/>
    </xf>
    <xf numFmtId="165" fontId="5" fillId="40" borderId="10" xfId="0" applyNumberFormat="1" applyFont="1" applyFill="1" applyBorder="1" applyAlignment="1" applyProtection="1">
      <alignment/>
      <protection/>
    </xf>
    <xf numFmtId="164" fontId="5" fillId="34" borderId="0" xfId="0" applyNumberFormat="1" applyFont="1" applyFill="1" applyAlignment="1" applyProtection="1">
      <alignment/>
      <protection/>
    </xf>
    <xf numFmtId="37" fontId="5" fillId="34" borderId="10" xfId="0" applyNumberFormat="1" applyFont="1" applyFill="1" applyBorder="1" applyAlignment="1" applyProtection="1">
      <alignment horizontal="fill"/>
      <protection/>
    </xf>
    <xf numFmtId="37" fontId="5" fillId="34" borderId="26" xfId="0" applyNumberFormat="1" applyFont="1" applyFill="1" applyBorder="1" applyAlignment="1" applyProtection="1">
      <alignment/>
      <protection/>
    </xf>
    <xf numFmtId="37" fontId="5" fillId="34" borderId="0" xfId="0" applyNumberFormat="1" applyFont="1" applyFill="1" applyBorder="1" applyAlignment="1" applyProtection="1">
      <alignment/>
      <protection/>
    </xf>
    <xf numFmtId="37" fontId="5" fillId="34" borderId="0" xfId="0" applyNumberFormat="1" applyFont="1" applyFill="1" applyBorder="1" applyAlignment="1" applyProtection="1">
      <alignment horizontal="left"/>
      <protection/>
    </xf>
    <xf numFmtId="1" fontId="5" fillId="34" borderId="11" xfId="0" applyNumberFormat="1"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5" fillId="40" borderId="10" xfId="0" applyNumberFormat="1" applyFont="1" applyFill="1" applyBorder="1" applyAlignment="1" applyProtection="1">
      <alignment horizontal="center"/>
      <protection/>
    </xf>
    <xf numFmtId="37" fontId="5" fillId="40" borderId="13" xfId="0" applyNumberFormat="1" applyFont="1" applyFill="1" applyBorder="1" applyAlignment="1" applyProtection="1">
      <alignment horizontal="center"/>
      <protection/>
    </xf>
    <xf numFmtId="37" fontId="5" fillId="34" borderId="11" xfId="0" applyNumberFormat="1" applyFont="1" applyFill="1" applyBorder="1" applyAlignment="1" applyProtection="1">
      <alignment horizontal="fill"/>
      <protection/>
    </xf>
    <xf numFmtId="37" fontId="6" fillId="35" borderId="0" xfId="0" applyNumberFormat="1" applyFont="1" applyFill="1" applyBorder="1" applyAlignment="1" applyProtection="1">
      <alignment horizontal="center" wrapText="1"/>
      <protection/>
    </xf>
    <xf numFmtId="0" fontId="0" fillId="35" borderId="11" xfId="0" applyFill="1" applyBorder="1" applyAlignment="1">
      <alignment wrapText="1"/>
    </xf>
    <xf numFmtId="37" fontId="6" fillId="38" borderId="16" xfId="0" applyNumberFormat="1" applyFont="1" applyFill="1" applyBorder="1" applyAlignment="1" applyProtection="1">
      <alignment horizontal="center" wrapText="1"/>
      <protection/>
    </xf>
    <xf numFmtId="0" fontId="0" fillId="38" borderId="17"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5" fillId="38" borderId="0" xfId="0" applyFont="1" applyFill="1" applyBorder="1" applyAlignment="1">
      <alignment horizontal="center"/>
    </xf>
    <xf numFmtId="0" fontId="21" fillId="38"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8" borderId="0" xfId="0" applyFont="1" applyFill="1" applyAlignment="1" applyProtection="1">
      <alignment horizontal="center"/>
      <protection/>
    </xf>
    <xf numFmtId="0" fontId="0" fillId="0" borderId="0" xfId="0" applyAlignment="1">
      <alignment horizontal="center"/>
    </xf>
    <xf numFmtId="0" fontId="6" fillId="37" borderId="14" xfId="0" applyFont="1" applyFill="1" applyBorder="1" applyAlignment="1" applyProtection="1">
      <alignment wrapText="1"/>
      <protection/>
    </xf>
    <xf numFmtId="0" fontId="0" fillId="0" borderId="14" xfId="0" applyBorder="1" applyAlignment="1">
      <alignment wrapText="1"/>
    </xf>
    <xf numFmtId="3" fontId="6" fillId="40" borderId="25" xfId="0" applyNumberFormat="1" applyFont="1" applyFill="1" applyBorder="1" applyAlignment="1" applyProtection="1">
      <alignment horizontal="right"/>
      <protection locked="0"/>
    </xf>
    <xf numFmtId="0" fontId="0" fillId="40" borderId="26" xfId="0" applyFill="1" applyBorder="1" applyAlignment="1">
      <alignment horizontal="right"/>
    </xf>
    <xf numFmtId="3" fontId="6" fillId="33" borderId="25" xfId="0" applyNumberFormat="1" applyFont="1" applyFill="1" applyBorder="1" applyAlignment="1" applyProtection="1">
      <alignment horizontal="right"/>
      <protection locked="0"/>
    </xf>
    <xf numFmtId="0" fontId="0" fillId="0" borderId="26" xfId="0" applyBorder="1" applyAlignment="1" applyProtection="1">
      <alignment horizontal="right"/>
      <protection locked="0"/>
    </xf>
    <xf numFmtId="0" fontId="5" fillId="34" borderId="0" xfId="0" applyFont="1" applyFill="1" applyAlignment="1" applyProtection="1">
      <alignment horizontal="center"/>
      <protection/>
    </xf>
    <xf numFmtId="37" fontId="6" fillId="34" borderId="16" xfId="0" applyNumberFormat="1" applyFont="1" applyFill="1" applyBorder="1" applyAlignment="1" applyProtection="1">
      <alignment horizontal="center" wrapText="1"/>
      <protection/>
    </xf>
    <xf numFmtId="0" fontId="0" fillId="0" borderId="20" xfId="0" applyBorder="1" applyAlignment="1" applyProtection="1">
      <alignment horizontal="center" wrapText="1"/>
      <protection/>
    </xf>
    <xf numFmtId="0" fontId="0" fillId="0" borderId="17" xfId="0" applyBorder="1" applyAlignment="1" applyProtection="1">
      <alignment horizontal="center" wrapText="1"/>
      <protection/>
    </xf>
    <xf numFmtId="37" fontId="6" fillId="34" borderId="0" xfId="0" applyNumberFormat="1" applyFont="1" applyFill="1" applyAlignment="1" applyProtection="1">
      <alignment horizontal="center"/>
      <protection/>
    </xf>
    <xf numFmtId="0" fontId="0" fillId="0" borderId="0" xfId="0" applyAlignment="1" applyProtection="1">
      <alignment/>
      <protection/>
    </xf>
    <xf numFmtId="37" fontId="6" fillId="34" borderId="14" xfId="0" applyNumberFormat="1" applyFont="1" applyFill="1" applyBorder="1" applyAlignment="1" applyProtection="1">
      <alignment horizontal="center"/>
      <protection/>
    </xf>
    <xf numFmtId="0" fontId="0" fillId="0" borderId="14" xfId="0" applyBorder="1" applyAlignment="1">
      <alignment horizontal="center"/>
    </xf>
    <xf numFmtId="37" fontId="6" fillId="34" borderId="25" xfId="0" applyNumberFormat="1" applyFont="1" applyFill="1" applyBorder="1" applyAlignment="1" applyProtection="1">
      <alignment horizontal="center"/>
      <protection/>
    </xf>
    <xf numFmtId="0" fontId="0" fillId="0" borderId="12" xfId="0" applyBorder="1" applyAlignment="1" applyProtection="1">
      <alignment/>
      <protection/>
    </xf>
    <xf numFmtId="0" fontId="0" fillId="0" borderId="26" xfId="0" applyBorder="1" applyAlignment="1" applyProtection="1">
      <alignment/>
      <protection/>
    </xf>
    <xf numFmtId="0" fontId="6" fillId="34" borderId="0" xfId="0" applyFont="1" applyFill="1" applyAlignment="1" applyProtection="1">
      <alignment horizontal="center"/>
      <protection/>
    </xf>
    <xf numFmtId="0" fontId="0" fillId="0" borderId="0" xfId="0" applyAlignment="1" applyProtection="1">
      <alignment horizontal="center"/>
      <protection/>
    </xf>
    <xf numFmtId="0" fontId="10" fillId="38" borderId="23" xfId="0" applyFont="1" applyFill="1" applyBorder="1" applyAlignment="1" applyProtection="1">
      <alignment horizontal="center"/>
      <protection/>
    </xf>
    <xf numFmtId="0" fontId="0" fillId="0" borderId="14" xfId="0" applyBorder="1" applyAlignment="1" applyProtection="1">
      <alignment/>
      <protection/>
    </xf>
    <xf numFmtId="3" fontId="0" fillId="0" borderId="26" xfId="0" applyNumberFormat="1" applyBorder="1" applyAlignment="1" applyProtection="1">
      <alignment horizontal="right"/>
      <protection locked="0"/>
    </xf>
    <xf numFmtId="0" fontId="10" fillId="38" borderId="0" xfId="0" applyFont="1" applyFill="1" applyAlignment="1" applyProtection="1">
      <alignment horizontal="center"/>
      <protection/>
    </xf>
    <xf numFmtId="0" fontId="0" fillId="0" borderId="0" xfId="0" applyAlignment="1">
      <alignment/>
    </xf>
    <xf numFmtId="0" fontId="8"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1" fillId="0" borderId="0" xfId="0" applyFont="1" applyAlignment="1">
      <alignment horizontal="center"/>
    </xf>
    <xf numFmtId="37" fontId="10" fillId="34" borderId="16" xfId="0" applyNumberFormat="1" applyFont="1" applyFill="1" applyBorder="1" applyAlignment="1" applyProtection="1">
      <alignment horizontal="center" wrapText="1"/>
      <protection/>
    </xf>
    <xf numFmtId="0" fontId="11" fillId="0" borderId="17" xfId="0" applyFont="1" applyBorder="1" applyAlignment="1" applyProtection="1">
      <alignment horizontal="center" wrapText="1"/>
      <protection/>
    </xf>
    <xf numFmtId="0" fontId="0" fillId="0" borderId="12" xfId="0" applyBorder="1" applyAlignment="1">
      <alignment/>
    </xf>
    <xf numFmtId="0" fontId="0" fillId="0" borderId="26" xfId="0" applyBorder="1" applyAlignment="1">
      <alignment/>
    </xf>
    <xf numFmtId="37" fontId="6" fillId="34" borderId="0" xfId="0" applyNumberFormat="1" applyFont="1" applyFill="1" applyAlignment="1" applyProtection="1">
      <alignment horizontal="right"/>
      <protection/>
    </xf>
    <xf numFmtId="0" fontId="0" fillId="0" borderId="0" xfId="0" applyAlignment="1">
      <alignment horizontal="right"/>
    </xf>
    <xf numFmtId="37" fontId="5" fillId="34" borderId="16" xfId="0" applyNumberFormat="1" applyFont="1" applyFill="1" applyBorder="1" applyAlignment="1" applyProtection="1">
      <alignment horizontal="center" wrapText="1"/>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protection/>
    </xf>
    <xf numFmtId="37" fontId="5" fillId="33" borderId="0" xfId="0" applyNumberFormat="1" applyFont="1" applyFill="1" applyAlignment="1" applyProtection="1">
      <alignment horizontal="center"/>
      <protection locked="0"/>
    </xf>
    <xf numFmtId="37" fontId="20" fillId="34" borderId="0" xfId="0" applyNumberFormat="1" applyFont="1" applyFill="1" applyAlignment="1" applyProtection="1">
      <alignment horizontal="center"/>
      <protection/>
    </xf>
    <xf numFmtId="0" fontId="0" fillId="0" borderId="0" xfId="0" applyAlignment="1" applyProtection="1">
      <alignment horizontal="right"/>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6" fillId="34" borderId="0" xfId="0" applyFont="1" applyFill="1" applyAlignment="1">
      <alignment horizontal="right"/>
    </xf>
    <xf numFmtId="0" fontId="6" fillId="34" borderId="0" xfId="0" applyFont="1" applyFill="1" applyAlignment="1" applyProtection="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te" xfId="59"/>
    <cellStyle name="Output" xfId="60"/>
    <cellStyle name="Percent" xfId="61"/>
    <cellStyle name="Title" xfId="62"/>
    <cellStyle name="Total" xfId="63"/>
    <cellStyle name="Warning Text" xfId="64"/>
  </cellStyles>
  <dxfs count="103">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161925</xdr:rowOff>
    </xdr:from>
    <xdr:to>
      <xdr:col>8</xdr:col>
      <xdr:colOff>428625</xdr:colOff>
      <xdr:row>58</xdr:row>
      <xdr:rowOff>57150</xdr:rowOff>
    </xdr:to>
    <xdr:pic>
      <xdr:nvPicPr>
        <xdr:cNvPr id="1" name="Picture 2"/>
        <xdr:cNvPicPr preferRelativeResize="1">
          <a:picLocks noChangeAspect="1"/>
        </xdr:cNvPicPr>
      </xdr:nvPicPr>
      <xdr:blipFill>
        <a:blip r:embed="rId1"/>
        <a:stretch>
          <a:fillRect/>
        </a:stretch>
      </xdr:blipFill>
      <xdr:spPr>
        <a:xfrm>
          <a:off x="428625" y="361950"/>
          <a:ext cx="6705600" cy="1129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790575</xdr:colOff>
      <xdr:row>48</xdr:row>
      <xdr:rowOff>76200</xdr:rowOff>
    </xdr:to>
    <xdr:pic>
      <xdr:nvPicPr>
        <xdr:cNvPr id="1" name="Picture 3"/>
        <xdr:cNvPicPr preferRelativeResize="1">
          <a:picLocks noChangeAspect="1"/>
        </xdr:cNvPicPr>
      </xdr:nvPicPr>
      <xdr:blipFill>
        <a:blip r:embed="rId1"/>
        <a:stretch>
          <a:fillRect/>
        </a:stretch>
      </xdr:blipFill>
      <xdr:spPr>
        <a:xfrm>
          <a:off x="0" y="0"/>
          <a:ext cx="5819775" cy="967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83"/>
  <sheetViews>
    <sheetView zoomScalePageLayoutView="0" workbookViewId="0" topLeftCell="A1">
      <selection activeCell="A1" sqref="A1"/>
    </sheetView>
  </sheetViews>
  <sheetFormatPr defaultColWidth="8.796875" defaultRowHeight="15.75"/>
  <cols>
    <col min="1" max="1" width="68.19921875" style="1" customWidth="1"/>
    <col min="2" max="16384" width="8.796875" style="1" customWidth="1"/>
  </cols>
  <sheetData>
    <row r="1" ht="15.75">
      <c r="A1" s="3" t="s">
        <v>292</v>
      </c>
    </row>
    <row r="3" ht="34.5" customHeight="1">
      <c r="A3" s="6" t="s">
        <v>265</v>
      </c>
    </row>
    <row r="4" ht="15.75">
      <c r="A4" s="2"/>
    </row>
    <row r="5" ht="52.5" customHeight="1">
      <c r="A5" s="4" t="s">
        <v>280</v>
      </c>
    </row>
    <row r="6" ht="15.75">
      <c r="A6" s="4"/>
    </row>
    <row r="7" ht="51" customHeight="1">
      <c r="A7" s="4" t="s">
        <v>310</v>
      </c>
    </row>
    <row r="8" ht="15.75">
      <c r="A8" s="4"/>
    </row>
    <row r="9" ht="15.75">
      <c r="A9" s="4" t="s">
        <v>266</v>
      </c>
    </row>
    <row r="12" ht="15.75">
      <c r="A12" s="3" t="s">
        <v>344</v>
      </c>
    </row>
    <row r="14" ht="15.75">
      <c r="A14" s="2" t="s">
        <v>345</v>
      </c>
    </row>
    <row r="17" ht="85.5" customHeight="1">
      <c r="A17" s="7" t="s">
        <v>346</v>
      </c>
    </row>
    <row r="18" ht="9.75" customHeight="1">
      <c r="A18" s="7"/>
    </row>
    <row r="19" ht="103.5" customHeight="1">
      <c r="A19" s="7" t="s">
        <v>267</v>
      </c>
    </row>
    <row r="22" ht="15.75">
      <c r="A22" s="3" t="s">
        <v>268</v>
      </c>
    </row>
    <row r="24" ht="34.5" customHeight="1">
      <c r="A24" s="4" t="s">
        <v>347</v>
      </c>
    </row>
    <row r="25" ht="9.75" customHeight="1">
      <c r="A25" s="4"/>
    </row>
    <row r="26" ht="15.75">
      <c r="A26" s="26" t="s">
        <v>269</v>
      </c>
    </row>
    <row r="27" ht="15.75">
      <c r="A27" s="4"/>
    </row>
    <row r="28" ht="17.25" customHeight="1">
      <c r="A28" s="217" t="s">
        <v>270</v>
      </c>
    </row>
    <row r="29" ht="17.25" customHeight="1">
      <c r="A29" s="218"/>
    </row>
    <row r="30" ht="87.75" customHeight="1">
      <c r="A30" s="219" t="s">
        <v>315</v>
      </c>
    </row>
    <row r="32" ht="15.75">
      <c r="A32" s="220" t="s">
        <v>271</v>
      </c>
    </row>
    <row r="34" ht="15.75">
      <c r="A34" s="307" t="s">
        <v>348</v>
      </c>
    </row>
    <row r="36" ht="15.75">
      <c r="A36" s="4" t="s">
        <v>272</v>
      </c>
    </row>
    <row r="38" ht="15.75">
      <c r="A38" s="3" t="s">
        <v>273</v>
      </c>
    </row>
    <row r="40" ht="70.5" customHeight="1">
      <c r="A40" s="4" t="s">
        <v>349</v>
      </c>
    </row>
    <row r="41" ht="52.5" customHeight="1">
      <c r="A41" s="221" t="s">
        <v>274</v>
      </c>
    </row>
    <row r="42" ht="33" customHeight="1">
      <c r="A42" s="4" t="s">
        <v>312</v>
      </c>
    </row>
    <row r="43" ht="10.5" customHeight="1">
      <c r="A43" s="4"/>
    </row>
    <row r="44" ht="105.75" customHeight="1">
      <c r="A44" s="4" t="s">
        <v>352</v>
      </c>
    </row>
    <row r="45" ht="53.25" customHeight="1">
      <c r="A45" s="4" t="s">
        <v>275</v>
      </c>
    </row>
    <row r="46" ht="12" customHeight="1">
      <c r="A46" s="4"/>
    </row>
    <row r="47" ht="73.5" customHeight="1">
      <c r="A47" s="4" t="s">
        <v>276</v>
      </c>
    </row>
    <row r="48" ht="81" customHeight="1">
      <c r="A48" s="4" t="s">
        <v>277</v>
      </c>
    </row>
    <row r="49" ht="36.75" customHeight="1">
      <c r="A49" s="4" t="s">
        <v>353</v>
      </c>
    </row>
    <row r="50" ht="15.75" customHeight="1"/>
    <row r="51" ht="68.25" customHeight="1">
      <c r="A51" s="4" t="s">
        <v>350</v>
      </c>
    </row>
    <row r="52" ht="54" customHeight="1">
      <c r="A52" s="4" t="s">
        <v>314</v>
      </c>
    </row>
    <row r="53" ht="15.75">
      <c r="A53" s="4"/>
    </row>
    <row r="54" ht="72" customHeight="1">
      <c r="A54" s="4" t="s">
        <v>343</v>
      </c>
    </row>
    <row r="55" ht="15.75">
      <c r="A55" s="4"/>
    </row>
    <row r="56" ht="35.25" customHeight="1">
      <c r="A56" s="4" t="s">
        <v>278</v>
      </c>
    </row>
    <row r="57" ht="41.25" customHeight="1">
      <c r="A57" s="4" t="s">
        <v>279</v>
      </c>
    </row>
    <row r="58" ht="15.75">
      <c r="A58" s="4"/>
    </row>
    <row r="59" ht="68.25" customHeight="1">
      <c r="A59" s="4" t="s">
        <v>313</v>
      </c>
    </row>
    <row r="60" ht="7.5" customHeight="1"/>
    <row r="61" s="4" customFormat="1" ht="86.25" customHeight="1">
      <c r="A61" s="4" t="s">
        <v>342</v>
      </c>
    </row>
    <row r="63" ht="72.75" customHeight="1">
      <c r="A63" s="4" t="s">
        <v>351</v>
      </c>
    </row>
    <row r="64" ht="90" customHeight="1">
      <c r="A64" s="4" t="s">
        <v>354</v>
      </c>
    </row>
    <row r="65" ht="71.25" customHeight="1">
      <c r="A65" s="4" t="s">
        <v>355</v>
      </c>
    </row>
    <row r="66" ht="110.25" customHeight="1">
      <c r="A66" s="4" t="s">
        <v>356</v>
      </c>
    </row>
    <row r="67" ht="72" customHeight="1">
      <c r="A67" s="4" t="s">
        <v>357</v>
      </c>
    </row>
    <row r="68" ht="86.25" customHeight="1">
      <c r="A68" s="4" t="s">
        <v>358</v>
      </c>
    </row>
    <row r="69" ht="141.75">
      <c r="A69" s="4" t="s">
        <v>359</v>
      </c>
    </row>
    <row r="70" ht="88.5" customHeight="1">
      <c r="A70" s="4" t="s">
        <v>360</v>
      </c>
    </row>
    <row r="72" ht="139.5" customHeight="1">
      <c r="A72" s="4" t="s">
        <v>0</v>
      </c>
    </row>
    <row r="74" ht="52.5" customHeight="1">
      <c r="A74" s="4" t="s">
        <v>1</v>
      </c>
    </row>
    <row r="75" ht="88.5" customHeight="1">
      <c r="A75" s="4" t="s">
        <v>2</v>
      </c>
    </row>
    <row r="76" ht="39.75" customHeight="1">
      <c r="A76" s="4" t="s">
        <v>3</v>
      </c>
    </row>
    <row r="77" ht="30.75" customHeight="1">
      <c r="A77" s="4" t="s">
        <v>4</v>
      </c>
    </row>
    <row r="78" ht="21.75" customHeight="1">
      <c r="A78" s="4" t="s">
        <v>5</v>
      </c>
    </row>
    <row r="79" ht="45" customHeight="1">
      <c r="A79" s="4" t="s">
        <v>6</v>
      </c>
    </row>
    <row r="80" ht="55.5" customHeight="1">
      <c r="A80" s="4" t="s">
        <v>7</v>
      </c>
    </row>
    <row r="81" ht="75" customHeight="1">
      <c r="A81" s="4" t="s">
        <v>28</v>
      </c>
    </row>
    <row r="82" ht="9.75" customHeight="1"/>
    <row r="83" ht="84" customHeight="1">
      <c r="A83" s="4" t="s">
        <v>8</v>
      </c>
    </row>
  </sheetData>
  <sheetProtection sheet="1" objects="1" scenarios="1"/>
  <printOptions/>
  <pageMargins left="0.5" right="0.5" top="0.5" bottom="0.5" header="0.5" footer="0.25"/>
  <pageSetup blackAndWhite="1" fitToHeight="4" fitToWidth="1" horizontalDpi="300" verticalDpi="300" orientation="portrait" r:id="rId1"/>
  <headerFooter alignWithMargins="0">
    <oddFooter>&amp;Lrevised 8/06/07</oddFooter>
  </headerFooter>
</worksheet>
</file>

<file path=xl/worksheets/sheet10.xml><?xml version="1.0" encoding="utf-8"?>
<worksheet xmlns="http://schemas.openxmlformats.org/spreadsheetml/2006/main" xmlns:r="http://schemas.openxmlformats.org/officeDocument/2006/relationships">
  <sheetPr>
    <tabColor indexed="56"/>
    <pageSetUpPr fitToPage="1"/>
  </sheetPr>
  <dimension ref="A1:F61"/>
  <sheetViews>
    <sheetView zoomScalePageLayoutView="0" workbookViewId="0" topLeftCell="A43">
      <selection activeCell="D31" sqref="D31"/>
    </sheetView>
  </sheetViews>
  <sheetFormatPr defaultColWidth="8.796875" defaultRowHeight="15.75"/>
  <cols>
    <col min="1" max="1" width="27.296875" style="5" customWidth="1"/>
    <col min="2" max="2" width="9.5" style="5" customWidth="1"/>
    <col min="3" max="3" width="11.69921875" style="5" customWidth="1"/>
    <col min="4" max="4" width="12.09765625" style="5" customWidth="1"/>
    <col min="5" max="5" width="13.69921875" style="5" customWidth="1"/>
    <col min="6" max="16384" width="8.796875" style="5" customWidth="1"/>
  </cols>
  <sheetData>
    <row r="1" spans="1:5" ht="15.75">
      <c r="A1" s="41" t="str">
        <f>inputPrYr!D3</f>
        <v>Hackberry Township</v>
      </c>
      <c r="B1" s="36"/>
      <c r="C1" s="36"/>
      <c r="D1" s="36"/>
      <c r="E1" s="152">
        <f>inputPrYr!D9</f>
        <v>2013</v>
      </c>
    </row>
    <row r="2" spans="1:5" ht="15.75">
      <c r="A2" s="48" t="s">
        <v>141</v>
      </c>
      <c r="B2" s="36"/>
      <c r="C2" s="36"/>
      <c r="D2" s="36"/>
      <c r="E2" s="117"/>
    </row>
    <row r="3" spans="1:5" ht="15.75">
      <c r="A3" s="36"/>
      <c r="B3" s="52"/>
      <c r="C3" s="118"/>
      <c r="D3" s="118"/>
      <c r="E3" s="119"/>
    </row>
    <row r="4" spans="1:5" ht="15.75">
      <c r="A4" s="39" t="s">
        <v>69</v>
      </c>
      <c r="B4" s="52"/>
      <c r="C4" s="105" t="s">
        <v>70</v>
      </c>
      <c r="D4" s="61" t="s">
        <v>71</v>
      </c>
      <c r="E4" s="61" t="s">
        <v>72</v>
      </c>
    </row>
    <row r="5" spans="1:5" ht="15.75">
      <c r="A5" s="129" t="str">
        <f>inputPrYr!B19</f>
        <v>General</v>
      </c>
      <c r="B5" s="282"/>
      <c r="C5" s="63" t="str">
        <f>CONCATENATE("Actual ",$E$1-2,"")</f>
        <v>Actual 2011</v>
      </c>
      <c r="D5" s="63" t="str">
        <f>CONCATENATE("Estimate ",$E$1-1,"")</f>
        <v>Estimate 2012</v>
      </c>
      <c r="E5" s="63" t="str">
        <f>CONCATENATE("Year ",$E$1,"")</f>
        <v>Year 2013</v>
      </c>
    </row>
    <row r="6" spans="1:5" ht="15.75">
      <c r="A6" s="135" t="s">
        <v>193</v>
      </c>
      <c r="B6" s="136"/>
      <c r="C6" s="274">
        <v>68</v>
      </c>
      <c r="D6" s="98">
        <f>C50</f>
        <v>81</v>
      </c>
      <c r="E6" s="98">
        <f>D50</f>
        <v>364</v>
      </c>
    </row>
    <row r="7" spans="1:5" ht="15.75">
      <c r="A7" s="149" t="s">
        <v>192</v>
      </c>
      <c r="B7" s="288" t="s">
        <v>330</v>
      </c>
      <c r="C7" s="274"/>
      <c r="D7" s="98">
        <f>-C18</f>
        <v>0</v>
      </c>
      <c r="E7" s="99" t="s">
        <v>53</v>
      </c>
    </row>
    <row r="8" spans="1:5" ht="15.75">
      <c r="A8" s="135" t="s">
        <v>196</v>
      </c>
      <c r="B8" s="136"/>
      <c r="C8" s="191"/>
      <c r="D8" s="98"/>
      <c r="E8" s="99"/>
    </row>
    <row r="9" spans="1:5" ht="15.75">
      <c r="A9" s="135" t="s">
        <v>76</v>
      </c>
      <c r="B9" s="136"/>
      <c r="C9" s="274">
        <v>20078</v>
      </c>
      <c r="D9" s="98">
        <f>inputPrYr!D19</f>
        <v>16917</v>
      </c>
      <c r="E9" s="99" t="s">
        <v>53</v>
      </c>
    </row>
    <row r="10" spans="1:5" ht="15.75">
      <c r="A10" s="135" t="s">
        <v>77</v>
      </c>
      <c r="B10" s="136"/>
      <c r="C10" s="274"/>
      <c r="D10" s="19"/>
      <c r="E10" s="19"/>
    </row>
    <row r="11" spans="1:5" ht="15.75">
      <c r="A11" s="135" t="s">
        <v>78</v>
      </c>
      <c r="B11" s="136"/>
      <c r="C11" s="274"/>
      <c r="D11" s="19">
        <v>2207</v>
      </c>
      <c r="E11" s="98">
        <f>mvalloc!G12</f>
        <v>2207</v>
      </c>
    </row>
    <row r="12" spans="1:5" ht="15.75">
      <c r="A12" s="135" t="s">
        <v>79</v>
      </c>
      <c r="B12" s="136"/>
      <c r="C12" s="274"/>
      <c r="D12" s="19">
        <v>40</v>
      </c>
      <c r="E12" s="98">
        <f>mvalloc!I12</f>
        <v>36</v>
      </c>
    </row>
    <row r="13" spans="1:5" ht="15.75">
      <c r="A13" s="283" t="s">
        <v>139</v>
      </c>
      <c r="B13" s="136"/>
      <c r="C13" s="274"/>
      <c r="D13" s="19">
        <v>719</v>
      </c>
      <c r="E13" s="98">
        <f>mvalloc!J12</f>
        <v>719</v>
      </c>
    </row>
    <row r="14" spans="1:5" ht="15.75">
      <c r="A14" s="283" t="s">
        <v>244</v>
      </c>
      <c r="B14" s="136"/>
      <c r="C14" s="274"/>
      <c r="D14" s="19"/>
      <c r="E14" s="98">
        <f>inputOth!E70</f>
        <v>0</v>
      </c>
    </row>
    <row r="15" spans="1:5" ht="15.75">
      <c r="A15" s="283" t="s">
        <v>245</v>
      </c>
      <c r="B15" s="136"/>
      <c r="C15" s="274"/>
      <c r="D15" s="19"/>
      <c r="E15" s="98">
        <f>mvalloc!K12</f>
        <v>0</v>
      </c>
    </row>
    <row r="16" spans="1:5" ht="15.75">
      <c r="A16" s="283"/>
      <c r="B16" s="136"/>
      <c r="C16" s="274"/>
      <c r="D16" s="19"/>
      <c r="E16" s="31"/>
    </row>
    <row r="17" spans="1:5" ht="15.75">
      <c r="A17" s="135" t="s">
        <v>80</v>
      </c>
      <c r="B17" s="136"/>
      <c r="C17" s="274"/>
      <c r="D17" s="19"/>
      <c r="E17" s="98">
        <f>inputOth!E32</f>
        <v>0</v>
      </c>
    </row>
    <row r="18" spans="1:5" ht="15.75">
      <c r="A18" s="135" t="s">
        <v>194</v>
      </c>
      <c r="B18" s="288" t="s">
        <v>331</v>
      </c>
      <c r="C18" s="274"/>
      <c r="D18" s="156" t="s">
        <v>205</v>
      </c>
      <c r="E18" s="156" t="s">
        <v>205</v>
      </c>
    </row>
    <row r="19" spans="1:5" ht="15.75">
      <c r="A19" s="272"/>
      <c r="B19" s="287"/>
      <c r="C19" s="274"/>
      <c r="D19" s="19"/>
      <c r="E19" s="19"/>
    </row>
    <row r="20" spans="1:5" ht="15.75">
      <c r="A20" s="272"/>
      <c r="B20" s="287"/>
      <c r="C20" s="274"/>
      <c r="D20" s="19"/>
      <c r="E20" s="19"/>
    </row>
    <row r="21" spans="1:5" ht="15.75">
      <c r="A21" s="284"/>
      <c r="B21" s="287"/>
      <c r="C21" s="274"/>
      <c r="D21" s="19"/>
      <c r="E21" s="19"/>
    </row>
    <row r="22" spans="1:5" ht="15.75">
      <c r="A22" s="284"/>
      <c r="B22" s="287"/>
      <c r="C22" s="274"/>
      <c r="D22" s="19"/>
      <c r="E22" s="19"/>
    </row>
    <row r="23" spans="1:5" ht="15.75">
      <c r="A23" s="284"/>
      <c r="B23" s="287"/>
      <c r="C23" s="274"/>
      <c r="D23" s="19"/>
      <c r="E23" s="19"/>
    </row>
    <row r="24" spans="1:5" ht="15.75">
      <c r="A24" s="272"/>
      <c r="B24" s="287"/>
      <c r="C24" s="274"/>
      <c r="D24" s="19"/>
      <c r="E24" s="19"/>
    </row>
    <row r="25" spans="1:5" ht="15.75">
      <c r="A25" s="284" t="s">
        <v>83</v>
      </c>
      <c r="B25" s="287"/>
      <c r="C25" s="274"/>
      <c r="D25" s="19"/>
      <c r="E25" s="19"/>
    </row>
    <row r="26" spans="1:5" ht="15.75">
      <c r="A26" s="331" t="s">
        <v>18</v>
      </c>
      <c r="B26" s="295"/>
      <c r="C26" s="274"/>
      <c r="D26" s="274"/>
      <c r="E26" s="274"/>
    </row>
    <row r="27" spans="1:5" ht="15.75">
      <c r="A27" s="331" t="s">
        <v>19</v>
      </c>
      <c r="B27" s="295"/>
      <c r="C27" s="332">
        <f>IF(C28*0.1&lt;C26,"Exceed 10% Rule","")</f>
      </c>
      <c r="D27" s="332">
        <f>IF(D28*0.1&lt;D26,"Exceed 10% Rule","")</f>
      </c>
      <c r="E27" s="332">
        <f>IF(E28*0.1&lt;E26,"Exceed 10% Rule","")</f>
      </c>
    </row>
    <row r="28" spans="1:5" ht="15.75">
      <c r="A28" s="285" t="s">
        <v>84</v>
      </c>
      <c r="B28" s="136"/>
      <c r="C28" s="276">
        <f>SUM(C9:C26)</f>
        <v>20078</v>
      </c>
      <c r="D28" s="250">
        <f>SUM(D9:D26)</f>
        <v>19883</v>
      </c>
      <c r="E28" s="250">
        <f>SUM(E9:E26)</f>
        <v>2962</v>
      </c>
    </row>
    <row r="29" spans="1:5" ht="15.75">
      <c r="A29" s="169" t="s">
        <v>85</v>
      </c>
      <c r="B29" s="136"/>
      <c r="C29" s="276">
        <f>C28+C6+C7</f>
        <v>20146</v>
      </c>
      <c r="D29" s="250">
        <f>D28+D6+D7</f>
        <v>19964</v>
      </c>
      <c r="E29" s="250">
        <f>E28+E6</f>
        <v>3326</v>
      </c>
    </row>
    <row r="30" spans="1:5" ht="15.75">
      <c r="A30" s="135" t="s">
        <v>86</v>
      </c>
      <c r="B30" s="136"/>
      <c r="C30" s="191"/>
      <c r="D30" s="98"/>
      <c r="E30" s="98"/>
    </row>
    <row r="31" spans="1:5" ht="15.75">
      <c r="A31" s="272" t="s">
        <v>367</v>
      </c>
      <c r="B31" s="287"/>
      <c r="C31" s="19">
        <v>20065</v>
      </c>
      <c r="D31" s="19">
        <v>500</v>
      </c>
      <c r="E31" s="19">
        <v>1000</v>
      </c>
    </row>
    <row r="32" spans="1:5" ht="15.75">
      <c r="A32" s="284" t="s">
        <v>368</v>
      </c>
      <c r="B32" s="287"/>
      <c r="C32" s="19">
        <v>0</v>
      </c>
      <c r="D32" s="19">
        <v>1000</v>
      </c>
      <c r="E32" s="19">
        <v>1000</v>
      </c>
    </row>
    <row r="33" spans="1:5" ht="15.75">
      <c r="A33" s="284" t="s">
        <v>208</v>
      </c>
      <c r="B33" s="287"/>
      <c r="C33" s="19">
        <v>0</v>
      </c>
      <c r="D33" s="19">
        <v>300</v>
      </c>
      <c r="E33" s="19">
        <v>300</v>
      </c>
    </row>
    <row r="34" spans="1:5" ht="15.75">
      <c r="A34" s="284" t="s">
        <v>369</v>
      </c>
      <c r="B34" s="287"/>
      <c r="C34" s="19">
        <v>0</v>
      </c>
      <c r="D34" s="19">
        <v>9500</v>
      </c>
      <c r="E34" s="19">
        <v>9500</v>
      </c>
    </row>
    <row r="35" spans="1:5" ht="15.75">
      <c r="A35" s="284" t="s">
        <v>370</v>
      </c>
      <c r="B35" s="287"/>
      <c r="C35" s="19">
        <v>0</v>
      </c>
      <c r="D35" s="19">
        <v>5600</v>
      </c>
      <c r="E35" s="19">
        <v>5600</v>
      </c>
    </row>
    <row r="36" spans="1:5" ht="15.75">
      <c r="A36" s="272" t="s">
        <v>371</v>
      </c>
      <c r="B36" s="287"/>
      <c r="C36" s="19">
        <v>0</v>
      </c>
      <c r="D36" s="19">
        <v>800</v>
      </c>
      <c r="E36" s="19">
        <v>800</v>
      </c>
    </row>
    <row r="37" spans="1:5" ht="15.75">
      <c r="A37" s="272" t="s">
        <v>375</v>
      </c>
      <c r="B37" s="287"/>
      <c r="C37" s="19">
        <v>0</v>
      </c>
      <c r="D37" s="19">
        <v>1900</v>
      </c>
      <c r="E37" s="19">
        <v>1900</v>
      </c>
    </row>
    <row r="38" spans="1:5" ht="15.75">
      <c r="A38" s="284"/>
      <c r="B38" s="287"/>
      <c r="C38" s="274"/>
      <c r="D38" s="19"/>
      <c r="E38" s="19"/>
    </row>
    <row r="39" spans="1:5" ht="15.75">
      <c r="A39" s="284"/>
      <c r="B39" s="287"/>
      <c r="C39" s="274"/>
      <c r="D39" s="19"/>
      <c r="E39" s="19"/>
    </row>
    <row r="40" spans="1:5" ht="15.75">
      <c r="A40" s="272"/>
      <c r="B40" s="287"/>
      <c r="C40" s="274"/>
      <c r="D40" s="19"/>
      <c r="E40" s="19"/>
    </row>
    <row r="41" spans="1:5" ht="15.75">
      <c r="A41" s="284"/>
      <c r="B41" s="287"/>
      <c r="C41" s="274"/>
      <c r="D41" s="19"/>
      <c r="E41" s="19"/>
    </row>
    <row r="42" spans="1:5" ht="15.75">
      <c r="A42" s="284"/>
      <c r="B42" s="287"/>
      <c r="C42" s="274"/>
      <c r="D42" s="19"/>
      <c r="E42" s="19"/>
    </row>
    <row r="43" spans="1:5" ht="15.75">
      <c r="A43" s="272"/>
      <c r="B43" s="287"/>
      <c r="C43" s="274"/>
      <c r="D43" s="19"/>
      <c r="E43" s="19"/>
    </row>
    <row r="44" spans="1:5" ht="15.75">
      <c r="A44" s="284"/>
      <c r="B44" s="287"/>
      <c r="C44" s="274"/>
      <c r="D44" s="19"/>
      <c r="E44" s="19"/>
    </row>
    <row r="45" spans="1:5" ht="15.75">
      <c r="A45" s="272"/>
      <c r="B45" s="287"/>
      <c r="C45" s="274"/>
      <c r="D45" s="19"/>
      <c r="E45" s="19"/>
    </row>
    <row r="46" spans="1:5" ht="15.75">
      <c r="A46" s="283" t="s">
        <v>20</v>
      </c>
      <c r="B46" s="295"/>
      <c r="C46" s="274"/>
      <c r="D46" s="19"/>
      <c r="E46" s="237">
        <f>nhood!E6</f>
      </c>
    </row>
    <row r="47" spans="1:5" ht="15.75">
      <c r="A47" s="283" t="s">
        <v>18</v>
      </c>
      <c r="B47" s="295"/>
      <c r="C47" s="274"/>
      <c r="D47" s="274"/>
      <c r="E47" s="274"/>
    </row>
    <row r="48" spans="1:5" ht="15.75">
      <c r="A48" s="283" t="s">
        <v>21</v>
      </c>
      <c r="B48" s="295"/>
      <c r="C48" s="332">
        <f>IF(C49*0.1&lt;C47,"Exceed 10% Rule","")</f>
      </c>
      <c r="D48" s="332">
        <f>IF(D49*0.1&lt;D47,"Exceed 10% Rule","")</f>
      </c>
      <c r="E48" s="332">
        <f>IF(E49*0.1&lt;E47,"Exceed 10% Rule","")</f>
      </c>
    </row>
    <row r="49" spans="1:5" ht="15.75">
      <c r="A49" s="169" t="s">
        <v>87</v>
      </c>
      <c r="B49" s="136"/>
      <c r="C49" s="276">
        <f>SUM(C31:C47)</f>
        <v>20065</v>
      </c>
      <c r="D49" s="250">
        <f>SUM(D31:D47)</f>
        <v>19600</v>
      </c>
      <c r="E49" s="250">
        <f>SUM(E31:E47)</f>
        <v>20100</v>
      </c>
    </row>
    <row r="50" spans="1:5" ht="15.75">
      <c r="A50" s="135" t="s">
        <v>195</v>
      </c>
      <c r="B50" s="136"/>
      <c r="C50" s="277">
        <f>C29-C49</f>
        <v>81</v>
      </c>
      <c r="D50" s="237">
        <f>D29-D49</f>
        <v>364</v>
      </c>
      <c r="E50" s="99" t="s">
        <v>53</v>
      </c>
    </row>
    <row r="51" spans="1:6" ht="15.75">
      <c r="A51" s="173" t="str">
        <f>CONCATENATE("",E1-2," Budget Authority Limited Amount:")</f>
        <v>2011 Budget Authority Limited Amount:</v>
      </c>
      <c r="B51" s="304">
        <f>inputOth!B83</f>
        <v>17700</v>
      </c>
      <c r="C51" s="36"/>
      <c r="D51" s="56" t="s">
        <v>90</v>
      </c>
      <c r="E51" s="19"/>
      <c r="F51" s="256">
        <f>IF(E49/0.95-E49&lt;E51,"Exceeds 5%","")</f>
      </c>
    </row>
    <row r="52" spans="1:5" ht="15.75">
      <c r="A52" s="173" t="str">
        <f>CONCATENATE("Violation of Budget Law for ",E1-2,":")</f>
        <v>Violation of Budget Law for 2011:</v>
      </c>
      <c r="B52" s="305" t="str">
        <f>IF(C49&gt;B51,"Yes","")</f>
        <v>Yes</v>
      </c>
      <c r="C52" s="36"/>
      <c r="D52" s="56" t="s">
        <v>329</v>
      </c>
      <c r="E52" s="98">
        <f>E49+E51</f>
        <v>20100</v>
      </c>
    </row>
    <row r="53" spans="1:5" ht="15.75">
      <c r="A53" s="173" t="str">
        <f>CONCATENATE("Possible Cash Violation for ",E1-2,":")</f>
        <v>Possible Cash Violation for 2011:</v>
      </c>
      <c r="B53" s="305">
        <f>IF(C50&lt;0,"Yes","")</f>
      </c>
      <c r="C53" s="36"/>
      <c r="D53" s="56" t="s">
        <v>91</v>
      </c>
      <c r="E53" s="237">
        <f>IF(E52-E29&gt;0,E52-E29,0)</f>
        <v>16774</v>
      </c>
    </row>
    <row r="54" spans="1:5" ht="15.75">
      <c r="A54" s="414" t="s">
        <v>236</v>
      </c>
      <c r="B54" s="415"/>
      <c r="C54" s="415"/>
      <c r="D54" s="171">
        <f>inputOth!E77</f>
        <v>0</v>
      </c>
      <c r="E54" s="98">
        <f>ROUND(IF(D54&gt;0,(E53*D54),0),0)</f>
        <v>0</v>
      </c>
    </row>
    <row r="55" spans="1:5" ht="15.75">
      <c r="A55" s="36"/>
      <c r="B55" s="36"/>
      <c r="C55" s="36"/>
      <c r="D55" s="102" t="str">
        <f>CONCATENATE("Amount of  ",E1-1," Ad Valorem Tax")</f>
        <v>Amount of  2012 Ad Valorem Tax</v>
      </c>
      <c r="E55" s="237">
        <f>E53+E54</f>
        <v>16774</v>
      </c>
    </row>
    <row r="56" spans="1:5" ht="15.75">
      <c r="A56" s="36"/>
      <c r="B56" s="36"/>
      <c r="C56" s="36"/>
      <c r="D56" s="36"/>
      <c r="E56" s="36"/>
    </row>
    <row r="57" spans="1:5" s="27" customFormat="1" ht="15.75">
      <c r="A57" s="52"/>
      <c r="B57" s="52"/>
      <c r="C57" s="52"/>
      <c r="D57" s="50"/>
      <c r="E57" s="52"/>
    </row>
    <row r="58" spans="1:5" s="28" customFormat="1" ht="15.75">
      <c r="A58" s="36"/>
      <c r="B58" s="36"/>
      <c r="C58" s="36"/>
      <c r="D58" s="45"/>
      <c r="E58" s="36"/>
    </row>
    <row r="59" spans="1:5" ht="15.75">
      <c r="A59" s="56" t="s">
        <v>68</v>
      </c>
      <c r="B59" s="20"/>
      <c r="C59" s="36"/>
      <c r="D59" s="36"/>
      <c r="E59" s="36"/>
    </row>
    <row r="61" ht="15.75">
      <c r="A61"/>
    </row>
  </sheetData>
  <sheetProtection sheet="1" objects="1" scenarios="1"/>
  <mergeCells count="1">
    <mergeCell ref="A54:C54"/>
  </mergeCells>
  <conditionalFormatting sqref="C26">
    <cfRule type="cellIs" priority="1" dxfId="102" operator="greaterThan" stopIfTrue="1">
      <formula>$C$28*0.1</formula>
    </cfRule>
  </conditionalFormatting>
  <conditionalFormatting sqref="D26">
    <cfRule type="cellIs" priority="2" dxfId="102" operator="greaterThan" stopIfTrue="1">
      <formula>$D$28*0.1</formula>
    </cfRule>
  </conditionalFormatting>
  <conditionalFormatting sqref="E26">
    <cfRule type="cellIs" priority="3" dxfId="102" operator="greaterThan" stopIfTrue="1">
      <formula>$E$28*0.1</formula>
    </cfRule>
  </conditionalFormatting>
  <conditionalFormatting sqref="E51">
    <cfRule type="cellIs" priority="4" dxfId="102" operator="greaterThan" stopIfTrue="1">
      <formula>$E$49/0.95-$E$49</formula>
    </cfRule>
  </conditionalFormatting>
  <conditionalFormatting sqref="E47">
    <cfRule type="cellIs" priority="5" dxfId="102" operator="greaterThan" stopIfTrue="1">
      <formula>$E$49*0.1</formula>
    </cfRule>
  </conditionalFormatting>
  <conditionalFormatting sqref="D47">
    <cfRule type="cellIs" priority="6" dxfId="102" operator="greaterThan" stopIfTrue="1">
      <formula>$D$49*0.1</formula>
    </cfRule>
  </conditionalFormatting>
  <conditionalFormatting sqref="C47">
    <cfRule type="cellIs" priority="7" dxfId="102" operator="greaterThan" stopIfTrue="1">
      <formula>$C$49*0.1</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oddFooter>&amp;Lrevised 8/06/07</oddFoot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A4:I104"/>
  <sheetViews>
    <sheetView zoomScale="75" zoomScaleNormal="75" zoomScalePageLayoutView="0" workbookViewId="0" topLeftCell="A1">
      <selection activeCell="B21" sqref="B21"/>
    </sheetView>
  </sheetViews>
  <sheetFormatPr defaultColWidth="8.796875"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ustomWidth="1"/>
  </cols>
  <sheetData>
    <row r="4" spans="1:8" ht="15.75">
      <c r="A4" s="111" t="s">
        <v>144</v>
      </c>
      <c r="B4" s="114"/>
      <c r="C4" s="114"/>
      <c r="D4" s="114"/>
      <c r="E4" s="114"/>
      <c r="F4" s="114"/>
      <c r="G4" s="114"/>
      <c r="H4" s="114">
        <f>inputPrYr!D9</f>
        <v>2013</v>
      </c>
    </row>
    <row r="5" spans="1:8" ht="15.75">
      <c r="A5" s="48"/>
      <c r="B5" s="48"/>
      <c r="C5" s="48"/>
      <c r="D5" s="48"/>
      <c r="E5" s="48"/>
      <c r="F5" s="106" t="s">
        <v>103</v>
      </c>
      <c r="G5" s="106" t="s">
        <v>104</v>
      </c>
      <c r="H5" s="48"/>
    </row>
    <row r="6" spans="1:8" ht="15.75">
      <c r="A6" s="407" t="s">
        <v>105</v>
      </c>
      <c r="B6" s="407"/>
      <c r="C6" s="407"/>
      <c r="D6" s="407"/>
      <c r="E6" s="407"/>
      <c r="F6" s="407"/>
      <c r="G6" s="407"/>
      <c r="H6" s="407"/>
    </row>
    <row r="7" spans="1:8" ht="15.75">
      <c r="A7" s="420" t="str">
        <f>inputPrYr!D3</f>
        <v>Hackberry Township</v>
      </c>
      <c r="B7" s="420"/>
      <c r="C7" s="420"/>
      <c r="D7" s="420"/>
      <c r="E7" s="420"/>
      <c r="F7" s="420"/>
      <c r="G7" s="420"/>
      <c r="H7" s="420"/>
    </row>
    <row r="8" spans="1:8" ht="15.75">
      <c r="A8" s="420" t="str">
        <f>inputPrYr!D4</f>
        <v>Labette</v>
      </c>
      <c r="B8" s="420"/>
      <c r="C8" s="420"/>
      <c r="D8" s="420"/>
      <c r="E8" s="420"/>
      <c r="F8" s="420"/>
      <c r="G8" s="420"/>
      <c r="H8" s="420"/>
    </row>
    <row r="9" spans="1:8" ht="15.75">
      <c r="A9" s="419" t="s">
        <v>376</v>
      </c>
      <c r="B9" s="419"/>
      <c r="C9" s="419"/>
      <c r="D9" s="419"/>
      <c r="E9" s="419"/>
      <c r="F9" s="419"/>
      <c r="G9" s="419"/>
      <c r="H9" s="419"/>
    </row>
    <row r="10" spans="1:8" ht="15.75">
      <c r="A10" s="111" t="s">
        <v>106</v>
      </c>
      <c r="B10" s="114"/>
      <c r="C10" s="114"/>
      <c r="D10" s="114"/>
      <c r="E10" s="114"/>
      <c r="F10" s="114"/>
      <c r="G10" s="114"/>
      <c r="H10" s="114"/>
    </row>
    <row r="11" spans="1:8" ht="15.75">
      <c r="A11" s="111" t="s">
        <v>153</v>
      </c>
      <c r="B11" s="114"/>
      <c r="C11" s="114"/>
      <c r="D11" s="114"/>
      <c r="E11" s="114"/>
      <c r="F11" s="114"/>
      <c r="G11" s="114"/>
      <c r="H11" s="114"/>
    </row>
    <row r="12" spans="1:8" ht="15.75">
      <c r="A12" s="337" t="s">
        <v>372</v>
      </c>
      <c r="B12" s="338"/>
      <c r="C12" s="338"/>
      <c r="D12" s="338"/>
      <c r="E12" s="338"/>
      <c r="F12" s="338"/>
      <c r="G12" s="338"/>
      <c r="H12" s="338"/>
    </row>
    <row r="13" spans="1:8" ht="15.75">
      <c r="A13" s="111" t="s">
        <v>107</v>
      </c>
      <c r="B13" s="114"/>
      <c r="C13" s="114"/>
      <c r="D13" s="114"/>
      <c r="E13" s="114"/>
      <c r="F13" s="114"/>
      <c r="G13" s="114"/>
      <c r="H13" s="114"/>
    </row>
    <row r="14" spans="1:8" ht="15.75">
      <c r="A14" s="111" t="s">
        <v>145</v>
      </c>
      <c r="B14" s="114"/>
      <c r="C14" s="114"/>
      <c r="D14" s="114"/>
      <c r="E14" s="114"/>
      <c r="F14" s="114"/>
      <c r="G14" s="114"/>
      <c r="H14" s="114"/>
    </row>
    <row r="15" spans="1:8" ht="15.75">
      <c r="A15" s="111" t="str">
        <f>CONCATENATE("Proposed Budget ",H4," Expenditures and Amount of ",H4-1," Ad Valorem Tax establish the maximum limits")</f>
        <v>Proposed Budget 2013 Expenditures and Amount of 2012 Ad Valorem Tax establish the maximum limits</v>
      </c>
      <c r="B15" s="114"/>
      <c r="C15" s="114"/>
      <c r="D15" s="114"/>
      <c r="E15" s="114"/>
      <c r="F15" s="114"/>
      <c r="G15" s="114"/>
      <c r="H15" s="114"/>
    </row>
    <row r="16" spans="1:8" ht="15.75">
      <c r="A16" s="111" t="str">
        <f>CONCATENATE("of the ",H4," budget.  Estimated Tax Rate is subject to change depending on the final assessed valuation.")</f>
        <v>of the 2013 budget.  Estimated Tax Rate is subject to change depending on the final assessed valuation.</v>
      </c>
      <c r="B16" s="114"/>
      <c r="C16" s="114"/>
      <c r="D16" s="114"/>
      <c r="E16" s="114"/>
      <c r="F16" s="114"/>
      <c r="G16" s="114"/>
      <c r="H16" s="114"/>
    </row>
    <row r="17" spans="1:9" ht="15.75">
      <c r="A17" s="106"/>
      <c r="B17" s="339"/>
      <c r="C17" s="339"/>
      <c r="D17" s="339"/>
      <c r="E17" s="339"/>
      <c r="F17" s="339"/>
      <c r="G17" s="339"/>
      <c r="H17" s="339"/>
      <c r="I17" s="13"/>
    </row>
    <row r="18" spans="1:9" ht="15.75">
      <c r="A18" s="48"/>
      <c r="B18" s="340" t="str">
        <f>CONCATENATE("Prior Year Actual ",H4-2,"")</f>
        <v>Prior Year Actual 2011</v>
      </c>
      <c r="C18" s="341"/>
      <c r="D18" s="340" t="str">
        <f>CONCATENATE("Current Year Estimate ",H4-1,"")</f>
        <v>Current Year Estimate 2012</v>
      </c>
      <c r="E18" s="342"/>
      <c r="F18" s="343" t="str">
        <f>CONCATENATE("Proposed Budget ",H4,"")</f>
        <v>Proposed Budget 2013</v>
      </c>
      <c r="G18" s="344"/>
      <c r="H18" s="342"/>
      <c r="I18" s="13"/>
    </row>
    <row r="19" spans="1:9" ht="22.5" customHeight="1">
      <c r="A19" s="48"/>
      <c r="B19" s="345"/>
      <c r="C19" s="346" t="s">
        <v>98</v>
      </c>
      <c r="D19" s="346"/>
      <c r="E19" s="346" t="s">
        <v>98</v>
      </c>
      <c r="F19" s="347"/>
      <c r="G19" s="416" t="str">
        <f>CONCATENATE("Amount of ",H4-1," Ad Valorem Tax")</f>
        <v>Amount of 2012 Ad Valorem Tax</v>
      </c>
      <c r="H19" s="346" t="s">
        <v>108</v>
      </c>
      <c r="I19" s="13"/>
    </row>
    <row r="20" spans="1:9" ht="15.75">
      <c r="A20" s="48"/>
      <c r="B20" s="348"/>
      <c r="C20" s="348" t="s">
        <v>109</v>
      </c>
      <c r="D20" s="348"/>
      <c r="E20" s="348" t="s">
        <v>109</v>
      </c>
      <c r="F20" s="348"/>
      <c r="G20" s="417"/>
      <c r="H20" s="348" t="s">
        <v>109</v>
      </c>
      <c r="I20" s="13"/>
    </row>
    <row r="21" spans="1:9" ht="15.75">
      <c r="A21" s="349" t="s">
        <v>48</v>
      </c>
      <c r="B21" s="350" t="s">
        <v>110</v>
      </c>
      <c r="C21" s="350" t="s">
        <v>111</v>
      </c>
      <c r="D21" s="350" t="s">
        <v>110</v>
      </c>
      <c r="E21" s="350" t="s">
        <v>111</v>
      </c>
      <c r="F21" s="350" t="s">
        <v>110</v>
      </c>
      <c r="G21" s="418"/>
      <c r="H21" s="350" t="s">
        <v>111</v>
      </c>
      <c r="I21" s="13"/>
    </row>
    <row r="22" spans="1:9" ht="15.75">
      <c r="A22" s="351" t="str">
        <f>inputPrYr!B19</f>
        <v>General</v>
      </c>
      <c r="B22" s="351">
        <f>IF(gen!$C$49&lt;&gt;0,gen!$C$49,"  ")</f>
        <v>20065</v>
      </c>
      <c r="C22" s="352">
        <f>IF(inputPrYr!D40&gt;0,inputPrYr!D40,"  ")</f>
        <v>6.858</v>
      </c>
      <c r="D22" s="351">
        <f>IF(gen!$D$49&lt;&gt;0,gen!$D$49,"  ")</f>
        <v>19600</v>
      </c>
      <c r="E22" s="352">
        <f>IF(inputOth!D37&gt;0,inputOth!D37,"  ")</f>
        <v>6.858</v>
      </c>
      <c r="F22" s="351">
        <f>IF(gen!$E$49&lt;&gt;0,gen!$E$49,"  ")</f>
        <v>20100</v>
      </c>
      <c r="G22" s="351">
        <f>IF(gen!$E$55&lt;&gt;0,gen!$E$55,"")</f>
        <v>16774</v>
      </c>
      <c r="H22" s="352">
        <f>IF(gen!E55&gt;0,ROUND(G22/F31*1000,3)," ")</f>
        <v>6.098</v>
      </c>
      <c r="I22" s="13"/>
    </row>
    <row r="23" spans="1:9" ht="15.75">
      <c r="A23" s="351"/>
      <c r="B23" s="351" t="str">
        <f>IF(bondint!$C$55&lt;&gt;0,bondint!$C$55,"  ")</f>
        <v>  </v>
      </c>
      <c r="C23" s="352" t="str">
        <f>IF(inputPrYr!D41&gt;0,inputPrYr!D41,"  ")</f>
        <v>  </v>
      </c>
      <c r="D23" s="351" t="str">
        <f>IF(bondint!$D$55&lt;&gt;0,bondint!$D$55,"  ")</f>
        <v>  </v>
      </c>
      <c r="E23" s="352" t="str">
        <f>IF(inputOth!D38&gt;0,inputOth!D38,"  ")</f>
        <v>  </v>
      </c>
      <c r="F23" s="351" t="str">
        <f>IF(bondint!$E$55&lt;&gt;0,bondint!$E$55,"  ")</f>
        <v>  </v>
      </c>
      <c r="G23" s="351" t="str">
        <f>IF(bondint!$E$61&lt;&gt;0,bondint!$E$61," ")</f>
        <v> </v>
      </c>
      <c r="H23" s="352" t="str">
        <f>IF(bondint!E61&gt;0,ROUND(G23/F31*1000,3)," ")</f>
        <v> </v>
      </c>
      <c r="I23" s="13"/>
    </row>
    <row r="24" spans="1:8" ht="15.75" hidden="1">
      <c r="A24" s="351"/>
      <c r="B24" s="351" t="str">
        <f>IF(road!$C$43&lt;&gt;0,road!$C$43,"  ")</f>
        <v>  </v>
      </c>
      <c r="C24" s="352" t="str">
        <f>IF(inputPrYr!D42&gt;0,inputPrYr!D42,"  ")</f>
        <v>  </v>
      </c>
      <c r="D24" s="351" t="str">
        <f>IF(road!$D$43&lt;&gt;0,road!$D$43,"  ")</f>
        <v>  </v>
      </c>
      <c r="E24" s="352" t="str">
        <f>IF(inputOth!D39&gt;0,inputOth!D39,"  ")</f>
        <v>  </v>
      </c>
      <c r="F24" s="351" t="str">
        <f>IF(road!$E$43&lt;&gt;0,road!$E$43,"  ")</f>
        <v>  </v>
      </c>
      <c r="G24" s="351" t="str">
        <f>IF(road!$E$49&lt;&gt;0,road!$E$49,"  ")</f>
        <v>  </v>
      </c>
      <c r="H24" s="352" t="str">
        <f>IF(road!E49&gt;0,ROUND(G24/F32*1000,3)," ")</f>
        <v> </v>
      </c>
    </row>
    <row r="25" spans="1:8" ht="15.75" hidden="1">
      <c r="A25" s="351"/>
      <c r="B25" s="351" t="str">
        <f>IF(levypage9!$C$33&lt;&gt;0,levypage9!$C$33,"  ")</f>
        <v>  </v>
      </c>
      <c r="C25" s="352" t="str">
        <f>IF(inputPrYr!D43&gt;0,inputPrYr!D43,"  ")</f>
        <v>  </v>
      </c>
      <c r="D25" s="351" t="str">
        <f>IF(levypage9!$D$33&lt;&gt;0,levypage9!$D$33,"  ")</f>
        <v>  </v>
      </c>
      <c r="E25" s="352" t="str">
        <f>IF(inputOth!D40&gt;0,inputOth!D40,"  ")</f>
        <v>  </v>
      </c>
      <c r="F25" s="351" t="str">
        <f>IF(levypage9!$E$33&lt;&gt;0,levypage9!$E$33,"  ")</f>
        <v>  </v>
      </c>
      <c r="G25" s="351" t="str">
        <f>IF(levypage9!$E$39&lt;&gt;0,levypage9!$E$39,"  ")</f>
        <v>  </v>
      </c>
      <c r="H25" s="352" t="str">
        <f>IF(levypage9!E39&gt;0,ROUND(G25/F32*1000,3)," ")</f>
        <v> </v>
      </c>
    </row>
    <row r="26" spans="1:8" ht="15.75">
      <c r="A26" s="101"/>
      <c r="B26" s="351" t="str">
        <f>IF(road!C61&lt;&gt;0,road!C61,"  ")</f>
        <v>  </v>
      </c>
      <c r="C26" s="353"/>
      <c r="D26" s="353"/>
      <c r="E26" s="353"/>
      <c r="F26" s="353"/>
      <c r="G26" s="353"/>
      <c r="H26" s="353"/>
    </row>
    <row r="27" spans="1:8" ht="15.75">
      <c r="A27" s="101" t="s">
        <v>52</v>
      </c>
      <c r="B27" s="354">
        <f aca="true" t="shared" si="0" ref="B27:H27">SUM(B22:B26)</f>
        <v>20065</v>
      </c>
      <c r="C27" s="355">
        <f t="shared" si="0"/>
        <v>6.858</v>
      </c>
      <c r="D27" s="354">
        <f t="shared" si="0"/>
        <v>19600</v>
      </c>
      <c r="E27" s="355">
        <f t="shared" si="0"/>
        <v>6.858</v>
      </c>
      <c r="F27" s="354">
        <f t="shared" si="0"/>
        <v>20100</v>
      </c>
      <c r="G27" s="354">
        <f t="shared" si="0"/>
        <v>16774</v>
      </c>
      <c r="H27" s="355">
        <f t="shared" si="0"/>
        <v>6.098</v>
      </c>
    </row>
    <row r="28" spans="1:8" ht="15.75">
      <c r="A28" s="101" t="s">
        <v>112</v>
      </c>
      <c r="B28" s="351">
        <f>transfer!C29</f>
        <v>0</v>
      </c>
      <c r="C28" s="48"/>
      <c r="D28" s="351">
        <f>transfer!D29</f>
        <v>0</v>
      </c>
      <c r="E28" s="356"/>
      <c r="F28" s="351">
        <f>transfer!E29</f>
        <v>0</v>
      </c>
      <c r="G28" s="48"/>
      <c r="H28" s="48"/>
    </row>
    <row r="29" spans="1:8" ht="15.75">
      <c r="A29" s="101" t="s">
        <v>113</v>
      </c>
      <c r="B29" s="354">
        <f>B27-B28</f>
        <v>20065</v>
      </c>
      <c r="C29" s="48"/>
      <c r="D29" s="354">
        <f>D27-D28</f>
        <v>19600</v>
      </c>
      <c r="E29" s="48"/>
      <c r="F29" s="354">
        <f>F27-F28</f>
        <v>20100</v>
      </c>
      <c r="G29" s="48"/>
      <c r="H29" s="48"/>
    </row>
    <row r="30" spans="1:8" ht="15.75">
      <c r="A30" s="101" t="s">
        <v>114</v>
      </c>
      <c r="B30" s="351">
        <f>inputPrYr!E53</f>
        <v>16573</v>
      </c>
      <c r="C30" s="356"/>
      <c r="D30" s="351">
        <f>inputPrYr!D30</f>
        <v>16917</v>
      </c>
      <c r="E30" s="48"/>
      <c r="F30" s="357" t="s">
        <v>53</v>
      </c>
      <c r="G30" s="48"/>
      <c r="H30" s="48"/>
    </row>
    <row r="31" spans="1:8" ht="15.75">
      <c r="A31" s="101" t="s">
        <v>340</v>
      </c>
      <c r="B31" s="351">
        <f>inputPrYr!E54</f>
        <v>2433945</v>
      </c>
      <c r="C31" s="356"/>
      <c r="D31" s="351">
        <f>inputOth!E54</f>
        <v>2433945</v>
      </c>
      <c r="E31" s="356"/>
      <c r="F31" s="351">
        <f>inputOth!E11</f>
        <v>2750933</v>
      </c>
      <c r="G31" s="48"/>
      <c r="H31" s="48"/>
    </row>
    <row r="32" spans="1:8" ht="15.75">
      <c r="A32" s="169" t="s">
        <v>27</v>
      </c>
      <c r="B32" s="358"/>
      <c r="C32" s="48"/>
      <c r="D32" s="359"/>
      <c r="E32" s="48"/>
      <c r="F32" s="351">
        <f>inputOth!E8</f>
        <v>2311693</v>
      </c>
      <c r="G32" s="48"/>
      <c r="H32" s="48"/>
    </row>
    <row r="33" spans="1:8" ht="15.75">
      <c r="A33" s="360"/>
      <c r="B33" s="359"/>
      <c r="C33" s="48"/>
      <c r="D33" s="359"/>
      <c r="E33" s="48"/>
      <c r="F33" s="359"/>
      <c r="G33" s="48"/>
      <c r="H33" s="48"/>
    </row>
    <row r="34" spans="1:8" ht="15.75">
      <c r="A34" s="106" t="s">
        <v>115</v>
      </c>
      <c r="B34" s="48"/>
      <c r="C34" s="48"/>
      <c r="D34" s="48"/>
      <c r="E34" s="48"/>
      <c r="F34" s="48"/>
      <c r="G34" s="48"/>
      <c r="H34" s="48"/>
    </row>
    <row r="35" spans="1:8" ht="15.75">
      <c r="A35" s="106" t="s">
        <v>116</v>
      </c>
      <c r="B35" s="361">
        <f>H4-3</f>
        <v>2010</v>
      </c>
      <c r="C35" s="48"/>
      <c r="D35" s="361">
        <f>H4-2</f>
        <v>2011</v>
      </c>
      <c r="E35" s="48"/>
      <c r="F35" s="361">
        <f>H4-1</f>
        <v>2012</v>
      </c>
      <c r="G35" s="48"/>
      <c r="H35" s="48"/>
    </row>
    <row r="36" spans="1:8" ht="15.75">
      <c r="A36" s="106" t="s">
        <v>117</v>
      </c>
      <c r="B36" s="362">
        <f>inputPrYr!D57</f>
        <v>0</v>
      </c>
      <c r="C36" s="42"/>
      <c r="D36" s="362">
        <f>inputPrYr!E57</f>
        <v>0</v>
      </c>
      <c r="E36" s="42"/>
      <c r="F36" s="362">
        <f>debt!E11</f>
        <v>0</v>
      </c>
      <c r="G36" s="48"/>
      <c r="H36" s="48"/>
    </row>
    <row r="37" spans="1:8" ht="15.75">
      <c r="A37" s="106" t="s">
        <v>81</v>
      </c>
      <c r="B37" s="362">
        <f>inputPrYr!D58</f>
        <v>0</v>
      </c>
      <c r="C37" s="42"/>
      <c r="D37" s="362">
        <f>inputPrYr!E58</f>
        <v>0</v>
      </c>
      <c r="E37" s="42"/>
      <c r="F37" s="362">
        <f>debt!E15</f>
        <v>0</v>
      </c>
      <c r="G37" s="48"/>
      <c r="H37" s="48"/>
    </row>
    <row r="38" spans="1:8" ht="15.75">
      <c r="A38" s="106" t="s">
        <v>118</v>
      </c>
      <c r="B38" s="362">
        <f>inputPrYr!D59</f>
        <v>0</v>
      </c>
      <c r="C38" s="42"/>
      <c r="D38" s="362">
        <f>inputPrYr!E59</f>
        <v>0</v>
      </c>
      <c r="E38" s="42"/>
      <c r="F38" s="363">
        <f>debt!F36</f>
        <v>0</v>
      </c>
      <c r="G38" s="48"/>
      <c r="H38" s="48"/>
    </row>
    <row r="39" spans="1:8" ht="16.5" thickBot="1">
      <c r="A39" s="106" t="s">
        <v>119</v>
      </c>
      <c r="B39" s="364">
        <f>SUM(B36:B38)</f>
        <v>0</v>
      </c>
      <c r="C39" s="42"/>
      <c r="D39" s="364">
        <f>SUM(D36:D38)</f>
        <v>0</v>
      </c>
      <c r="E39" s="42"/>
      <c r="F39" s="364">
        <f>SUM(F36:F38)</f>
        <v>0</v>
      </c>
      <c r="G39" s="48"/>
      <c r="H39" s="48"/>
    </row>
    <row r="40" spans="1:8" ht="16.5" thickTop="1">
      <c r="A40" s="106" t="s">
        <v>120</v>
      </c>
      <c r="B40" s="48"/>
      <c r="C40" s="48"/>
      <c r="D40" s="48"/>
      <c r="E40" s="48"/>
      <c r="F40" s="48"/>
      <c r="G40" s="48"/>
      <c r="H40" s="48"/>
    </row>
    <row r="41" spans="1:8" ht="15.75">
      <c r="A41" s="48"/>
      <c r="B41" s="48"/>
      <c r="C41" s="48"/>
      <c r="D41" s="48"/>
      <c r="E41" s="48"/>
      <c r="F41" s="48"/>
      <c r="G41" s="48"/>
      <c r="H41" s="48"/>
    </row>
    <row r="42" spans="1:8" ht="15.75">
      <c r="A42" s="365" t="s">
        <v>373</v>
      </c>
      <c r="B42" s="365"/>
      <c r="C42" s="48"/>
      <c r="D42" s="48"/>
      <c r="E42" s="48"/>
      <c r="F42" s="48"/>
      <c r="G42" s="48"/>
      <c r="H42" s="48"/>
    </row>
    <row r="43" spans="1:8" ht="15.75">
      <c r="A43" s="111" t="s">
        <v>121</v>
      </c>
      <c r="B43" s="114"/>
      <c r="C43" s="48"/>
      <c r="D43" s="48"/>
      <c r="E43" s="48"/>
      <c r="F43" s="48"/>
      <c r="G43" s="48"/>
      <c r="H43" s="48"/>
    </row>
    <row r="44" spans="1:8" ht="15.75">
      <c r="A44" s="36"/>
      <c r="B44" s="36"/>
      <c r="C44" s="36"/>
      <c r="D44" s="36"/>
      <c r="E44" s="36"/>
      <c r="F44" s="36"/>
      <c r="G44" s="36"/>
      <c r="H44" s="36"/>
    </row>
    <row r="45" spans="1:8" ht="15.75">
      <c r="A45" s="36"/>
      <c r="B45" s="56" t="s">
        <v>68</v>
      </c>
      <c r="C45" s="18"/>
      <c r="D45" s="36"/>
      <c r="E45" s="36"/>
      <c r="F45" s="36"/>
      <c r="G45" s="36"/>
      <c r="H45" s="36"/>
    </row>
    <row r="46" spans="1:3" ht="15.75">
      <c r="A46" s="1"/>
      <c r="B46" s="1"/>
      <c r="C46" s="1"/>
    </row>
    <row r="48" spans="1:7" ht="15.75">
      <c r="A48" s="1"/>
      <c r="B48" s="1"/>
      <c r="C48" s="1"/>
      <c r="D48" s="1"/>
      <c r="E48" s="1"/>
      <c r="F48" s="1"/>
      <c r="G48" s="1"/>
    </row>
    <row r="49" ht="15.75">
      <c r="H49" s="1"/>
    </row>
    <row r="70" spans="1:6" ht="15.75">
      <c r="A70" s="1"/>
      <c r="B70" s="1"/>
      <c r="C70" s="1"/>
      <c r="D70" s="1"/>
      <c r="E70" s="1"/>
      <c r="F70" s="1"/>
    </row>
    <row r="77" spans="1:7" ht="15.75">
      <c r="A77" s="1"/>
      <c r="B77" s="1"/>
      <c r="C77" s="1"/>
      <c r="D77" s="1"/>
      <c r="E77" s="1"/>
      <c r="F77" s="1"/>
      <c r="G77" s="1"/>
    </row>
    <row r="78" ht="15.75">
      <c r="H78" s="1"/>
    </row>
    <row r="83" spans="1:7" ht="15.75">
      <c r="A83" s="1"/>
      <c r="B83" s="1"/>
      <c r="C83" s="1"/>
      <c r="D83" s="1"/>
      <c r="E83" s="1"/>
      <c r="F83" s="1"/>
      <c r="G83" s="1"/>
    </row>
    <row r="84" ht="15.75">
      <c r="H84" s="1"/>
    </row>
    <row r="104" spans="1:7" ht="15.75">
      <c r="A104" s="1"/>
      <c r="B104" s="1"/>
      <c r="C104" s="1"/>
      <c r="D104" s="1"/>
      <c r="E104" s="1"/>
      <c r="F104" s="1"/>
      <c r="G104" s="1"/>
    </row>
  </sheetData>
  <sheetProtection/>
  <mergeCells count="5">
    <mergeCell ref="A6:H6"/>
    <mergeCell ref="G19:G21"/>
    <mergeCell ref="A9:H9"/>
    <mergeCell ref="A8:H8"/>
    <mergeCell ref="A7:H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8/06/07</oddFooter>
  </headerFooter>
</worksheet>
</file>

<file path=xl/worksheets/sheet12.xml><?xml version="1.0" encoding="utf-8"?>
<worksheet xmlns="http://schemas.openxmlformats.org/spreadsheetml/2006/main" xmlns:r="http://schemas.openxmlformats.org/officeDocument/2006/relationships">
  <sheetPr>
    <tabColor indexed="34"/>
  </sheetPr>
  <dimension ref="A1:A1"/>
  <sheetViews>
    <sheetView zoomScalePageLayoutView="0" workbookViewId="0" topLeftCell="A34">
      <selection activeCell="A1" sqref="A1"/>
    </sheetView>
  </sheetViews>
  <sheetFormatPr defaultColWidth="8.796875" defaultRowHeight="15.75"/>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35"/>
  </sheetPr>
  <dimension ref="A1:A1"/>
  <sheetViews>
    <sheetView zoomScalePageLayoutView="0" workbookViewId="0" topLeftCell="A1">
      <selection activeCell="A1" sqref="A1"/>
    </sheetView>
  </sheetViews>
  <sheetFormatPr defaultColWidth="8.796875" defaultRowHeight="15.75"/>
  <sheetData/>
  <sheetProtection/>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C16" sqref="C16"/>
    </sheetView>
  </sheetViews>
  <sheetFormatPr defaultColWidth="8.796875" defaultRowHeight="15.75"/>
  <cols>
    <col min="1" max="1" width="25.8984375" style="5" customWidth="1"/>
    <col min="2" max="2" width="9.5" style="5" customWidth="1"/>
    <col min="3" max="4" width="14.19921875" style="5" customWidth="1"/>
    <col min="5" max="5" width="15.19921875" style="5" customWidth="1"/>
    <col min="6" max="16384" width="8.796875" style="5" customWidth="1"/>
  </cols>
  <sheetData>
    <row r="1" spans="1:5" ht="15.75">
      <c r="A1" s="41" t="str">
        <f>inputPrYr!D3</f>
        <v>Hackberry Township</v>
      </c>
      <c r="B1" s="41"/>
      <c r="C1" s="36"/>
      <c r="D1" s="36"/>
      <c r="E1" s="164">
        <f>inputPrYr!$D$9</f>
        <v>2013</v>
      </c>
    </row>
    <row r="2" spans="1:5" ht="15.75">
      <c r="A2" s="36"/>
      <c r="B2" s="36"/>
      <c r="C2" s="36"/>
      <c r="D2" s="36"/>
      <c r="E2" s="56"/>
    </row>
    <row r="3" spans="1:5" ht="15.75">
      <c r="A3" s="48" t="s">
        <v>341</v>
      </c>
      <c r="B3" s="48"/>
      <c r="C3" s="66"/>
      <c r="D3" s="66"/>
      <c r="E3" s="103"/>
    </row>
    <row r="4" spans="1:5" ht="15.75">
      <c r="A4" s="36"/>
      <c r="B4" s="36"/>
      <c r="C4" s="104"/>
      <c r="D4" s="104"/>
      <c r="E4" s="104"/>
    </row>
    <row r="5" spans="1:5" ht="15.75">
      <c r="A5" s="39" t="s">
        <v>69</v>
      </c>
      <c r="B5" s="39"/>
      <c r="C5" s="105" t="s">
        <v>70</v>
      </c>
      <c r="D5" s="61" t="s">
        <v>71</v>
      </c>
      <c r="E5" s="61" t="s">
        <v>72</v>
      </c>
    </row>
    <row r="6" spans="1:5" ht="15.75">
      <c r="A6" s="129" t="s">
        <v>234</v>
      </c>
      <c r="B6" s="129"/>
      <c r="C6" s="63" t="str">
        <f>CONCATENATE("Actual ",$E$1-2,"")</f>
        <v>Actual 2011</v>
      </c>
      <c r="D6" s="63" t="str">
        <f>CONCATENATE("Estimate ",$E$1-1,"")</f>
        <v>Estimate 2012</v>
      </c>
      <c r="E6" s="63" t="str">
        <f>CONCATENATE("Year ",$E$1,"")</f>
        <v>Year 2013</v>
      </c>
    </row>
    <row r="7" spans="1:5" ht="15.75">
      <c r="A7" s="135" t="s">
        <v>224</v>
      </c>
      <c r="B7" s="295"/>
      <c r="C7" s="292"/>
      <c r="D7" s="166">
        <f>C56</f>
        <v>0</v>
      </c>
      <c r="E7" s="166">
        <f>D56</f>
        <v>0</v>
      </c>
    </row>
    <row r="8" spans="1:5" ht="15.75">
      <c r="A8" s="149" t="s">
        <v>192</v>
      </c>
      <c r="B8" s="296" t="s">
        <v>330</v>
      </c>
      <c r="C8" s="292"/>
      <c r="D8" s="166">
        <f>-C16</f>
        <v>0</v>
      </c>
      <c r="E8" s="166" t="s">
        <v>327</v>
      </c>
    </row>
    <row r="9" spans="1:5" ht="15.75">
      <c r="A9" s="135" t="s">
        <v>196</v>
      </c>
      <c r="B9" s="295"/>
      <c r="C9" s="293"/>
      <c r="D9" s="166"/>
      <c r="E9" s="166"/>
    </row>
    <row r="10" spans="1:5" ht="15.75">
      <c r="A10" s="135" t="s">
        <v>76</v>
      </c>
      <c r="B10" s="295"/>
      <c r="C10" s="292"/>
      <c r="D10" s="167">
        <f>inputPrYr!D20</f>
        <v>0</v>
      </c>
      <c r="E10" s="99" t="s">
        <v>53</v>
      </c>
    </row>
    <row r="11" spans="1:5" ht="15.75">
      <c r="A11" s="135" t="s">
        <v>77</v>
      </c>
      <c r="B11" s="295"/>
      <c r="C11" s="292"/>
      <c r="D11" s="165"/>
      <c r="E11" s="165"/>
    </row>
    <row r="12" spans="1:5" ht="15.75">
      <c r="A12" s="135" t="s">
        <v>78</v>
      </c>
      <c r="B12" s="295"/>
      <c r="C12" s="292"/>
      <c r="D12" s="165"/>
      <c r="E12" s="167">
        <f>mvalloc!G13</f>
        <v>0</v>
      </c>
    </row>
    <row r="13" spans="1:5" ht="15.75">
      <c r="A13" s="135" t="s">
        <v>79</v>
      </c>
      <c r="B13" s="295"/>
      <c r="C13" s="292"/>
      <c r="D13" s="165"/>
      <c r="E13" s="167">
        <f>mvalloc!I13</f>
        <v>0</v>
      </c>
    </row>
    <row r="14" spans="1:5" ht="15.75">
      <c r="A14" s="289" t="s">
        <v>173</v>
      </c>
      <c r="B14" s="295"/>
      <c r="C14" s="292"/>
      <c r="D14" s="165"/>
      <c r="E14" s="167">
        <f>mvalloc!J13</f>
        <v>0</v>
      </c>
    </row>
    <row r="15" spans="1:5" ht="15.75">
      <c r="A15" s="289" t="s">
        <v>245</v>
      </c>
      <c r="B15" s="295"/>
      <c r="C15" s="292"/>
      <c r="D15" s="165"/>
      <c r="E15" s="167">
        <f>mvalloc!K13</f>
        <v>0</v>
      </c>
    </row>
    <row r="16" spans="1:5" ht="15.75">
      <c r="A16" s="289" t="s">
        <v>194</v>
      </c>
      <c r="B16" s="296" t="s">
        <v>331</v>
      </c>
      <c r="C16" s="292"/>
      <c r="D16" s="166" t="s">
        <v>327</v>
      </c>
      <c r="E16" s="166" t="s">
        <v>327</v>
      </c>
    </row>
    <row r="17" spans="1:5" ht="15.75">
      <c r="A17" s="289"/>
      <c r="B17" s="295"/>
      <c r="C17" s="292"/>
      <c r="D17" s="165"/>
      <c r="E17" s="167"/>
    </row>
    <row r="18" spans="1:5" ht="15.75">
      <c r="A18" s="290"/>
      <c r="B18" s="297"/>
      <c r="C18" s="292"/>
      <c r="D18" s="165"/>
      <c r="E18" s="165"/>
    </row>
    <row r="19" spans="1:5" ht="15.75">
      <c r="A19" s="290"/>
      <c r="B19" s="297"/>
      <c r="C19" s="292"/>
      <c r="D19" s="165"/>
      <c r="E19" s="168"/>
    </row>
    <row r="20" spans="1:5" ht="15.75">
      <c r="A20" s="290"/>
      <c r="B20" s="297"/>
      <c r="C20" s="292"/>
      <c r="D20" s="165"/>
      <c r="E20" s="165"/>
    </row>
    <row r="21" spans="1:5" ht="15.75">
      <c r="A21" s="290"/>
      <c r="B21" s="297"/>
      <c r="C21" s="292"/>
      <c r="D21" s="165"/>
      <c r="E21" s="165"/>
    </row>
    <row r="22" spans="1:5" ht="15.75">
      <c r="A22" s="290"/>
      <c r="B22" s="297"/>
      <c r="C22" s="292"/>
      <c r="D22" s="165"/>
      <c r="E22" s="165"/>
    </row>
    <row r="23" spans="1:5" ht="15.75">
      <c r="A23" s="290"/>
      <c r="B23" s="297"/>
      <c r="C23" s="292"/>
      <c r="D23" s="165"/>
      <c r="E23" s="165"/>
    </row>
    <row r="24" spans="1:5" ht="15.75">
      <c r="A24" s="290"/>
      <c r="B24" s="297"/>
      <c r="C24" s="292"/>
      <c r="D24" s="165"/>
      <c r="E24" s="165"/>
    </row>
    <row r="25" spans="1:5" ht="15.75">
      <c r="A25" s="290"/>
      <c r="B25" s="297"/>
      <c r="C25" s="292"/>
      <c r="D25" s="165"/>
      <c r="E25" s="165"/>
    </row>
    <row r="26" spans="1:5" ht="15.75">
      <c r="A26" s="290"/>
      <c r="B26" s="297"/>
      <c r="C26" s="292"/>
      <c r="D26" s="165"/>
      <c r="E26" s="165"/>
    </row>
    <row r="27" spans="1:5" ht="15.75">
      <c r="A27" s="290" t="s">
        <v>235</v>
      </c>
      <c r="B27" s="297"/>
      <c r="C27" s="292"/>
      <c r="D27" s="165"/>
      <c r="E27" s="165"/>
    </row>
    <row r="28" spans="1:5" ht="15.75">
      <c r="A28" s="291" t="s">
        <v>83</v>
      </c>
      <c r="B28" s="297"/>
      <c r="C28" s="292"/>
      <c r="D28" s="165"/>
      <c r="E28" s="165"/>
    </row>
    <row r="29" spans="1:5" ht="15.75">
      <c r="A29" s="331" t="s">
        <v>18</v>
      </c>
      <c r="B29" s="295"/>
      <c r="C29" s="274"/>
      <c r="D29" s="274"/>
      <c r="E29" s="274"/>
    </row>
    <row r="30" spans="1:5" ht="15.75">
      <c r="A30" s="331" t="s">
        <v>19</v>
      </c>
      <c r="B30" s="295"/>
      <c r="C30" s="332">
        <f>IF(C31*0.1&lt;C29,"Exceed 10% Rule","")</f>
      </c>
      <c r="D30" s="332">
        <f>IF(D31*0.1&lt;D29,"Exceed 10% Rule","")</f>
      </c>
      <c r="E30" s="332">
        <f>IF(E31*0.1&lt;E29,"Exceed 10% Rule","")</f>
      </c>
    </row>
    <row r="31" spans="1:5" ht="15.75">
      <c r="A31" s="169" t="s">
        <v>84</v>
      </c>
      <c r="B31" s="295"/>
      <c r="C31" s="255">
        <f>SUM(C10:C29)</f>
        <v>0</v>
      </c>
      <c r="D31" s="253">
        <f>SUM(D10:D29)</f>
        <v>0</v>
      </c>
      <c r="E31" s="254">
        <f>SUM(E10:E29)</f>
        <v>0</v>
      </c>
    </row>
    <row r="32" spans="1:5" ht="15.75">
      <c r="A32" s="169" t="s">
        <v>85</v>
      </c>
      <c r="B32" s="295"/>
      <c r="C32" s="255">
        <f>C7+C31</f>
        <v>0</v>
      </c>
      <c r="D32" s="255">
        <f>D7+D31</f>
        <v>0</v>
      </c>
      <c r="E32" s="252">
        <f>E7+E31</f>
        <v>0</v>
      </c>
    </row>
    <row r="33" spans="1:5" ht="15.75">
      <c r="A33" s="149" t="s">
        <v>86</v>
      </c>
      <c r="B33" s="295"/>
      <c r="C33" s="294"/>
      <c r="D33" s="167"/>
      <c r="E33" s="167"/>
    </row>
    <row r="34" spans="1:5" ht="15.75">
      <c r="A34" s="272"/>
      <c r="B34" s="297"/>
      <c r="C34" s="292"/>
      <c r="D34" s="165"/>
      <c r="E34" s="165"/>
    </row>
    <row r="35" spans="1:5" ht="15.75">
      <c r="A35" s="272"/>
      <c r="B35" s="297"/>
      <c r="C35" s="292"/>
      <c r="D35" s="165"/>
      <c r="E35" s="165"/>
    </row>
    <row r="36" spans="1:5" ht="15.75">
      <c r="A36" s="272"/>
      <c r="B36" s="297"/>
      <c r="C36" s="292"/>
      <c r="D36" s="165"/>
      <c r="E36" s="165"/>
    </row>
    <row r="37" spans="1:5" ht="15.75">
      <c r="A37" s="272"/>
      <c r="B37" s="297"/>
      <c r="C37" s="292"/>
      <c r="D37" s="165"/>
      <c r="E37" s="165"/>
    </row>
    <row r="38" spans="1:5" ht="15.75">
      <c r="A38" s="272"/>
      <c r="B38" s="297"/>
      <c r="C38" s="292"/>
      <c r="D38" s="165"/>
      <c r="E38" s="165"/>
    </row>
    <row r="39" spans="1:5" ht="15.75">
      <c r="A39" s="272"/>
      <c r="B39" s="297"/>
      <c r="C39" s="292"/>
      <c r="D39" s="165"/>
      <c r="E39" s="165"/>
    </row>
    <row r="40" spans="1:5" ht="15.75">
      <c r="A40" s="272"/>
      <c r="B40" s="297"/>
      <c r="C40" s="292"/>
      <c r="D40" s="165"/>
      <c r="E40" s="165"/>
    </row>
    <row r="41" spans="1:5" ht="15.75">
      <c r="A41" s="272"/>
      <c r="B41" s="297"/>
      <c r="C41" s="292"/>
      <c r="D41" s="165"/>
      <c r="E41" s="165"/>
    </row>
    <row r="42" spans="1:5" ht="15.75">
      <c r="A42" s="272"/>
      <c r="B42" s="297"/>
      <c r="C42" s="292"/>
      <c r="D42" s="165"/>
      <c r="E42" s="165"/>
    </row>
    <row r="43" spans="1:5" ht="15.75">
      <c r="A43" s="272"/>
      <c r="B43" s="297"/>
      <c r="C43" s="292"/>
      <c r="D43" s="165"/>
      <c r="E43" s="165"/>
    </row>
    <row r="44" spans="1:5" ht="15.75">
      <c r="A44" s="272"/>
      <c r="B44" s="297"/>
      <c r="C44" s="292"/>
      <c r="D44" s="165"/>
      <c r="E44" s="165"/>
    </row>
    <row r="45" spans="1:5" ht="15.75">
      <c r="A45" s="272"/>
      <c r="B45" s="297"/>
      <c r="C45" s="292"/>
      <c r="D45" s="165"/>
      <c r="E45" s="165"/>
    </row>
    <row r="46" spans="1:5" ht="15.75">
      <c r="A46" s="272"/>
      <c r="B46" s="297"/>
      <c r="C46" s="292"/>
      <c r="D46" s="165"/>
      <c r="E46" s="165"/>
    </row>
    <row r="47" spans="1:5" ht="15.75">
      <c r="A47" s="272"/>
      <c r="B47" s="297"/>
      <c r="C47" s="292"/>
      <c r="D47" s="165"/>
      <c r="E47" s="165"/>
    </row>
    <row r="48" spans="1:5" ht="15.75">
      <c r="A48" s="272"/>
      <c r="B48" s="297"/>
      <c r="C48" s="292"/>
      <c r="D48" s="165"/>
      <c r="E48" s="165"/>
    </row>
    <row r="49" spans="1:5" ht="15.75">
      <c r="A49" s="272"/>
      <c r="B49" s="297"/>
      <c r="C49" s="292"/>
      <c r="D49" s="165"/>
      <c r="E49" s="165"/>
    </row>
    <row r="50" spans="1:5" ht="15.75">
      <c r="A50" s="272"/>
      <c r="B50" s="297"/>
      <c r="C50" s="292"/>
      <c r="D50" s="165"/>
      <c r="E50" s="165"/>
    </row>
    <row r="51" spans="1:5" ht="15.75">
      <c r="A51" s="272"/>
      <c r="B51" s="297"/>
      <c r="C51" s="292"/>
      <c r="D51" s="165"/>
      <c r="E51" s="165"/>
    </row>
    <row r="52" spans="1:5" ht="15.75">
      <c r="A52" s="283" t="s">
        <v>20</v>
      </c>
      <c r="B52" s="295"/>
      <c r="C52" s="274"/>
      <c r="D52" s="19"/>
      <c r="E52" s="237">
        <f>nhood!E7</f>
      </c>
    </row>
    <row r="53" spans="1:5" ht="15.75">
      <c r="A53" s="283" t="s">
        <v>18</v>
      </c>
      <c r="B53" s="295"/>
      <c r="C53" s="274"/>
      <c r="D53" s="274"/>
      <c r="E53" s="274"/>
    </row>
    <row r="54" spans="1:5" ht="15.75">
      <c r="A54" s="283" t="s">
        <v>21</v>
      </c>
      <c r="B54" s="295"/>
      <c r="C54" s="332">
        <f>IF(C55*0.1&lt;C53,"Exceed 10% Rule","")</f>
      </c>
      <c r="D54" s="332">
        <f>IF(D55*0.1&lt;D53,"Exceed 10% Rule","")</f>
      </c>
      <c r="E54" s="332">
        <f>IF(E55*0.1&lt;E53,"Exceed 10% Rule","")</f>
      </c>
    </row>
    <row r="55" spans="1:5" ht="15.75">
      <c r="A55" s="169" t="s">
        <v>87</v>
      </c>
      <c r="B55" s="295"/>
      <c r="C55" s="255">
        <f>SUM(C34:C53)</f>
        <v>0</v>
      </c>
      <c r="D55" s="253">
        <f>SUM(D34:D53)</f>
        <v>0</v>
      </c>
      <c r="E55" s="254">
        <f>SUM(E34:E53)</f>
        <v>0</v>
      </c>
    </row>
    <row r="56" spans="1:5" ht="15.75">
      <c r="A56" s="135" t="s">
        <v>195</v>
      </c>
      <c r="B56" s="295"/>
      <c r="C56" s="251">
        <f>C32-C55</f>
        <v>0</v>
      </c>
      <c r="D56" s="251">
        <f>D32-D55</f>
        <v>0</v>
      </c>
      <c r="E56" s="99" t="s">
        <v>53</v>
      </c>
    </row>
    <row r="57" spans="1:6" ht="15.75">
      <c r="A57" s="173" t="str">
        <f>CONCATENATE("",E1-2," Budget Authority Limited Amount:")</f>
        <v>2011 Budget Authority Limited Amount:</v>
      </c>
      <c r="B57" s="304">
        <f>inputOth!B84</f>
        <v>0</v>
      </c>
      <c r="C57" s="36"/>
      <c r="D57" s="56" t="s">
        <v>90</v>
      </c>
      <c r="E57" s="19"/>
      <c r="F57" s="256">
        <f>IF(E55/0.95-E55&lt;E57,"Exceeds 5%","")</f>
      </c>
    </row>
    <row r="58" spans="1:5" ht="15.75">
      <c r="A58" s="173" t="str">
        <f>CONCATENATE("Violation of Budget Law for ",E1-2,":")</f>
        <v>Violation of Budget Law for 2011:</v>
      </c>
      <c r="B58" s="305">
        <f>IF(C55&gt;B57,"Yes","")</f>
      </c>
      <c r="C58" s="36"/>
      <c r="D58" s="56" t="s">
        <v>329</v>
      </c>
      <c r="E58" s="98">
        <f>E55+E57</f>
        <v>0</v>
      </c>
    </row>
    <row r="59" spans="1:5" ht="15.75">
      <c r="A59" s="173" t="str">
        <f>CONCATENATE("Possible Cash Violation for ",E1-2,":")</f>
        <v>Possible Cash Violation for 2011:</v>
      </c>
      <c r="B59" s="305">
        <f>IF(C56&lt;0,"Yes","")</f>
      </c>
      <c r="C59" s="36"/>
      <c r="D59" s="56" t="s">
        <v>91</v>
      </c>
      <c r="E59" s="237">
        <f>IF(E58-E32&gt;0,E58-E32,0)</f>
        <v>0</v>
      </c>
    </row>
    <row r="60" spans="1:5" ht="15.75">
      <c r="A60" s="414" t="s">
        <v>236</v>
      </c>
      <c r="B60" s="414"/>
      <c r="C60" s="421"/>
      <c r="D60" s="171">
        <f>inputOth!E77</f>
        <v>0</v>
      </c>
      <c r="E60" s="98">
        <f>ROUND(IF(D60&gt;0,(E59*D60),0),0)</f>
        <v>0</v>
      </c>
    </row>
    <row r="61" spans="1:5" ht="15.75">
      <c r="A61" s="36"/>
      <c r="B61" s="36"/>
      <c r="C61" s="172"/>
      <c r="D61" s="172" t="str">
        <f>CONCATENATE("Amount of  ",E1-1," Ad Valorem Tax")</f>
        <v>Amount of  2012 Ad Valorem Tax</v>
      </c>
      <c r="E61" s="237">
        <f>E59+E60</f>
        <v>0</v>
      </c>
    </row>
    <row r="62" spans="1:5" ht="15.75">
      <c r="A62" s="56"/>
      <c r="B62" s="56"/>
      <c r="C62" s="36"/>
      <c r="D62" s="36"/>
      <c r="E62" s="36"/>
    </row>
    <row r="63" spans="1:5" ht="15.75">
      <c r="A63" s="173"/>
      <c r="B63" s="173" t="s">
        <v>68</v>
      </c>
      <c r="C63" s="174"/>
      <c r="D63" s="36"/>
      <c r="E63" s="36"/>
    </row>
  </sheetData>
  <sheetProtection sheet="1" objects="1" scenarios="1"/>
  <mergeCells count="1">
    <mergeCell ref="A60:C60"/>
  </mergeCells>
  <conditionalFormatting sqref="C29">
    <cfRule type="cellIs" priority="1" dxfId="102" operator="greaterThan" stopIfTrue="1">
      <formula>$C$31*0.1</formula>
    </cfRule>
  </conditionalFormatting>
  <conditionalFormatting sqref="D29">
    <cfRule type="cellIs" priority="2" dxfId="102" operator="greaterThan" stopIfTrue="1">
      <formula>$D$31*0.1</formula>
    </cfRule>
  </conditionalFormatting>
  <conditionalFormatting sqref="E29">
    <cfRule type="cellIs" priority="3" dxfId="102" operator="greaterThan" stopIfTrue="1">
      <formula>$E$31*0.1</formula>
    </cfRule>
  </conditionalFormatting>
  <conditionalFormatting sqref="C53">
    <cfRule type="cellIs" priority="4" dxfId="102" operator="greaterThan" stopIfTrue="1">
      <formula>$C$55*0.1</formula>
    </cfRule>
  </conditionalFormatting>
  <conditionalFormatting sqref="D53">
    <cfRule type="cellIs" priority="5" dxfId="102" operator="greaterThan" stopIfTrue="1">
      <formula>$D$55*0.1</formula>
    </cfRule>
  </conditionalFormatting>
  <conditionalFormatting sqref="E53">
    <cfRule type="cellIs" priority="6" dxfId="102" operator="greaterThan" stopIfTrue="1">
      <formula>$E$55*0.1</formula>
    </cfRule>
  </conditionalFormatting>
  <conditionalFormatting sqref="E57">
    <cfRule type="cellIs" priority="7" dxfId="102" operator="greaterThan" stopIfTrue="1">
      <formula>$E$55/0.95-$E$55</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Township</oddHeader>
    <oddFooter>&amp;Lrevised 8/06/07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426" t="s">
        <v>209</v>
      </c>
      <c r="B1" s="426"/>
      <c r="C1" s="426"/>
      <c r="D1" s="426"/>
      <c r="E1" s="426"/>
      <c r="F1" s="426"/>
      <c r="G1" s="426"/>
    </row>
    <row r="2" ht="15.75">
      <c r="A2" s="140"/>
    </row>
    <row r="3" spans="1:7" ht="15.75">
      <c r="A3" s="427" t="s">
        <v>210</v>
      </c>
      <c r="B3" s="427"/>
      <c r="C3" s="427"/>
      <c r="D3" s="427"/>
      <c r="E3" s="427"/>
      <c r="F3" s="427"/>
      <c r="G3" s="427"/>
    </row>
    <row r="4" ht="15.75">
      <c r="A4" s="141"/>
    </row>
    <row r="5" ht="15.75">
      <c r="A5" s="141"/>
    </row>
    <row r="6" spans="1:9" ht="15.75">
      <c r="A6" s="147" t="str">
        <f>CONCATENATE("A resolution expressing the property taxation policy of the Board of ",(inputPrYr!D3)," ")</f>
        <v>A resolution expressing the property taxation policy of the Board of Hackberry Township </v>
      </c>
      <c r="I6">
        <f>CONCATENATE(I7)</f>
      </c>
    </row>
    <row r="7" spans="1:7" ht="15.75">
      <c r="A7" s="428" t="str">
        <f>CONCATENATE("   with respect to financing the ",inputPrYr!D9," annual budget for ",(inputPrYr!D3)," , ",(inputPrYr!D4)," , Kansas.")</f>
        <v>   with respect to financing the 2013 annual budget for Hackberry Township , Labette , Kansas.</v>
      </c>
      <c r="B7" s="377"/>
      <c r="C7" s="377"/>
      <c r="D7" s="377"/>
      <c r="E7" s="377"/>
      <c r="F7" s="377"/>
      <c r="G7" s="377"/>
    </row>
    <row r="8" spans="1:7" ht="15.75">
      <c r="A8" s="377"/>
      <c r="B8" s="377"/>
      <c r="C8" s="377"/>
      <c r="D8" s="377"/>
      <c r="E8" s="377"/>
      <c r="F8" s="377"/>
      <c r="G8" s="377"/>
    </row>
    <row r="9" ht="15.75">
      <c r="A9" s="140"/>
    </row>
    <row r="10" ht="15.75">
      <c r="A10" s="148" t="s">
        <v>211</v>
      </c>
    </row>
    <row r="11" ht="15.75">
      <c r="A11" s="146" t="str">
        <f>CONCATENATE("to finance the ",inputPrYr!D9," ",(inputPrYr!D3)," budget exceed the amount levied to finance the ",inputPrYr!D9-1,"")</f>
        <v>to finance the 2013 Hackberry Township budget exceed the amount levied to finance the 2012</v>
      </c>
    </row>
    <row r="12" spans="1:7" ht="15.75">
      <c r="A12" s="424" t="str">
        <f>CONCATENATE((inputPrYr!D3)," Township budget, except with regard to revenue produced and attributable to the taxation of 1) new improvements to real property; 2) increased personal property valuation, other than increased")</f>
        <v>Hackberry Township Township budget, except with regard to revenue produced and attributable to the taxation of 1) new improvements to real property; 2) increased personal property valuation, other than increased</v>
      </c>
      <c r="B12" s="377"/>
      <c r="C12" s="377"/>
      <c r="D12" s="377"/>
      <c r="E12" s="377"/>
      <c r="F12" s="377"/>
      <c r="G12" s="377"/>
    </row>
    <row r="13" spans="1:7" ht="15.75">
      <c r="A13" s="377"/>
      <c r="B13" s="377"/>
      <c r="C13" s="377"/>
      <c r="D13" s="377"/>
      <c r="E13" s="377"/>
      <c r="F13" s="377"/>
      <c r="G13" s="377"/>
    </row>
    <row r="14" spans="1:7" ht="15.75">
      <c r="A14" s="424" t="s">
        <v>216</v>
      </c>
      <c r="B14" s="377"/>
      <c r="C14" s="377"/>
      <c r="D14" s="377"/>
      <c r="E14" s="377"/>
      <c r="F14" s="377"/>
      <c r="G14" s="377"/>
    </row>
    <row r="15" spans="1:7" ht="15.75">
      <c r="A15" s="377"/>
      <c r="B15" s="377"/>
      <c r="C15" s="377"/>
      <c r="D15" s="377"/>
      <c r="E15" s="377"/>
      <c r="F15" s="377"/>
      <c r="G15" s="377"/>
    </row>
    <row r="16" spans="1:7" ht="15.75">
      <c r="A16" s="405"/>
      <c r="B16" s="405"/>
      <c r="C16" s="405"/>
      <c r="D16" s="405"/>
      <c r="E16" s="405"/>
      <c r="F16" s="405"/>
      <c r="G16" s="405"/>
    </row>
    <row r="17" ht="15.75">
      <c r="A17" s="141"/>
    </row>
    <row r="18" spans="1:7" ht="15.75">
      <c r="A18" s="429" t="s">
        <v>212</v>
      </c>
      <c r="B18" s="377"/>
      <c r="C18" s="377"/>
      <c r="D18" s="377"/>
      <c r="E18" s="377"/>
      <c r="F18" s="377"/>
      <c r="G18" s="377"/>
    </row>
    <row r="19" spans="1:7" ht="15.75">
      <c r="A19" s="377"/>
      <c r="B19" s="377"/>
      <c r="C19" s="377"/>
      <c r="D19" s="377"/>
      <c r="E19" s="377"/>
      <c r="F19" s="377"/>
      <c r="G19" s="377"/>
    </row>
    <row r="20" ht="15.75">
      <c r="A20" s="141"/>
    </row>
    <row r="21" spans="1:7" ht="15.75">
      <c r="A21" s="429" t="str">
        <f>CONCATENATE("Whereas, ",(inputPrYr!D3)," provides essential services to protect the safety and well being of the citizens of the township; and")</f>
        <v>Whereas, Hackberry Township provides essential services to protect the safety and well being of the citizens of the township; and</v>
      </c>
      <c r="B21" s="377"/>
      <c r="C21" s="377"/>
      <c r="D21" s="377"/>
      <c r="E21" s="377"/>
      <c r="F21" s="377"/>
      <c r="G21" s="377"/>
    </row>
    <row r="22" spans="1:7" ht="15.75">
      <c r="A22" s="377"/>
      <c r="B22" s="377"/>
      <c r="C22" s="377"/>
      <c r="D22" s="377"/>
      <c r="E22" s="377"/>
      <c r="F22" s="377"/>
      <c r="G22" s="377"/>
    </row>
    <row r="23" ht="15.75">
      <c r="A23" s="143"/>
    </row>
    <row r="24" ht="15.75">
      <c r="A24" s="142" t="s">
        <v>213</v>
      </c>
    </row>
    <row r="25" ht="15.75">
      <c r="A25" s="143"/>
    </row>
    <row r="26" spans="1:7" ht="15.75">
      <c r="A26" s="429" t="str">
        <f>CONCATENATE("NOW, THEREFORE, BE IT RESOLVED by the Board of ",(inputPrYr!D3)," of ",(inputPrYr!D4),", Kansas that is our desire to notify the public of increased property taxes to finance the ",inputPrYr!D9," ",(inputPrYr!D3),"  budget as defined above.")</f>
        <v>NOW, THEREFORE, BE IT RESOLVED by the Board of Hackberry Township of Labette, Kansas that is our desire to notify the public of increased property taxes to finance the 2013 Hackberry Township  budget as defined above.</v>
      </c>
      <c r="B26" s="377"/>
      <c r="C26" s="377"/>
      <c r="D26" s="377"/>
      <c r="E26" s="377"/>
      <c r="F26" s="377"/>
      <c r="G26" s="377"/>
    </row>
    <row r="27" spans="1:7" ht="15.75">
      <c r="A27" s="377"/>
      <c r="B27" s="377"/>
      <c r="C27" s="377"/>
      <c r="D27" s="377"/>
      <c r="E27" s="377"/>
      <c r="F27" s="377"/>
      <c r="G27" s="377"/>
    </row>
    <row r="28" spans="1:7" ht="15.75">
      <c r="A28" s="377"/>
      <c r="B28" s="377"/>
      <c r="C28" s="377"/>
      <c r="D28" s="377"/>
      <c r="E28" s="377"/>
      <c r="F28" s="377"/>
      <c r="G28" s="377"/>
    </row>
    <row r="29" ht="15.75">
      <c r="A29" s="143"/>
    </row>
    <row r="30" spans="1:7" ht="15.75">
      <c r="A30" s="425" t="str">
        <f>CONCATENATE("Adopted this _________ day of ___________, ",inputPrYr!D9-1," by the ",(inputPrYr!D3)," Board, ",(inputPrYr!D4),", Kansas.")</f>
        <v>Adopted this _________ day of ___________, 2012 by the Hackberry Township Board, Labette, Kansas.</v>
      </c>
      <c r="B30" s="377"/>
      <c r="C30" s="377"/>
      <c r="D30" s="377"/>
      <c r="E30" s="377"/>
      <c r="F30" s="377"/>
      <c r="G30" s="377"/>
    </row>
    <row r="31" spans="1:7" ht="15.75">
      <c r="A31" s="377"/>
      <c r="B31" s="377"/>
      <c r="C31" s="377"/>
      <c r="D31" s="377"/>
      <c r="E31" s="377"/>
      <c r="F31" s="377"/>
      <c r="G31" s="377"/>
    </row>
    <row r="32" ht="15.75">
      <c r="A32" s="143"/>
    </row>
    <row r="33" spans="4:7" ht="15.75">
      <c r="D33" s="423" t="str">
        <f>CONCATENATE((inputPrYr!D3)," Board")</f>
        <v>Hackberry Township Board</v>
      </c>
      <c r="E33" s="423"/>
      <c r="F33" s="423"/>
      <c r="G33" s="423"/>
    </row>
    <row r="35" spans="4:7" ht="15.75">
      <c r="D35" s="422" t="s">
        <v>214</v>
      </c>
      <c r="E35" s="422"/>
      <c r="F35" s="422"/>
      <c r="G35" s="422"/>
    </row>
    <row r="36" spans="1:7" ht="15.75">
      <c r="A36" s="144"/>
      <c r="D36" s="422" t="s">
        <v>218</v>
      </c>
      <c r="E36" s="422"/>
      <c r="F36" s="422"/>
      <c r="G36" s="422"/>
    </row>
    <row r="37" spans="4:7" ht="15.75">
      <c r="D37" s="422"/>
      <c r="E37" s="422"/>
      <c r="F37" s="422"/>
      <c r="G37" s="422"/>
    </row>
    <row r="38" spans="4:7" ht="15.75">
      <c r="D38" s="422" t="s">
        <v>214</v>
      </c>
      <c r="E38" s="422"/>
      <c r="F38" s="422"/>
      <c r="G38" s="422"/>
    </row>
    <row r="39" spans="1:7" ht="15.75">
      <c r="A39" s="143"/>
      <c r="D39" s="422" t="s">
        <v>219</v>
      </c>
      <c r="E39" s="422"/>
      <c r="F39" s="422"/>
      <c r="G39" s="422"/>
    </row>
    <row r="40" spans="4:7" ht="15.75">
      <c r="D40" s="422"/>
      <c r="E40" s="422"/>
      <c r="F40" s="422"/>
      <c r="G40" s="422"/>
    </row>
    <row r="41" spans="4:7" ht="15.75">
      <c r="D41" s="422" t="s">
        <v>217</v>
      </c>
      <c r="E41" s="422"/>
      <c r="F41" s="422"/>
      <c r="G41" s="422"/>
    </row>
    <row r="42" spans="1:7" ht="15.75">
      <c r="A42" s="143"/>
      <c r="D42" s="422" t="s">
        <v>220</v>
      </c>
      <c r="E42" s="422"/>
      <c r="F42" s="422"/>
      <c r="G42" s="422"/>
    </row>
    <row r="43" ht="15.75">
      <c r="A43" s="145"/>
    </row>
    <row r="44" ht="15.75">
      <c r="A44" s="145"/>
    </row>
    <row r="45" ht="15.75">
      <c r="A45" s="145" t="s">
        <v>215</v>
      </c>
    </row>
    <row r="50" spans="3:4" ht="15.75">
      <c r="C50" s="177" t="s">
        <v>68</v>
      </c>
      <c r="D50" s="270"/>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C56" sqref="C56"/>
    </sheetView>
  </sheetViews>
  <sheetFormatPr defaultColWidth="8.796875" defaultRowHeight="15.75"/>
  <cols>
    <col min="1" max="1" width="27.5" style="5" customWidth="1"/>
    <col min="2" max="2" width="9.5" style="5" customWidth="1"/>
    <col min="3" max="3" width="13.59765625" style="5" customWidth="1"/>
    <col min="4" max="5" width="12.69921875" style="5" customWidth="1"/>
    <col min="6" max="16384" width="8.796875" style="5" customWidth="1"/>
  </cols>
  <sheetData>
    <row r="1" spans="1:5" ht="15.75">
      <c r="A1" s="41" t="str">
        <f>inputPrYr!D3</f>
        <v>Hackberry Township</v>
      </c>
      <c r="B1" s="36"/>
      <c r="C1" s="36"/>
      <c r="D1" s="36"/>
      <c r="E1" s="152">
        <f>inputPrYr!D9</f>
        <v>2013</v>
      </c>
    </row>
    <row r="2" spans="1:5" ht="15.75">
      <c r="A2" s="48" t="s">
        <v>142</v>
      </c>
      <c r="B2" s="36"/>
      <c r="C2" s="36"/>
      <c r="D2" s="66"/>
      <c r="E2" s="103"/>
    </row>
    <row r="3" spans="1:5" ht="15.75">
      <c r="A3" s="39" t="s">
        <v>69</v>
      </c>
      <c r="B3" s="104"/>
      <c r="C3" s="38"/>
      <c r="D3" s="38"/>
      <c r="E3" s="38"/>
    </row>
    <row r="4" spans="1:5" ht="15.75">
      <c r="A4" s="36"/>
      <c r="B4" s="52"/>
      <c r="C4" s="105" t="s">
        <v>70</v>
      </c>
      <c r="D4" s="61" t="s">
        <v>71</v>
      </c>
      <c r="E4" s="61" t="s">
        <v>72</v>
      </c>
    </row>
    <row r="5" spans="1:5" ht="15.75">
      <c r="A5" s="129" t="str">
        <f>inputPrYr!B21</f>
        <v>Road</v>
      </c>
      <c r="B5" s="282"/>
      <c r="C5" s="63" t="str">
        <f>gen!C5</f>
        <v>Actual 2011</v>
      </c>
      <c r="D5" s="63" t="str">
        <f>gen!D5</f>
        <v>Estimate 2012</v>
      </c>
      <c r="E5" s="63" t="str">
        <f>gen!E5</f>
        <v>Year 2013</v>
      </c>
    </row>
    <row r="6" spans="1:5" ht="15.75">
      <c r="A6" s="135" t="s">
        <v>193</v>
      </c>
      <c r="B6" s="136"/>
      <c r="C6" s="274"/>
      <c r="D6" s="98">
        <f>C44</f>
        <v>0</v>
      </c>
      <c r="E6" s="98">
        <f>D44</f>
        <v>0</v>
      </c>
    </row>
    <row r="7" spans="1:5" ht="15.75">
      <c r="A7" s="149" t="s">
        <v>192</v>
      </c>
      <c r="B7" s="288" t="s">
        <v>330</v>
      </c>
      <c r="C7" s="274"/>
      <c r="D7" s="98">
        <f>-C16</f>
        <v>0</v>
      </c>
      <c r="E7" s="99" t="s">
        <v>53</v>
      </c>
    </row>
    <row r="8" spans="1:5" ht="15.75">
      <c r="A8" s="135" t="s">
        <v>196</v>
      </c>
      <c r="B8" s="136"/>
      <c r="C8" s="191"/>
      <c r="D8" s="98"/>
      <c r="E8" s="99"/>
    </row>
    <row r="9" spans="1:5" ht="15.75">
      <c r="A9" s="135" t="s">
        <v>76</v>
      </c>
      <c r="B9" s="136"/>
      <c r="C9" s="274"/>
      <c r="D9" s="98">
        <f>inputPrYr!D21</f>
        <v>0</v>
      </c>
      <c r="E9" s="99" t="s">
        <v>53</v>
      </c>
    </row>
    <row r="10" spans="1:5" ht="15.75">
      <c r="A10" s="135" t="s">
        <v>77</v>
      </c>
      <c r="B10" s="136"/>
      <c r="C10" s="274"/>
      <c r="D10" s="19"/>
      <c r="E10" s="19"/>
    </row>
    <row r="11" spans="1:5" ht="15.75">
      <c r="A11" s="135" t="s">
        <v>78</v>
      </c>
      <c r="B11" s="136"/>
      <c r="C11" s="274"/>
      <c r="D11" s="19"/>
      <c r="E11" s="98">
        <f>mvalloc!G14</f>
        <v>0</v>
      </c>
    </row>
    <row r="12" spans="1:5" ht="15.75">
      <c r="A12" s="135" t="s">
        <v>79</v>
      </c>
      <c r="B12" s="136"/>
      <c r="C12" s="274"/>
      <c r="D12" s="19"/>
      <c r="E12" s="98">
        <f>mvalloc!I14</f>
        <v>0</v>
      </c>
    </row>
    <row r="13" spans="1:5" ht="15.75">
      <c r="A13" s="135" t="s">
        <v>173</v>
      </c>
      <c r="B13" s="136"/>
      <c r="C13" s="274"/>
      <c r="D13" s="19"/>
      <c r="E13" s="98">
        <f>mvalloc!J14</f>
        <v>0</v>
      </c>
    </row>
    <row r="14" spans="1:5" ht="15.75">
      <c r="A14" s="135" t="s">
        <v>245</v>
      </c>
      <c r="B14" s="136"/>
      <c r="C14" s="274"/>
      <c r="D14" s="19"/>
      <c r="E14" s="98">
        <f>mvalloc!K14</f>
        <v>0</v>
      </c>
    </row>
    <row r="15" spans="1:5" ht="15.75">
      <c r="A15" s="135" t="s">
        <v>174</v>
      </c>
      <c r="B15" s="136"/>
      <c r="C15" s="274"/>
      <c r="D15" s="19"/>
      <c r="E15" s="98">
        <f>inputOth!E72</f>
        <v>0</v>
      </c>
    </row>
    <row r="16" spans="1:5" ht="15.75">
      <c r="A16" s="135" t="s">
        <v>194</v>
      </c>
      <c r="B16" s="288" t="s">
        <v>331</v>
      </c>
      <c r="C16" s="274"/>
      <c r="D16" s="156" t="s">
        <v>205</v>
      </c>
      <c r="E16" s="98" t="s">
        <v>206</v>
      </c>
    </row>
    <row r="17" spans="1:5" ht="15.75">
      <c r="A17" s="284"/>
      <c r="B17" s="287"/>
      <c r="C17" s="274"/>
      <c r="D17" s="19"/>
      <c r="E17" s="19"/>
    </row>
    <row r="18" spans="1:5" ht="15.75">
      <c r="A18" s="284"/>
      <c r="B18" s="287"/>
      <c r="C18" s="274"/>
      <c r="D18" s="19"/>
      <c r="E18" s="19"/>
    </row>
    <row r="19" spans="1:5" ht="15.75">
      <c r="A19" s="284"/>
      <c r="B19" s="287"/>
      <c r="C19" s="274"/>
      <c r="D19" s="19"/>
      <c r="E19" s="19"/>
    </row>
    <row r="20" spans="1:5" ht="15.75">
      <c r="A20" s="284"/>
      <c r="B20" s="287"/>
      <c r="C20" s="274"/>
      <c r="D20" s="19"/>
      <c r="E20" s="19"/>
    </row>
    <row r="21" spans="1:5" ht="15.75">
      <c r="A21" s="284"/>
      <c r="B21" s="287"/>
      <c r="C21" s="274"/>
      <c r="D21" s="19"/>
      <c r="E21" s="19"/>
    </row>
    <row r="22" spans="1:5" ht="15.75">
      <c r="A22" s="284" t="s">
        <v>83</v>
      </c>
      <c r="B22" s="287"/>
      <c r="C22" s="274"/>
      <c r="D22" s="19"/>
      <c r="E22" s="19"/>
    </row>
    <row r="23" spans="1:5" ht="15.75">
      <c r="A23" s="331" t="s">
        <v>18</v>
      </c>
      <c r="B23" s="295"/>
      <c r="C23" s="274"/>
      <c r="D23" s="274"/>
      <c r="E23" s="274"/>
    </row>
    <row r="24" spans="1:5" ht="15.75">
      <c r="A24" s="331" t="s">
        <v>19</v>
      </c>
      <c r="B24" s="295"/>
      <c r="C24" s="332">
        <f>IF(C25*0.1&lt;C23,"Exceed 10% Rule","")</f>
      </c>
      <c r="D24" s="332">
        <f>IF(D25*0.1&lt;D23,"Exceed 10% Rule","")</f>
      </c>
      <c r="E24" s="332">
        <f>IF(E25*0.1&lt;E23,"Exceed 10% Rule","")</f>
      </c>
    </row>
    <row r="25" spans="1:5" ht="15.75">
      <c r="A25" s="285" t="s">
        <v>84</v>
      </c>
      <c r="B25" s="136"/>
      <c r="C25" s="276">
        <f>SUM(C9:C23)</f>
        <v>0</v>
      </c>
      <c r="D25" s="250">
        <f>SUM(D9:D23)</f>
        <v>0</v>
      </c>
      <c r="E25" s="250">
        <f>SUM(E9:E23)</f>
        <v>0</v>
      </c>
    </row>
    <row r="26" spans="1:5" ht="15.75">
      <c r="A26" s="169" t="s">
        <v>85</v>
      </c>
      <c r="B26" s="136"/>
      <c r="C26" s="276">
        <f>C25+C6+C7</f>
        <v>0</v>
      </c>
      <c r="D26" s="250">
        <f>D25+D6+D7</f>
        <v>0</v>
      </c>
      <c r="E26" s="250">
        <f>E25+E6</f>
        <v>0</v>
      </c>
    </row>
    <row r="27" spans="1:5" ht="15.75">
      <c r="A27" s="135" t="s">
        <v>86</v>
      </c>
      <c r="B27" s="136"/>
      <c r="C27" s="191"/>
      <c r="D27" s="98"/>
      <c r="E27" s="98"/>
    </row>
    <row r="28" spans="1:5" ht="15.75">
      <c r="A28" s="284"/>
      <c r="B28" s="287"/>
      <c r="C28" s="274"/>
      <c r="D28" s="19"/>
      <c r="E28" s="19"/>
    </row>
    <row r="29" spans="1:5" ht="15.75">
      <c r="A29" s="284" t="s">
        <v>175</v>
      </c>
      <c r="B29" s="287"/>
      <c r="C29" s="274"/>
      <c r="D29" s="19"/>
      <c r="E29" s="19"/>
    </row>
    <row r="30" spans="1:5" ht="15.75">
      <c r="A30" s="284" t="s">
        <v>202</v>
      </c>
      <c r="B30" s="287"/>
      <c r="C30" s="274"/>
      <c r="D30" s="19"/>
      <c r="E30" s="19"/>
    </row>
    <row r="31" spans="1:5" ht="15.75">
      <c r="A31" s="272" t="s">
        <v>176</v>
      </c>
      <c r="B31" s="287"/>
      <c r="C31" s="274"/>
      <c r="D31" s="19"/>
      <c r="E31" s="19"/>
    </row>
    <row r="32" spans="1:5" ht="15.75">
      <c r="A32" s="284" t="s">
        <v>203</v>
      </c>
      <c r="B32" s="287"/>
      <c r="C32" s="274"/>
      <c r="D32" s="19"/>
      <c r="E32" s="19"/>
    </row>
    <row r="33" spans="1:5" ht="15.75">
      <c r="A33" s="284" t="s">
        <v>179</v>
      </c>
      <c r="B33" s="287"/>
      <c r="C33" s="274"/>
      <c r="D33" s="19"/>
      <c r="E33" s="19"/>
    </row>
    <row r="34" spans="1:5" ht="15.75">
      <c r="A34" s="284" t="s">
        <v>177</v>
      </c>
      <c r="B34" s="287"/>
      <c r="C34" s="274"/>
      <c r="D34" s="19"/>
      <c r="E34" s="19"/>
    </row>
    <row r="35" spans="1:5" ht="15.75">
      <c r="A35" s="284"/>
      <c r="B35" s="287"/>
      <c r="C35" s="274"/>
      <c r="D35" s="19"/>
      <c r="E35" s="19"/>
    </row>
    <row r="36" spans="1:5" ht="15.75">
      <c r="A36" s="272"/>
      <c r="B36" s="287"/>
      <c r="C36" s="274"/>
      <c r="D36" s="19"/>
      <c r="E36" s="19"/>
    </row>
    <row r="37" spans="1:5" ht="15.75">
      <c r="A37" s="272"/>
      <c r="B37" s="287"/>
      <c r="C37" s="274"/>
      <c r="D37" s="19"/>
      <c r="E37" s="19"/>
    </row>
    <row r="38" spans="1:5" ht="15.75">
      <c r="A38" s="284"/>
      <c r="B38" s="287"/>
      <c r="C38" s="274"/>
      <c r="D38" s="19"/>
      <c r="E38" s="19"/>
    </row>
    <row r="39" spans="1:5" ht="15.75">
      <c r="A39" s="284" t="s">
        <v>178</v>
      </c>
      <c r="B39" s="287"/>
      <c r="C39" s="274"/>
      <c r="D39" s="19"/>
      <c r="E39" s="19"/>
    </row>
    <row r="40" spans="1:5" ht="15.75">
      <c r="A40" s="283" t="s">
        <v>20</v>
      </c>
      <c r="B40" s="295"/>
      <c r="C40" s="274"/>
      <c r="D40" s="19"/>
      <c r="E40" s="237">
        <f>nhood!E8</f>
      </c>
    </row>
    <row r="41" spans="1:5" ht="15.75">
      <c r="A41" s="283" t="s">
        <v>18</v>
      </c>
      <c r="B41" s="295"/>
      <c r="C41" s="274"/>
      <c r="D41" s="274"/>
      <c r="E41" s="274"/>
    </row>
    <row r="42" spans="1:5" ht="15.75">
      <c r="A42" s="283" t="s">
        <v>21</v>
      </c>
      <c r="B42" s="295"/>
      <c r="C42" s="332">
        <f>IF(C43*0.1&lt;C41,"Exceed 10% Rule","")</f>
      </c>
      <c r="D42" s="332">
        <f>IF(D43*0.1&lt;D41,"Exceed 10% Rule","")</f>
      </c>
      <c r="E42" s="332">
        <f>IF(E43*0.1&lt;E41,"Exceed 10% Rule","")</f>
      </c>
    </row>
    <row r="43" spans="1:5" ht="15.75">
      <c r="A43" s="169" t="s">
        <v>87</v>
      </c>
      <c r="B43" s="136"/>
      <c r="C43" s="276">
        <f>SUM(C28:C41)</f>
        <v>0</v>
      </c>
      <c r="D43" s="250">
        <f>SUM(D28:D41)</f>
        <v>0</v>
      </c>
      <c r="E43" s="250">
        <f>SUM(E28:E41)</f>
        <v>0</v>
      </c>
    </row>
    <row r="44" spans="1:5" ht="15.75">
      <c r="A44" s="135" t="s">
        <v>195</v>
      </c>
      <c r="B44" s="136"/>
      <c r="C44" s="277">
        <f>C26-C43</f>
        <v>0</v>
      </c>
      <c r="D44" s="237">
        <f>D26-D43</f>
        <v>0</v>
      </c>
      <c r="E44" s="99" t="s">
        <v>53</v>
      </c>
    </row>
    <row r="45" spans="1:6" ht="15.75">
      <c r="A45" s="173" t="str">
        <f>CONCATENATE("",E1-2," Budget Authority Limited Amount:")</f>
        <v>2011 Budget Authority Limited Amount:</v>
      </c>
      <c r="B45" s="304">
        <f>inputOth!B85</f>
        <v>0</v>
      </c>
      <c r="C45" s="36"/>
      <c r="D45" s="56" t="s">
        <v>90</v>
      </c>
      <c r="E45" s="19"/>
      <c r="F45" s="256">
        <f>IF(E43/0.95-E43&lt;E45,"Exceeds 5%","")</f>
      </c>
    </row>
    <row r="46" spans="1:5" ht="15.75">
      <c r="A46" s="173" t="str">
        <f>CONCATENATE("Violation of Budget Law for ",E1-2,":")</f>
        <v>Violation of Budget Law for 2011:</v>
      </c>
      <c r="B46" s="305">
        <f>IF(C43&gt;B45,"Yes","")</f>
      </c>
      <c r="C46" s="36"/>
      <c r="D46" s="56" t="s">
        <v>329</v>
      </c>
      <c r="E46" s="98">
        <f>E43+E45</f>
        <v>0</v>
      </c>
    </row>
    <row r="47" spans="1:5" ht="15.75">
      <c r="A47" s="173" t="str">
        <f>CONCATENATE("Possible Cash Violation for ",E1-2,":")</f>
        <v>Possible Cash Violation for 2011:</v>
      </c>
      <c r="B47" s="305">
        <f>IF(C44&lt;0,"Yes","")</f>
      </c>
      <c r="C47" s="36"/>
      <c r="D47" s="56" t="s">
        <v>91</v>
      </c>
      <c r="E47" s="237">
        <f>IF(E46-E26&gt;0,E46-E26,0)</f>
        <v>0</v>
      </c>
    </row>
    <row r="48" spans="1:5" ht="15.75">
      <c r="A48" s="414" t="s">
        <v>236</v>
      </c>
      <c r="B48" s="415"/>
      <c r="C48" s="415"/>
      <c r="D48" s="171">
        <f>inputOth!E77</f>
        <v>0</v>
      </c>
      <c r="E48" s="98">
        <f>ROUND(IF(D48&gt;0,(E47*D48),0),0)</f>
        <v>0</v>
      </c>
    </row>
    <row r="49" spans="1:5" ht="15.75">
      <c r="A49" s="36"/>
      <c r="B49" s="36"/>
      <c r="C49" s="36"/>
      <c r="D49" s="102" t="str">
        <f>CONCATENATE("Amount of  ",E1-1," Ad Valorem Tax")</f>
        <v>Amount of  2012 Ad Valorem Tax</v>
      </c>
      <c r="E49" s="237">
        <f>E47+E48</f>
        <v>0</v>
      </c>
    </row>
    <row r="50" spans="1:5" ht="15.75">
      <c r="A50" s="36"/>
      <c r="B50" s="36"/>
      <c r="C50" s="36"/>
      <c r="D50" s="36"/>
      <c r="E50" s="36"/>
    </row>
    <row r="51" spans="1:5" ht="15.75">
      <c r="A51" s="36"/>
      <c r="B51" s="36"/>
      <c r="C51" s="36"/>
      <c r="D51" s="36"/>
      <c r="E51" s="36"/>
    </row>
    <row r="52" spans="1:5" ht="15.75">
      <c r="A52" s="106" t="s">
        <v>96</v>
      </c>
      <c r="B52" s="90"/>
      <c r="C52" s="105">
        <f>E1-2</f>
        <v>2011</v>
      </c>
      <c r="D52" s="36"/>
      <c r="E52" s="36"/>
    </row>
    <row r="53" spans="1:5" ht="15.75">
      <c r="A53" s="107" t="s">
        <v>97</v>
      </c>
      <c r="B53" s="63" t="s">
        <v>73</v>
      </c>
      <c r="C53" s="63" t="s">
        <v>98</v>
      </c>
      <c r="D53" s="36"/>
      <c r="E53" s="36"/>
    </row>
    <row r="54" spans="1:5" ht="15.75">
      <c r="A54" s="96" t="s">
        <v>74</v>
      </c>
      <c r="B54" s="97"/>
      <c r="C54" s="19"/>
      <c r="D54" s="36"/>
      <c r="E54" s="36"/>
    </row>
    <row r="55" spans="1:5" ht="15.75">
      <c r="A55" s="96" t="s">
        <v>99</v>
      </c>
      <c r="B55" s="97"/>
      <c r="C55" s="98"/>
      <c r="D55" s="36"/>
      <c r="E55" s="36"/>
    </row>
    <row r="56" spans="1:5" ht="15.75">
      <c r="A56" s="96" t="s">
        <v>100</v>
      </c>
      <c r="B56" s="96" t="s">
        <v>93</v>
      </c>
      <c r="C56" s="237">
        <f>IF(C39&gt;0,C39,0)</f>
        <v>0</v>
      </c>
      <c r="D56" s="333">
        <f>IF(C39&gt;(C26*0.25),"Exceeds 25% of Resources Available","")</f>
      </c>
      <c r="E56" s="36"/>
    </row>
    <row r="57" spans="1:5" ht="15.75">
      <c r="A57" s="10"/>
      <c r="B57" s="96" t="s">
        <v>93</v>
      </c>
      <c r="C57" s="19"/>
      <c r="D57" s="36"/>
      <c r="E57" s="36"/>
    </row>
    <row r="58" spans="1:5" ht="15.75">
      <c r="A58" s="10" t="s">
        <v>83</v>
      </c>
      <c r="B58" s="96" t="s">
        <v>94</v>
      </c>
      <c r="C58" s="19"/>
      <c r="D58" s="36"/>
      <c r="E58" s="36"/>
    </row>
    <row r="59" spans="1:5" ht="15.75">
      <c r="A59" s="10" t="s">
        <v>81</v>
      </c>
      <c r="B59" s="96" t="s">
        <v>82</v>
      </c>
      <c r="C59" s="19"/>
      <c r="D59" s="36"/>
      <c r="E59" s="36"/>
    </row>
    <row r="60" spans="1:5" ht="15.75">
      <c r="A60" s="101" t="s">
        <v>85</v>
      </c>
      <c r="B60" s="97"/>
      <c r="C60" s="100">
        <f>SUM(C54+C56+C57+C58+C59)</f>
        <v>0</v>
      </c>
      <c r="D60" s="36"/>
      <c r="E60" s="36"/>
    </row>
    <row r="61" spans="1:5" ht="15.75">
      <c r="A61" s="101" t="s">
        <v>87</v>
      </c>
      <c r="B61" s="96" t="s">
        <v>95</v>
      </c>
      <c r="C61" s="19"/>
      <c r="D61" s="36"/>
      <c r="E61" s="36"/>
    </row>
    <row r="62" spans="1:5" ht="15.75">
      <c r="A62" s="101" t="s">
        <v>88</v>
      </c>
      <c r="B62" s="96" t="s">
        <v>89</v>
      </c>
      <c r="C62" s="100">
        <f>C60-C61</f>
        <v>0</v>
      </c>
      <c r="D62" s="36"/>
      <c r="E62" s="36"/>
    </row>
    <row r="63" spans="1:5" ht="15.75">
      <c r="A63" s="36"/>
      <c r="B63" s="36"/>
      <c r="C63" s="36"/>
      <c r="D63" s="36"/>
      <c r="E63" s="36"/>
    </row>
    <row r="64" spans="1:5" ht="15.75">
      <c r="A64" s="56" t="s">
        <v>68</v>
      </c>
      <c r="B64" s="108"/>
      <c r="C64" s="36"/>
      <c r="D64" s="36"/>
      <c r="E64" s="36"/>
    </row>
    <row r="66" ht="15.75">
      <c r="A66"/>
    </row>
  </sheetData>
  <sheetProtection sheet="1" objects="1" scenarios="1"/>
  <mergeCells count="1">
    <mergeCell ref="A48:C48"/>
  </mergeCells>
  <conditionalFormatting sqref="C41">
    <cfRule type="cellIs" priority="1" dxfId="102" operator="greaterThan" stopIfTrue="1">
      <formula>$C$43*0.1</formula>
    </cfRule>
  </conditionalFormatting>
  <conditionalFormatting sqref="D41">
    <cfRule type="cellIs" priority="2" dxfId="102" operator="greaterThan" stopIfTrue="1">
      <formula>$D$43*0.1</formula>
    </cfRule>
  </conditionalFormatting>
  <conditionalFormatting sqref="E41">
    <cfRule type="cellIs" priority="3" dxfId="102" operator="greaterThan" stopIfTrue="1">
      <formula>$E$43*0.1</formula>
    </cfRule>
  </conditionalFormatting>
  <conditionalFormatting sqref="C23">
    <cfRule type="cellIs" priority="4" dxfId="102" operator="greaterThan" stopIfTrue="1">
      <formula>$C$25*0.1</formula>
    </cfRule>
  </conditionalFormatting>
  <conditionalFormatting sqref="D23">
    <cfRule type="cellIs" priority="5" dxfId="102" operator="greaterThan" stopIfTrue="1">
      <formula>$D$25*0.1</formula>
    </cfRule>
  </conditionalFormatting>
  <conditionalFormatting sqref="E23">
    <cfRule type="cellIs" priority="6" dxfId="102" operator="greaterThan" stopIfTrue="1">
      <formula>$E$25*0.1</formula>
    </cfRule>
  </conditionalFormatting>
  <conditionalFormatting sqref="C56">
    <cfRule type="cellIs" priority="7" dxfId="102" operator="greaterThan" stopIfTrue="1">
      <formula>$C$26*0.25</formula>
    </cfRule>
  </conditionalFormatting>
  <conditionalFormatting sqref="E45">
    <cfRule type="cellIs" priority="8" dxfId="102" operator="greaterThan" stopIfTrue="1">
      <formula>$E$43/0.95-$E$43</formula>
    </cfRule>
  </conditionalFormatting>
  <printOptions/>
  <pageMargins left="0.9" right="0.9" top="0.96" bottom="0.5" header="0.41" footer="0.3"/>
  <pageSetup blackAndWhite="1" fitToHeight="1" fitToWidth="1" horizontalDpi="300" verticalDpi="300" orientation="portrait" scale="77" r:id="rId1"/>
  <headerFooter alignWithMargins="0">
    <oddHeader>&amp;RState of Kansas
Township
</oddHeader>
    <oddFooter>&amp;Lrevised 8/06/07</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4">
      <selection activeCell="C60" sqref="C60"/>
    </sheetView>
  </sheetViews>
  <sheetFormatPr defaultColWidth="8.796875" defaultRowHeight="15.75"/>
  <cols>
    <col min="1" max="1" width="27.5" style="5" customWidth="1"/>
    <col min="2" max="2" width="9.5" style="5" customWidth="1"/>
    <col min="3" max="3" width="13.296875" style="5" customWidth="1"/>
    <col min="4" max="5" width="12.69921875" style="5" customWidth="1"/>
    <col min="6" max="16384" width="8.796875" style="5" customWidth="1"/>
  </cols>
  <sheetData>
    <row r="1" spans="1:5" ht="15.75">
      <c r="A1" s="41" t="str">
        <f>inputPrYr!D3</f>
        <v>Hackberry Township</v>
      </c>
      <c r="B1" s="36"/>
      <c r="C1" s="39" t="s">
        <v>101</v>
      </c>
      <c r="D1" s="36"/>
      <c r="E1" s="152">
        <f>inputPrYr!D9</f>
        <v>2013</v>
      </c>
    </row>
    <row r="2" spans="1:5" ht="15.75">
      <c r="A2" s="48" t="s">
        <v>143</v>
      </c>
      <c r="B2" s="36"/>
      <c r="C2" s="36"/>
      <c r="D2" s="36"/>
      <c r="E2" s="109"/>
    </row>
    <row r="3" spans="1:5" ht="15.75">
      <c r="A3" s="36"/>
      <c r="B3" s="104"/>
      <c r="C3" s="38"/>
      <c r="D3" s="38"/>
      <c r="E3" s="36"/>
    </row>
    <row r="4" spans="1:5" ht="15.75">
      <c r="A4" s="39" t="s">
        <v>69</v>
      </c>
      <c r="B4" s="52"/>
      <c r="C4" s="105" t="s">
        <v>70</v>
      </c>
      <c r="D4" s="61" t="s">
        <v>71</v>
      </c>
      <c r="E4" s="61" t="s">
        <v>72</v>
      </c>
    </row>
    <row r="5" spans="1:5" ht="15.75">
      <c r="A5" s="129" t="str">
        <f>inputPrYr!B22</f>
        <v>Noxious Weed</v>
      </c>
      <c r="B5" s="282"/>
      <c r="C5" s="63" t="str">
        <f>gen!C5</f>
        <v>Actual 2011</v>
      </c>
      <c r="D5" s="63" t="str">
        <f>gen!D5</f>
        <v>Estimate 2012</v>
      </c>
      <c r="E5" s="63" t="str">
        <f>gen!E5</f>
        <v>Year 2013</v>
      </c>
    </row>
    <row r="6" spans="1:5" ht="15.75">
      <c r="A6" s="135" t="s">
        <v>193</v>
      </c>
      <c r="B6" s="136"/>
      <c r="C6" s="274"/>
      <c r="D6" s="98">
        <f>C34</f>
        <v>0</v>
      </c>
      <c r="E6" s="98">
        <f>D34</f>
        <v>0</v>
      </c>
    </row>
    <row r="7" spans="1:5" ht="15.75">
      <c r="A7" s="149" t="s">
        <v>192</v>
      </c>
      <c r="B7" s="288" t="s">
        <v>330</v>
      </c>
      <c r="C7" s="274"/>
      <c r="D7" s="98">
        <f>-C15</f>
        <v>0</v>
      </c>
      <c r="E7" s="99" t="s">
        <v>53</v>
      </c>
    </row>
    <row r="8" spans="1:5" ht="15.75">
      <c r="A8" s="135" t="s">
        <v>196</v>
      </c>
      <c r="B8" s="136"/>
      <c r="C8" s="191"/>
      <c r="D8" s="98"/>
      <c r="E8" s="99"/>
    </row>
    <row r="9" spans="1:5" ht="15.75">
      <c r="A9" s="135" t="s">
        <v>76</v>
      </c>
      <c r="B9" s="136"/>
      <c r="C9" s="274"/>
      <c r="D9" s="98">
        <f>inputPrYr!D22</f>
        <v>0</v>
      </c>
      <c r="E9" s="99" t="s">
        <v>53</v>
      </c>
    </row>
    <row r="10" spans="1:5" ht="15.75">
      <c r="A10" s="135" t="s">
        <v>77</v>
      </c>
      <c r="B10" s="136"/>
      <c r="C10" s="274"/>
      <c r="D10" s="19"/>
      <c r="E10" s="19"/>
    </row>
    <row r="11" spans="1:5" ht="15.75">
      <c r="A11" s="135" t="s">
        <v>78</v>
      </c>
      <c r="B11" s="136"/>
      <c r="C11" s="274"/>
      <c r="D11" s="19"/>
      <c r="E11" s="98">
        <f>mvalloc!G15</f>
        <v>0</v>
      </c>
    </row>
    <row r="12" spans="1:5" ht="15.75">
      <c r="A12" s="135" t="s">
        <v>79</v>
      </c>
      <c r="B12" s="136"/>
      <c r="C12" s="274"/>
      <c r="D12" s="19"/>
      <c r="E12" s="98">
        <f>mvalloc!I15</f>
        <v>0</v>
      </c>
    </row>
    <row r="13" spans="1:5" ht="15.75">
      <c r="A13" s="283" t="s">
        <v>139</v>
      </c>
      <c r="B13" s="136"/>
      <c r="C13" s="274"/>
      <c r="D13" s="19"/>
      <c r="E13" s="98">
        <f>mvalloc!J15</f>
        <v>0</v>
      </c>
    </row>
    <row r="14" spans="1:5" ht="15.75">
      <c r="A14" s="283" t="s">
        <v>245</v>
      </c>
      <c r="B14" s="136"/>
      <c r="C14" s="274"/>
      <c r="D14" s="19"/>
      <c r="E14" s="98">
        <f>mvalloc!K15</f>
        <v>0</v>
      </c>
    </row>
    <row r="15" spans="1:5" ht="15.75">
      <c r="A15" s="135" t="s">
        <v>194</v>
      </c>
      <c r="B15" s="288" t="s">
        <v>331</v>
      </c>
      <c r="C15" s="274"/>
      <c r="D15" s="156" t="s">
        <v>204</v>
      </c>
      <c r="E15" s="98" t="s">
        <v>206</v>
      </c>
    </row>
    <row r="16" spans="1:5" ht="15.75">
      <c r="A16" s="284"/>
      <c r="B16" s="287"/>
      <c r="C16" s="274"/>
      <c r="D16" s="19"/>
      <c r="E16" s="19"/>
    </row>
    <row r="17" spans="1:5" ht="15.75">
      <c r="A17" s="284"/>
      <c r="B17" s="287"/>
      <c r="C17" s="274"/>
      <c r="D17" s="19"/>
      <c r="E17" s="19"/>
    </row>
    <row r="18" spans="1:5" ht="15.75">
      <c r="A18" s="284"/>
      <c r="B18" s="287"/>
      <c r="C18" s="274"/>
      <c r="D18" s="19"/>
      <c r="E18" s="19"/>
    </row>
    <row r="19" spans="1:5" ht="15.75">
      <c r="A19" s="284" t="s">
        <v>83</v>
      </c>
      <c r="B19" s="287"/>
      <c r="C19" s="274"/>
      <c r="D19" s="19"/>
      <c r="E19" s="19"/>
    </row>
    <row r="20" spans="1:5" ht="15.75">
      <c r="A20" s="331" t="s">
        <v>18</v>
      </c>
      <c r="B20" s="295"/>
      <c r="C20" s="274"/>
      <c r="D20" s="274"/>
      <c r="E20" s="274"/>
    </row>
    <row r="21" spans="1:5" ht="15.75">
      <c r="A21" s="331" t="s">
        <v>19</v>
      </c>
      <c r="B21" s="295"/>
      <c r="C21" s="332">
        <f>IF(C22*0.1&lt;C20,"Exceed 10% Rule","")</f>
      </c>
      <c r="D21" s="332">
        <f>IF(D22*0.1&lt;D20,"Exceed 10% Rule","")</f>
      </c>
      <c r="E21" s="332">
        <f>IF(E22*0.1&lt;E20,"Exceed 10% Rule","")</f>
      </c>
    </row>
    <row r="22" spans="1:5" ht="15.75">
      <c r="A22" s="285" t="s">
        <v>84</v>
      </c>
      <c r="B22" s="136"/>
      <c r="C22" s="276">
        <f>SUM(C9:C20)</f>
        <v>0</v>
      </c>
      <c r="D22" s="250">
        <f>SUM(D9:D20)</f>
        <v>0</v>
      </c>
      <c r="E22" s="250">
        <f>SUM(E9:E20)</f>
        <v>0</v>
      </c>
    </row>
    <row r="23" spans="1:5" ht="15.75">
      <c r="A23" s="169" t="s">
        <v>85</v>
      </c>
      <c r="B23" s="136"/>
      <c r="C23" s="276">
        <f>C22+C6+C7</f>
        <v>0</v>
      </c>
      <c r="D23" s="250">
        <f>D22+D6+D7</f>
        <v>0</v>
      </c>
      <c r="E23" s="250">
        <f>E22+E6</f>
        <v>0</v>
      </c>
    </row>
    <row r="24" spans="1:5" ht="15.75">
      <c r="A24" s="135" t="s">
        <v>86</v>
      </c>
      <c r="B24" s="136"/>
      <c r="C24" s="191"/>
      <c r="D24" s="98"/>
      <c r="E24" s="98"/>
    </row>
    <row r="25" spans="1:5" ht="15.75">
      <c r="A25" s="284" t="s">
        <v>202</v>
      </c>
      <c r="B25" s="287"/>
      <c r="C25" s="274"/>
      <c r="D25" s="19"/>
      <c r="E25" s="19"/>
    </row>
    <row r="26" spans="1:5" ht="15.75">
      <c r="A26" s="284" t="s">
        <v>176</v>
      </c>
      <c r="B26" s="287"/>
      <c r="C26" s="274"/>
      <c r="D26" s="19"/>
      <c r="E26" s="19"/>
    </row>
    <row r="27" spans="1:5" ht="15.75">
      <c r="A27" s="284"/>
      <c r="B27" s="287"/>
      <c r="C27" s="274"/>
      <c r="D27" s="19"/>
      <c r="E27" s="19"/>
    </row>
    <row r="28" spans="1:5" ht="15.75">
      <c r="A28" s="284"/>
      <c r="B28" s="287"/>
      <c r="C28" s="274"/>
      <c r="D28" s="19"/>
      <c r="E28" s="19"/>
    </row>
    <row r="29" spans="1:5" ht="15.75">
      <c r="A29" s="284"/>
      <c r="B29" s="287"/>
      <c r="C29" s="274"/>
      <c r="D29" s="19"/>
      <c r="E29" s="19"/>
    </row>
    <row r="30" spans="1:5" ht="15.75">
      <c r="A30" s="283" t="s">
        <v>20</v>
      </c>
      <c r="B30" s="295"/>
      <c r="C30" s="274"/>
      <c r="D30" s="19"/>
      <c r="E30" s="237">
        <f>nhood!E9</f>
      </c>
    </row>
    <row r="31" spans="1:5" ht="15.75">
      <c r="A31" s="283" t="s">
        <v>18</v>
      </c>
      <c r="B31" s="295"/>
      <c r="C31" s="274"/>
      <c r="D31" s="274"/>
      <c r="E31" s="274"/>
    </row>
    <row r="32" spans="1:5" ht="15.75">
      <c r="A32" s="283" t="s">
        <v>21</v>
      </c>
      <c r="B32" s="295"/>
      <c r="C32" s="332">
        <f>IF(C33*0.1&lt;C31,"Exceed 10% Rule","")</f>
      </c>
      <c r="D32" s="332">
        <f>IF(D33*0.1&lt;D31,"Exceed 10% Rule","")</f>
      </c>
      <c r="E32" s="332">
        <f>IF(E33*0.1&lt;E31,"Exceed 10% Rule","")</f>
      </c>
    </row>
    <row r="33" spans="1:5" ht="15.75">
      <c r="A33" s="169" t="s">
        <v>87</v>
      </c>
      <c r="B33" s="136"/>
      <c r="C33" s="276">
        <f>SUM(C25:C31)</f>
        <v>0</v>
      </c>
      <c r="D33" s="250">
        <f>SUM(D25:D31)</f>
        <v>0</v>
      </c>
      <c r="E33" s="250">
        <f>SUM(E25:E31)</f>
        <v>0</v>
      </c>
    </row>
    <row r="34" spans="1:5" ht="15.75">
      <c r="A34" s="135" t="s">
        <v>195</v>
      </c>
      <c r="B34" s="136"/>
      <c r="C34" s="277">
        <f>C23-C33</f>
        <v>0</v>
      </c>
      <c r="D34" s="237">
        <f>D23-D33</f>
        <v>0</v>
      </c>
      <c r="E34" s="99" t="s">
        <v>53</v>
      </c>
    </row>
    <row r="35" spans="1:6" ht="15.75">
      <c r="A35" s="173" t="str">
        <f>CONCATENATE("",E1-2," Budget Authority Limited Amount:")</f>
        <v>2011 Budget Authority Limited Amount:</v>
      </c>
      <c r="B35" s="304">
        <f>inputOth!B86</f>
        <v>0</v>
      </c>
      <c r="C35" s="36"/>
      <c r="D35" s="56" t="s">
        <v>90</v>
      </c>
      <c r="E35" s="19"/>
      <c r="F35" s="256">
        <f>IF(E33/0.95-E33&lt;E35,"Exceeds 5%","")</f>
      </c>
    </row>
    <row r="36" spans="1:5" ht="15.75">
      <c r="A36" s="173" t="str">
        <f>CONCATENATE("Violation of Budget Law for ",E1-2,":")</f>
        <v>Violation of Budget Law for 2011:</v>
      </c>
      <c r="B36" s="305">
        <f>IF(C33&gt;B35,"Yes","")</f>
      </c>
      <c r="C36" s="36"/>
      <c r="D36" s="56" t="s">
        <v>329</v>
      </c>
      <c r="E36" s="98">
        <f>E33+E35</f>
        <v>0</v>
      </c>
    </row>
    <row r="37" spans="1:5" ht="15.75">
      <c r="A37" s="173" t="str">
        <f>CONCATENATE("Possible Cash Violation for ",E1-2,":")</f>
        <v>Possible Cash Violation for 2011:</v>
      </c>
      <c r="B37" s="305">
        <f>IF(C34&lt;0,"Yes","")</f>
      </c>
      <c r="C37" s="36"/>
      <c r="D37" s="56" t="s">
        <v>91</v>
      </c>
      <c r="E37" s="237">
        <f>IF(E36-E23&gt;0,E36-E23,0)</f>
        <v>0</v>
      </c>
    </row>
    <row r="38" spans="1:5" ht="15.75">
      <c r="A38" s="414" t="s">
        <v>236</v>
      </c>
      <c r="B38" s="415"/>
      <c r="C38" s="415"/>
      <c r="D38" s="171">
        <f>inputOth!E77</f>
        <v>0</v>
      </c>
      <c r="E38" s="98">
        <f>ROUND(IF(D38&gt;0,(E37*D38),0),0)</f>
        <v>0</v>
      </c>
    </row>
    <row r="39" spans="1:5" ht="15.75">
      <c r="A39" s="36"/>
      <c r="B39" s="36"/>
      <c r="C39" s="36"/>
      <c r="D39" s="102" t="str">
        <f>CONCATENATE("Amount of  ",E1-1," Ad Valorem Tax")</f>
        <v>Amount of  2012 Ad Valorem Tax</v>
      </c>
      <c r="E39" s="237">
        <f>E37+E38</f>
        <v>0</v>
      </c>
    </row>
    <row r="40" spans="1:5" ht="15.75">
      <c r="A40" s="39" t="s">
        <v>69</v>
      </c>
      <c r="B40" s="104"/>
      <c r="C40" s="38"/>
      <c r="D40" s="38"/>
      <c r="E40" s="38"/>
    </row>
    <row r="41" spans="1:5" ht="15.75">
      <c r="A41" s="36"/>
      <c r="B41" s="52"/>
      <c r="C41" s="105" t="s">
        <v>70</v>
      </c>
      <c r="D41" s="61" t="s">
        <v>71</v>
      </c>
      <c r="E41" s="61" t="s">
        <v>72</v>
      </c>
    </row>
    <row r="42" spans="1:5" ht="15.75">
      <c r="A42" s="64">
        <f>inputPrYr!B23</f>
        <v>0</v>
      </c>
      <c r="B42" s="282"/>
      <c r="C42" s="63" t="str">
        <f>C5</f>
        <v>Actual 2011</v>
      </c>
      <c r="D42" s="63" t="str">
        <f>D5</f>
        <v>Estimate 2012</v>
      </c>
      <c r="E42" s="63" t="str">
        <f>E5</f>
        <v>Year 2013</v>
      </c>
    </row>
    <row r="43" spans="1:5" ht="15.75">
      <c r="A43" s="135" t="s">
        <v>193</v>
      </c>
      <c r="B43" s="136"/>
      <c r="C43" s="274"/>
      <c r="D43" s="98">
        <f>C71</f>
        <v>0</v>
      </c>
      <c r="E43" s="98">
        <f>D71</f>
        <v>0</v>
      </c>
    </row>
    <row r="44" spans="1:5" ht="15.75">
      <c r="A44" s="135" t="s">
        <v>192</v>
      </c>
      <c r="B44" s="288" t="s">
        <v>330</v>
      </c>
      <c r="C44" s="274"/>
      <c r="D44" s="98">
        <f>-C52</f>
        <v>0</v>
      </c>
      <c r="E44" s="99" t="s">
        <v>53</v>
      </c>
    </row>
    <row r="45" spans="1:5" ht="15.75">
      <c r="A45" s="135" t="s">
        <v>196</v>
      </c>
      <c r="B45" s="136"/>
      <c r="C45" s="191"/>
      <c r="D45" s="98"/>
      <c r="E45" s="99"/>
    </row>
    <row r="46" spans="1:5" ht="15.75">
      <c r="A46" s="135" t="s">
        <v>76</v>
      </c>
      <c r="B46" s="136"/>
      <c r="C46" s="274"/>
      <c r="D46" s="98">
        <f>inputPrYr!D23</f>
        <v>0</v>
      </c>
      <c r="E46" s="99" t="s">
        <v>53</v>
      </c>
    </row>
    <row r="47" spans="1:5" ht="15.75">
      <c r="A47" s="135" t="s">
        <v>77</v>
      </c>
      <c r="B47" s="136"/>
      <c r="C47" s="274"/>
      <c r="D47" s="19"/>
      <c r="E47" s="19"/>
    </row>
    <row r="48" spans="1:5" ht="15.75">
      <c r="A48" s="135" t="s">
        <v>78</v>
      </c>
      <c r="B48" s="136"/>
      <c r="C48" s="274"/>
      <c r="D48" s="19"/>
      <c r="E48" s="98">
        <f>mvalloc!G16</f>
        <v>0</v>
      </c>
    </row>
    <row r="49" spans="1:5" ht="15.75">
      <c r="A49" s="135" t="s">
        <v>79</v>
      </c>
      <c r="B49" s="136"/>
      <c r="C49" s="274"/>
      <c r="D49" s="19"/>
      <c r="E49" s="98">
        <f>mvalloc!I16</f>
        <v>0</v>
      </c>
    </row>
    <row r="50" spans="1:5" ht="15.75">
      <c r="A50" s="135" t="s">
        <v>173</v>
      </c>
      <c r="B50" s="136"/>
      <c r="C50" s="274"/>
      <c r="D50" s="19"/>
      <c r="E50" s="98">
        <f>mvalloc!J16</f>
        <v>0</v>
      </c>
    </row>
    <row r="51" spans="1:5" ht="15.75">
      <c r="A51" s="135" t="s">
        <v>245</v>
      </c>
      <c r="B51" s="136"/>
      <c r="C51" s="274"/>
      <c r="D51" s="19"/>
      <c r="E51" s="98">
        <f>mvalloc!K16</f>
        <v>0</v>
      </c>
    </row>
    <row r="52" spans="1:5" ht="15.75">
      <c r="A52" s="135" t="s">
        <v>194</v>
      </c>
      <c r="B52" s="288" t="s">
        <v>331</v>
      </c>
      <c r="C52" s="274"/>
      <c r="D52" s="156" t="s">
        <v>204</v>
      </c>
      <c r="E52" s="98" t="s">
        <v>206</v>
      </c>
    </row>
    <row r="53" spans="1:5" ht="15.75">
      <c r="A53" s="272"/>
      <c r="B53" s="287"/>
      <c r="C53" s="274"/>
      <c r="D53" s="19"/>
      <c r="E53" s="19"/>
    </row>
    <row r="54" spans="1:5" ht="15.75">
      <c r="A54" s="272"/>
      <c r="B54" s="287"/>
      <c r="C54" s="274"/>
      <c r="D54" s="19"/>
      <c r="E54" s="19"/>
    </row>
    <row r="55" spans="1:5" ht="15.75">
      <c r="A55" s="284"/>
      <c r="B55" s="287"/>
      <c r="C55" s="274"/>
      <c r="D55" s="19"/>
      <c r="E55" s="19"/>
    </row>
    <row r="56" spans="1:5" ht="15.75">
      <c r="A56" s="284" t="s">
        <v>83</v>
      </c>
      <c r="B56" s="287"/>
      <c r="C56" s="274"/>
      <c r="D56" s="19"/>
      <c r="E56" s="19"/>
    </row>
    <row r="57" spans="1:5" ht="15.75">
      <c r="A57" s="331" t="s">
        <v>18</v>
      </c>
      <c r="B57" s="295"/>
      <c r="C57" s="274"/>
      <c r="D57" s="274"/>
      <c r="E57" s="274"/>
    </row>
    <row r="58" spans="1:5" ht="15.75">
      <c r="A58" s="331" t="s">
        <v>19</v>
      </c>
      <c r="B58" s="295"/>
      <c r="C58" s="332">
        <f>IF(C59*0.1&lt;C57,"Exceed 10% Rule","")</f>
      </c>
      <c r="D58" s="332">
        <f>IF(D59*0.1&lt;D57,"Exceed 10% Rule","")</f>
      </c>
      <c r="E58" s="332">
        <f>IF(E59*0.1&lt;E57,"Exceed 10% Rule","")</f>
      </c>
    </row>
    <row r="59" spans="1:5" ht="15.75">
      <c r="A59" s="285" t="s">
        <v>84</v>
      </c>
      <c r="B59" s="136"/>
      <c r="C59" s="276">
        <f>SUM(C46:C57)</f>
        <v>0</v>
      </c>
      <c r="D59" s="250">
        <f>SUM(D46:D57)</f>
        <v>0</v>
      </c>
      <c r="E59" s="250">
        <f>SUM(E46:E57)</f>
        <v>0</v>
      </c>
    </row>
    <row r="60" spans="1:5" ht="15.75">
      <c r="A60" s="169" t="s">
        <v>85</v>
      </c>
      <c r="B60" s="136"/>
      <c r="C60" s="276">
        <f>C59+C43+C44</f>
        <v>0</v>
      </c>
      <c r="D60" s="250">
        <f>D59+D43+D44</f>
        <v>0</v>
      </c>
      <c r="E60" s="250">
        <f>E59+E43</f>
        <v>0</v>
      </c>
    </row>
    <row r="61" spans="1:5" ht="15.75">
      <c r="A61" s="135" t="s">
        <v>86</v>
      </c>
      <c r="B61" s="136"/>
      <c r="C61" s="191"/>
      <c r="D61" s="98"/>
      <c r="E61" s="98"/>
    </row>
    <row r="62" spans="1:5" ht="15.75">
      <c r="A62" s="284" t="s">
        <v>202</v>
      </c>
      <c r="B62" s="287"/>
      <c r="C62" s="274"/>
      <c r="D62" s="19"/>
      <c r="E62" s="19"/>
    </row>
    <row r="63" spans="1:5" ht="15.75">
      <c r="A63" s="284" t="s">
        <v>176</v>
      </c>
      <c r="B63" s="287"/>
      <c r="C63" s="274"/>
      <c r="D63" s="19"/>
      <c r="E63" s="19"/>
    </row>
    <row r="64" spans="1:5" ht="15.75">
      <c r="A64" s="284"/>
      <c r="B64" s="287"/>
      <c r="C64" s="274"/>
      <c r="D64" s="19"/>
      <c r="E64" s="19"/>
    </row>
    <row r="65" spans="1:5" ht="15.75">
      <c r="A65" s="284"/>
      <c r="B65" s="287"/>
      <c r="C65" s="274"/>
      <c r="D65" s="19"/>
      <c r="E65" s="19"/>
    </row>
    <row r="66" spans="1:5" ht="15.75">
      <c r="A66" s="284"/>
      <c r="B66" s="287"/>
      <c r="C66" s="274"/>
      <c r="D66" s="19"/>
      <c r="E66" s="19"/>
    </row>
    <row r="67" spans="1:5" ht="15.75">
      <c r="A67" s="283" t="s">
        <v>20</v>
      </c>
      <c r="B67" s="295"/>
      <c r="C67" s="274"/>
      <c r="D67" s="19"/>
      <c r="E67" s="237">
        <f>nhood!E10</f>
      </c>
    </row>
    <row r="68" spans="1:5" ht="15.75">
      <c r="A68" s="283" t="s">
        <v>18</v>
      </c>
      <c r="B68" s="295"/>
      <c r="C68" s="274"/>
      <c r="D68" s="274"/>
      <c r="E68" s="274"/>
    </row>
    <row r="69" spans="1:5" ht="15.75">
      <c r="A69" s="283" t="s">
        <v>21</v>
      </c>
      <c r="B69" s="295"/>
      <c r="C69" s="332">
        <f>IF(C70*0.1&lt;C68,"Exceed 10% Rule","")</f>
      </c>
      <c r="D69" s="332">
        <f>IF(D70*0.1&lt;D68,"Exceed 10% Rule","")</f>
      </c>
      <c r="E69" s="332">
        <f>IF(E70*0.1&lt;E68,"Exceed 10% Rule","")</f>
      </c>
    </row>
    <row r="70" spans="1:5" ht="15.75">
      <c r="A70" s="169" t="s">
        <v>87</v>
      </c>
      <c r="B70" s="136"/>
      <c r="C70" s="276">
        <f>SUM(C62:C68)</f>
        <v>0</v>
      </c>
      <c r="D70" s="276">
        <f>SUM(D62:D68)</f>
        <v>0</v>
      </c>
      <c r="E70" s="276">
        <f>SUM(E62:E68)</f>
        <v>0</v>
      </c>
    </row>
    <row r="71" spans="1:5" ht="15.75">
      <c r="A71" s="135" t="s">
        <v>195</v>
      </c>
      <c r="B71" s="136"/>
      <c r="C71" s="277">
        <f>C60-C70</f>
        <v>0</v>
      </c>
      <c r="D71" s="237">
        <f>D60-D70</f>
        <v>0</v>
      </c>
      <c r="E71" s="99" t="s">
        <v>53</v>
      </c>
    </row>
    <row r="72" spans="1:6" ht="15.75">
      <c r="A72" s="173" t="str">
        <f>CONCATENATE("",E1-2," Budget Authority Limited Amount:")</f>
        <v>2011 Budget Authority Limited Amount:</v>
      </c>
      <c r="B72" s="304">
        <f>inputOth!B87</f>
        <v>0</v>
      </c>
      <c r="C72" s="306"/>
      <c r="D72" s="306" t="s">
        <v>90</v>
      </c>
      <c r="E72" s="19"/>
      <c r="F72" s="256">
        <f>IF(E70/0.95-E70&lt;E72,"Exceeds 5%","")</f>
      </c>
    </row>
    <row r="73" spans="1:5" ht="15.75">
      <c r="A73" s="173" t="str">
        <f>CONCATENATE("Violation of Budget Law for ",E1-2,":")</f>
        <v>Violation of Budget Law for 2011:</v>
      </c>
      <c r="B73" s="305">
        <f>IF(C70&gt;B72,"Yes","")</f>
      </c>
      <c r="C73" s="268"/>
      <c r="D73" s="56" t="s">
        <v>329</v>
      </c>
      <c r="E73" s="98">
        <f>E70+E72</f>
        <v>0</v>
      </c>
    </row>
    <row r="74" spans="1:5" ht="15.75">
      <c r="A74" s="173" t="str">
        <f>CONCATENATE("Possible Cash Violation for ",E1-2,":")</f>
        <v>Possible Cash Violation for 2011:</v>
      </c>
      <c r="B74" s="305">
        <f>IF(C71&lt;0,"Yes","")</f>
      </c>
      <c r="C74" s="56"/>
      <c r="D74" s="56" t="s">
        <v>91</v>
      </c>
      <c r="E74" s="237">
        <f>IF(E73-E60&gt;0,E73-E60,0)</f>
        <v>0</v>
      </c>
    </row>
    <row r="75" spans="1:5" ht="15.75">
      <c r="A75" s="414" t="s">
        <v>236</v>
      </c>
      <c r="B75" s="415"/>
      <c r="C75" s="415"/>
      <c r="D75" s="171">
        <f>inputOth!E77</f>
        <v>0</v>
      </c>
      <c r="E75" s="98">
        <f>ROUND(IF(D75&gt;0,(E74*D75),0),0)</f>
        <v>0</v>
      </c>
    </row>
    <row r="76" spans="1:5" ht="15.75">
      <c r="A76" s="36"/>
      <c r="B76" s="36"/>
      <c r="C76" s="36"/>
      <c r="D76" s="102" t="str">
        <f>CONCATENATE("Amount of  ",E1-1," Ad Valorem Tax")</f>
        <v>Amount of  2012 Ad Valorem Tax</v>
      </c>
      <c r="E76" s="237">
        <f>E74+E75</f>
        <v>0</v>
      </c>
    </row>
    <row r="77" spans="1:5" ht="15.75">
      <c r="A77" s="56" t="s">
        <v>68</v>
      </c>
      <c r="B77" s="20"/>
      <c r="C77" s="36"/>
      <c r="D77" s="36"/>
      <c r="E77" s="36"/>
    </row>
    <row r="78" spans="1:2" ht="15.75">
      <c r="A78" s="1"/>
      <c r="B78" s="1"/>
    </row>
  </sheetData>
  <sheetProtection sheet="1" objects="1" scenarios="1"/>
  <mergeCells count="2">
    <mergeCell ref="A75:C75"/>
    <mergeCell ref="A38:C38"/>
  </mergeCells>
  <conditionalFormatting sqref="C68">
    <cfRule type="cellIs" priority="1" dxfId="102" operator="greaterThan" stopIfTrue="1">
      <formula>$C$70*0.1</formula>
    </cfRule>
  </conditionalFormatting>
  <conditionalFormatting sqref="D68">
    <cfRule type="cellIs" priority="2" dxfId="102" operator="greaterThan" stopIfTrue="1">
      <formula>$D$70*0.1</formula>
    </cfRule>
  </conditionalFormatting>
  <conditionalFormatting sqref="E68">
    <cfRule type="cellIs" priority="3" dxfId="102" operator="greaterThan" stopIfTrue="1">
      <formula>$E$70*0.1</formula>
    </cfRule>
  </conditionalFormatting>
  <conditionalFormatting sqref="C57">
    <cfRule type="cellIs" priority="4" dxfId="102" operator="greaterThan" stopIfTrue="1">
      <formula>$C$59*0.1</formula>
    </cfRule>
  </conditionalFormatting>
  <conditionalFormatting sqref="D57">
    <cfRule type="cellIs" priority="5" dxfId="102" operator="greaterThan" stopIfTrue="1">
      <formula>$D$59*0.1</formula>
    </cfRule>
  </conditionalFormatting>
  <conditionalFormatting sqref="E57">
    <cfRule type="cellIs" priority="6" dxfId="102" operator="greaterThan" stopIfTrue="1">
      <formula>$E$59*0.1</formula>
    </cfRule>
  </conditionalFormatting>
  <conditionalFormatting sqref="C31">
    <cfRule type="cellIs" priority="7" dxfId="102" operator="greaterThan" stopIfTrue="1">
      <formula>$C$33*0.1</formula>
    </cfRule>
  </conditionalFormatting>
  <conditionalFormatting sqref="D31">
    <cfRule type="cellIs" priority="8" dxfId="102" operator="greaterThan" stopIfTrue="1">
      <formula>$D$33*0.1</formula>
    </cfRule>
  </conditionalFormatting>
  <conditionalFormatting sqref="E31">
    <cfRule type="cellIs" priority="9" dxfId="102" operator="greaterThan" stopIfTrue="1">
      <formula>$E$33*0.1</formula>
    </cfRule>
  </conditionalFormatting>
  <conditionalFormatting sqref="C20">
    <cfRule type="cellIs" priority="10" dxfId="102" operator="greaterThan" stopIfTrue="1">
      <formula>$C$22*0.1</formula>
    </cfRule>
  </conditionalFormatting>
  <conditionalFormatting sqref="D20">
    <cfRule type="cellIs" priority="11" dxfId="102" operator="greaterThan" stopIfTrue="1">
      <formula>$D$22*0.1</formula>
    </cfRule>
  </conditionalFormatting>
  <conditionalFormatting sqref="E20">
    <cfRule type="cellIs" priority="12" dxfId="102" operator="greaterThan" stopIfTrue="1">
      <formula>$E$22*0.1</formula>
    </cfRule>
  </conditionalFormatting>
  <conditionalFormatting sqref="E72">
    <cfRule type="cellIs" priority="13" dxfId="102" operator="greaterThan" stopIfTrue="1">
      <formula>$E$70/0.95-$E$70</formula>
    </cfRule>
  </conditionalFormatting>
  <conditionalFormatting sqref="E35">
    <cfRule type="cellIs" priority="14" dxfId="102" operator="greaterThan" stopIfTrue="1">
      <formula>$E$33/0.95-$E$33</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oddFooter>&amp;Lrevised 8/06/07</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B1">
      <selection activeCell="F51" sqref="F51"/>
    </sheetView>
  </sheetViews>
  <sheetFormatPr defaultColWidth="8.796875" defaultRowHeight="15.75"/>
  <cols>
    <col min="1" max="1" width="27.5" style="5" customWidth="1"/>
    <col min="2" max="2" width="9.5" style="5" customWidth="1"/>
    <col min="3" max="3" width="13.296875" style="5" customWidth="1"/>
    <col min="4" max="5" width="12.69921875" style="5" customWidth="1"/>
    <col min="6" max="16384" width="8.796875" style="5" customWidth="1"/>
  </cols>
  <sheetData>
    <row r="1" spans="1:5" ht="15.75">
      <c r="A1" s="41" t="str">
        <f>inputPrYr!D3</f>
        <v>Hackberry Township</v>
      </c>
      <c r="B1" s="39" t="s">
        <v>102</v>
      </c>
      <c r="C1" s="36"/>
      <c r="D1" s="36"/>
      <c r="E1" s="152">
        <f>inputPrYr!D9</f>
        <v>2013</v>
      </c>
    </row>
    <row r="2" spans="1:5" ht="15.75">
      <c r="A2" s="48" t="s">
        <v>143</v>
      </c>
      <c r="B2" s="36"/>
      <c r="C2" s="36"/>
      <c r="D2" s="66"/>
      <c r="E2" s="110"/>
    </row>
    <row r="3" spans="1:5" ht="15.75">
      <c r="A3" s="36"/>
      <c r="B3" s="104"/>
      <c r="C3" s="38"/>
      <c r="D3" s="38"/>
      <c r="E3" s="38"/>
    </row>
    <row r="4" spans="1:5" ht="15.75">
      <c r="A4" s="39" t="s">
        <v>69</v>
      </c>
      <c r="B4" s="52"/>
      <c r="C4" s="105" t="s">
        <v>70</v>
      </c>
      <c r="D4" s="61" t="s">
        <v>71</v>
      </c>
      <c r="E4" s="61" t="s">
        <v>72</v>
      </c>
    </row>
    <row r="5" spans="1:5" ht="15.75">
      <c r="A5" s="129">
        <f>inputPrYr!B24</f>
        <v>0</v>
      </c>
      <c r="B5" s="282"/>
      <c r="C5" s="63" t="str">
        <f>gen!C5</f>
        <v>Actual 2011</v>
      </c>
      <c r="D5" s="63" t="str">
        <f>gen!D5</f>
        <v>Estimate 2012</v>
      </c>
      <c r="E5" s="63" t="str">
        <f>gen!E5</f>
        <v>Year 2013</v>
      </c>
    </row>
    <row r="6" spans="1:5" ht="15.75">
      <c r="A6" s="135" t="s">
        <v>193</v>
      </c>
      <c r="B6" s="136"/>
      <c r="C6" s="274"/>
      <c r="D6" s="98">
        <f>C34</f>
        <v>0</v>
      </c>
      <c r="E6" s="98">
        <f>D34</f>
        <v>0</v>
      </c>
    </row>
    <row r="7" spans="1:5" ht="15.75">
      <c r="A7" s="149" t="s">
        <v>192</v>
      </c>
      <c r="B7" s="288" t="s">
        <v>330</v>
      </c>
      <c r="C7" s="274"/>
      <c r="D7" s="98">
        <f>-C15</f>
        <v>0</v>
      </c>
      <c r="E7" s="99" t="s">
        <v>53</v>
      </c>
    </row>
    <row r="8" spans="1:5" ht="15.75">
      <c r="A8" s="135" t="s">
        <v>196</v>
      </c>
      <c r="B8" s="136"/>
      <c r="C8" s="191"/>
      <c r="D8" s="98"/>
      <c r="E8" s="99"/>
    </row>
    <row r="9" spans="1:5" ht="15.75">
      <c r="A9" s="135" t="s">
        <v>76</v>
      </c>
      <c r="B9" s="136"/>
      <c r="C9" s="274"/>
      <c r="D9" s="98">
        <f>inputPrYr!D24</f>
        <v>0</v>
      </c>
      <c r="E9" s="99" t="s">
        <v>53</v>
      </c>
    </row>
    <row r="10" spans="1:5" ht="15.75">
      <c r="A10" s="135" t="s">
        <v>77</v>
      </c>
      <c r="B10" s="136"/>
      <c r="C10" s="274"/>
      <c r="D10" s="19"/>
      <c r="E10" s="19"/>
    </row>
    <row r="11" spans="1:5" ht="15.75">
      <c r="A11" s="135" t="s">
        <v>78</v>
      </c>
      <c r="B11" s="136"/>
      <c r="C11" s="274"/>
      <c r="D11" s="19"/>
      <c r="E11" s="98">
        <f>mvalloc!G17</f>
        <v>0</v>
      </c>
    </row>
    <row r="12" spans="1:5" ht="15.75">
      <c r="A12" s="135" t="s">
        <v>79</v>
      </c>
      <c r="B12" s="136"/>
      <c r="C12" s="274"/>
      <c r="D12" s="19"/>
      <c r="E12" s="98">
        <f>mvalloc!I17</f>
        <v>0</v>
      </c>
    </row>
    <row r="13" spans="1:5" ht="15.75">
      <c r="A13" s="135" t="s">
        <v>173</v>
      </c>
      <c r="B13" s="136"/>
      <c r="C13" s="274"/>
      <c r="D13" s="19"/>
      <c r="E13" s="98">
        <f>mvalloc!J17</f>
        <v>0</v>
      </c>
    </row>
    <row r="14" spans="1:5" ht="15.75">
      <c r="A14" s="135" t="s">
        <v>245</v>
      </c>
      <c r="B14" s="136"/>
      <c r="C14" s="274"/>
      <c r="D14" s="19"/>
      <c r="E14" s="98">
        <f>mvalloc!K17</f>
        <v>0</v>
      </c>
    </row>
    <row r="15" spans="1:5" ht="15.75">
      <c r="A15" s="135" t="s">
        <v>194</v>
      </c>
      <c r="B15" s="288" t="s">
        <v>331</v>
      </c>
      <c r="C15" s="274"/>
      <c r="D15" s="156" t="s">
        <v>206</v>
      </c>
      <c r="E15" s="156" t="s">
        <v>207</v>
      </c>
    </row>
    <row r="16" spans="1:5" ht="15.75">
      <c r="A16" s="272"/>
      <c r="B16" s="287"/>
      <c r="C16" s="274"/>
      <c r="D16" s="19"/>
      <c r="E16" s="19"/>
    </row>
    <row r="17" spans="1:5" ht="15.75">
      <c r="A17" s="272"/>
      <c r="B17" s="287"/>
      <c r="C17" s="274"/>
      <c r="D17" s="19"/>
      <c r="E17" s="19"/>
    </row>
    <row r="18" spans="1:5" ht="15.75">
      <c r="A18" s="284"/>
      <c r="B18" s="287"/>
      <c r="C18" s="274"/>
      <c r="D18" s="19"/>
      <c r="E18" s="19"/>
    </row>
    <row r="19" spans="1:5" ht="15.75">
      <c r="A19" s="284" t="s">
        <v>83</v>
      </c>
      <c r="B19" s="287"/>
      <c r="C19" s="274"/>
      <c r="D19" s="19"/>
      <c r="E19" s="19"/>
    </row>
    <row r="20" spans="1:5" ht="15.75">
      <c r="A20" s="331" t="s">
        <v>18</v>
      </c>
      <c r="B20" s="295"/>
      <c r="C20" s="274"/>
      <c r="D20" s="274"/>
      <c r="E20" s="274"/>
    </row>
    <row r="21" spans="1:5" ht="15.75">
      <c r="A21" s="331" t="s">
        <v>19</v>
      </c>
      <c r="B21" s="295"/>
      <c r="C21" s="332">
        <f>IF(C22*0.1&lt;C20,"Exceed 10% Rule","")</f>
      </c>
      <c r="D21" s="332">
        <f>IF(D22*0.1&lt;D20,"Exceed 10% Rule","")</f>
      </c>
      <c r="E21" s="332">
        <f>IF(E22*0.1&lt;E20,"Exceed 10% Rule","")</f>
      </c>
    </row>
    <row r="22" spans="1:5" ht="15.75">
      <c r="A22" s="285" t="s">
        <v>84</v>
      </c>
      <c r="B22" s="136"/>
      <c r="C22" s="276">
        <f>SUM(C9:C20)</f>
        <v>0</v>
      </c>
      <c r="D22" s="250">
        <f>SUM(D9:D20)</f>
        <v>0</v>
      </c>
      <c r="E22" s="250">
        <f>SUM(E9:E20)</f>
        <v>0</v>
      </c>
    </row>
    <row r="23" spans="1:5" ht="15.75">
      <c r="A23" s="169" t="s">
        <v>85</v>
      </c>
      <c r="B23" s="136"/>
      <c r="C23" s="276">
        <f>C22+C6+C7</f>
        <v>0</v>
      </c>
      <c r="D23" s="250">
        <f>D22+D6+D7</f>
        <v>0</v>
      </c>
      <c r="E23" s="250">
        <f>E22+E6</f>
        <v>0</v>
      </c>
    </row>
    <row r="24" spans="1:5" ht="15.75">
      <c r="A24" s="135" t="s">
        <v>86</v>
      </c>
      <c r="B24" s="136"/>
      <c r="C24" s="191"/>
      <c r="D24" s="98"/>
      <c r="E24" s="98"/>
    </row>
    <row r="25" spans="1:5" ht="15.75">
      <c r="A25" s="284" t="s">
        <v>202</v>
      </c>
      <c r="B25" s="287"/>
      <c r="C25" s="274"/>
      <c r="D25" s="19"/>
      <c r="E25" s="19"/>
    </row>
    <row r="26" spans="1:5" ht="15.75">
      <c r="A26" s="284" t="s">
        <v>176</v>
      </c>
      <c r="B26" s="287"/>
      <c r="C26" s="274"/>
      <c r="D26" s="19"/>
      <c r="E26" s="19"/>
    </row>
    <row r="27" spans="1:5" ht="15.75">
      <c r="A27" s="284"/>
      <c r="B27" s="287"/>
      <c r="C27" s="274"/>
      <c r="D27" s="19"/>
      <c r="E27" s="19"/>
    </row>
    <row r="28" spans="1:5" ht="15.75">
      <c r="A28" s="284"/>
      <c r="B28" s="287"/>
      <c r="C28" s="274"/>
      <c r="D28" s="19"/>
      <c r="E28" s="19"/>
    </row>
    <row r="29" spans="1:5" ht="15.75">
      <c r="A29" s="284"/>
      <c r="B29" s="287"/>
      <c r="C29" s="274"/>
      <c r="D29" s="19"/>
      <c r="E29" s="19"/>
    </row>
    <row r="30" spans="1:5" ht="15.75">
      <c r="A30" s="283" t="s">
        <v>20</v>
      </c>
      <c r="B30" s="295"/>
      <c r="C30" s="274"/>
      <c r="D30" s="19"/>
      <c r="E30" s="237">
        <f>nhood!E11</f>
      </c>
    </row>
    <row r="31" spans="1:5" ht="15.75">
      <c r="A31" s="283" t="s">
        <v>18</v>
      </c>
      <c r="B31" s="295"/>
      <c r="C31" s="274"/>
      <c r="D31" s="274"/>
      <c r="E31" s="274"/>
    </row>
    <row r="32" spans="1:5" ht="15.75">
      <c r="A32" s="283" t="s">
        <v>21</v>
      </c>
      <c r="B32" s="295"/>
      <c r="C32" s="332">
        <f>IF(C33*0.1&lt;C31,"Exceed 10% Rule","")</f>
      </c>
      <c r="D32" s="332">
        <f>IF(D33*0.1&lt;D31,"Exceed 10% Rule","")</f>
      </c>
      <c r="E32" s="332">
        <f>IF(E33*0.1&lt;E31,"Exceed 10% Rule","")</f>
      </c>
    </row>
    <row r="33" spans="1:5" ht="15.75">
      <c r="A33" s="169" t="s">
        <v>87</v>
      </c>
      <c r="B33" s="136"/>
      <c r="C33" s="276">
        <f>SUM(C25:C31)</f>
        <v>0</v>
      </c>
      <c r="D33" s="276">
        <f>SUM(D25:D31)</f>
        <v>0</v>
      </c>
      <c r="E33" s="276">
        <f>SUM(E25:E31)</f>
        <v>0</v>
      </c>
    </row>
    <row r="34" spans="1:5" ht="15.75">
      <c r="A34" s="135" t="s">
        <v>195</v>
      </c>
      <c r="B34" s="136"/>
      <c r="C34" s="277">
        <f>C23-C33</f>
        <v>0</v>
      </c>
      <c r="D34" s="237">
        <f>D23-D33</f>
        <v>0</v>
      </c>
      <c r="E34" s="99" t="s">
        <v>53</v>
      </c>
    </row>
    <row r="35" spans="1:6" ht="15.75">
      <c r="A35" s="173" t="str">
        <f>CONCATENATE("",E1-2," Budget Authority Limited Amount:")</f>
        <v>2011 Budget Authority Limited Amount:</v>
      </c>
      <c r="B35" s="304">
        <f>inputOth!B88</f>
        <v>0</v>
      </c>
      <c r="C35" s="36"/>
      <c r="D35" s="56" t="s">
        <v>90</v>
      </c>
      <c r="E35" s="19"/>
      <c r="F35" s="256">
        <f>IF(E33/0.95-E33&lt;E35,"Exceeds 5%","")</f>
      </c>
    </row>
    <row r="36" spans="1:5" ht="15.75">
      <c r="A36" s="173" t="str">
        <f>CONCATENATE("Violation of Budget Law for ",E1-2,":")</f>
        <v>Violation of Budget Law for 2011:</v>
      </c>
      <c r="B36" s="305">
        <f>IF(C33&gt;B35,"Yes","")</f>
      </c>
      <c r="C36" s="36"/>
      <c r="D36" s="56" t="s">
        <v>329</v>
      </c>
      <c r="E36" s="98">
        <f>E33+E35</f>
        <v>0</v>
      </c>
    </row>
    <row r="37" spans="1:5" ht="15.75">
      <c r="A37" s="173" t="str">
        <f>CONCATENATE("Possible Cash Violation for ",E1-2,":")</f>
        <v>Possible Cash Violation for 2011:</v>
      </c>
      <c r="B37" s="305">
        <f>IF(C34&lt;0,"Yes","")</f>
      </c>
      <c r="C37" s="36"/>
      <c r="D37" s="56" t="s">
        <v>91</v>
      </c>
      <c r="E37" s="237">
        <f>IF(E36-E23&gt;0,E36-E23,0)</f>
        <v>0</v>
      </c>
    </row>
    <row r="38" spans="1:5" ht="15.75">
      <c r="A38" s="414" t="s">
        <v>236</v>
      </c>
      <c r="B38" s="415"/>
      <c r="C38" s="415"/>
      <c r="D38" s="171">
        <f>inputOth!E77</f>
        <v>0</v>
      </c>
      <c r="E38" s="98">
        <f>ROUND(IF(D38&gt;0,(E37*D38),0),0)</f>
        <v>0</v>
      </c>
    </row>
    <row r="39" spans="1:5" ht="15.75">
      <c r="A39" s="36"/>
      <c r="B39" s="36"/>
      <c r="C39" s="36"/>
      <c r="D39" s="102" t="str">
        <f>CONCATENATE("Amount of  ",E1-1," Ad Valorem Tax")</f>
        <v>Amount of  2012 Ad Valorem Tax</v>
      </c>
      <c r="E39" s="237">
        <f>E37+E38</f>
        <v>0</v>
      </c>
    </row>
    <row r="40" spans="1:5" ht="15.75">
      <c r="A40" s="39" t="s">
        <v>69</v>
      </c>
      <c r="B40" s="104"/>
      <c r="C40" s="38"/>
      <c r="D40" s="38"/>
      <c r="E40" s="38"/>
    </row>
    <row r="41" spans="1:5" ht="15.75">
      <c r="A41" s="36"/>
      <c r="B41" s="52"/>
      <c r="C41" s="105" t="s">
        <v>70</v>
      </c>
      <c r="D41" s="61" t="s">
        <v>71</v>
      </c>
      <c r="E41" s="61" t="s">
        <v>72</v>
      </c>
    </row>
    <row r="42" spans="1:5" ht="15.75">
      <c r="A42" s="64">
        <f>inputPrYr!B25</f>
        <v>0</v>
      </c>
      <c r="B42" s="282"/>
      <c r="C42" s="63" t="str">
        <f>C5</f>
        <v>Actual 2011</v>
      </c>
      <c r="D42" s="63" t="str">
        <f>D5</f>
        <v>Estimate 2012</v>
      </c>
      <c r="E42" s="63" t="str">
        <f>E5</f>
        <v>Year 2013</v>
      </c>
    </row>
    <row r="43" spans="1:5" ht="15.75">
      <c r="A43" s="135" t="s">
        <v>193</v>
      </c>
      <c r="B43" s="136"/>
      <c r="C43" s="274"/>
      <c r="D43" s="98">
        <f>C71</f>
        <v>0</v>
      </c>
      <c r="E43" s="98">
        <f>D71</f>
        <v>0</v>
      </c>
    </row>
    <row r="44" spans="1:5" ht="15.75">
      <c r="A44" s="135" t="s">
        <v>192</v>
      </c>
      <c r="B44" s="288" t="s">
        <v>330</v>
      </c>
      <c r="C44" s="274"/>
      <c r="D44" s="98">
        <f>-C52</f>
        <v>0</v>
      </c>
      <c r="E44" s="99" t="s">
        <v>53</v>
      </c>
    </row>
    <row r="45" spans="1:5" ht="15.75">
      <c r="A45" s="135" t="s">
        <v>196</v>
      </c>
      <c r="B45" s="136"/>
      <c r="C45" s="191"/>
      <c r="D45" s="98"/>
      <c r="E45" s="99"/>
    </row>
    <row r="46" spans="1:5" ht="15.75">
      <c r="A46" s="135" t="s">
        <v>76</v>
      </c>
      <c r="B46" s="136"/>
      <c r="C46" s="274"/>
      <c r="D46" s="98">
        <f>inputPrYr!D25</f>
        <v>0</v>
      </c>
      <c r="E46" s="99" t="s">
        <v>53</v>
      </c>
    </row>
    <row r="47" spans="1:5" ht="15.75">
      <c r="A47" s="135" t="s">
        <v>77</v>
      </c>
      <c r="B47" s="136"/>
      <c r="C47" s="274"/>
      <c r="D47" s="19"/>
      <c r="E47" s="19"/>
    </row>
    <row r="48" spans="1:5" ht="15.75">
      <c r="A48" s="135" t="s">
        <v>78</v>
      </c>
      <c r="B48" s="136"/>
      <c r="C48" s="274"/>
      <c r="D48" s="19"/>
      <c r="E48" s="98">
        <f>mvalloc!G18</f>
        <v>0</v>
      </c>
    </row>
    <row r="49" spans="1:5" ht="15.75">
      <c r="A49" s="135" t="s">
        <v>79</v>
      </c>
      <c r="B49" s="136"/>
      <c r="C49" s="274"/>
      <c r="D49" s="19"/>
      <c r="E49" s="98">
        <f>mvalloc!I18</f>
        <v>0</v>
      </c>
    </row>
    <row r="50" spans="1:5" ht="15.75">
      <c r="A50" s="135" t="s">
        <v>173</v>
      </c>
      <c r="B50" s="136"/>
      <c r="C50" s="274"/>
      <c r="D50" s="19"/>
      <c r="E50" s="98">
        <f>mvalloc!J18</f>
        <v>0</v>
      </c>
    </row>
    <row r="51" spans="1:5" ht="15.75">
      <c r="A51" s="135" t="s">
        <v>245</v>
      </c>
      <c r="B51" s="136"/>
      <c r="C51" s="274"/>
      <c r="D51" s="19"/>
      <c r="E51" s="98">
        <f>mvalloc!K18</f>
        <v>0</v>
      </c>
    </row>
    <row r="52" spans="1:5" ht="15.75">
      <c r="A52" s="135" t="s">
        <v>194</v>
      </c>
      <c r="B52" s="288" t="s">
        <v>331</v>
      </c>
      <c r="C52" s="274"/>
      <c r="D52" s="156" t="s">
        <v>206</v>
      </c>
      <c r="E52" s="156" t="s">
        <v>207</v>
      </c>
    </row>
    <row r="53" spans="1:5" ht="15.75">
      <c r="A53" s="284"/>
      <c r="B53" s="287"/>
      <c r="C53" s="274"/>
      <c r="D53" s="19"/>
      <c r="E53" s="19"/>
    </row>
    <row r="54" spans="1:5" ht="15.75">
      <c r="A54" s="284"/>
      <c r="B54" s="287"/>
      <c r="C54" s="274"/>
      <c r="D54" s="19"/>
      <c r="E54" s="19"/>
    </row>
    <row r="55" spans="1:5" ht="15.75">
      <c r="A55" s="284"/>
      <c r="B55" s="287"/>
      <c r="C55" s="274"/>
      <c r="D55" s="19"/>
      <c r="E55" s="19"/>
    </row>
    <row r="56" spans="1:5" ht="15.75">
      <c r="A56" s="284" t="s">
        <v>83</v>
      </c>
      <c r="B56" s="287"/>
      <c r="C56" s="274"/>
      <c r="D56" s="19"/>
      <c r="E56" s="19"/>
    </row>
    <row r="57" spans="1:5" ht="15.75">
      <c r="A57" s="331" t="s">
        <v>18</v>
      </c>
      <c r="B57" s="295"/>
      <c r="C57" s="274"/>
      <c r="D57" s="274"/>
      <c r="E57" s="274"/>
    </row>
    <row r="58" spans="1:5" ht="15.75">
      <c r="A58" s="331" t="s">
        <v>19</v>
      </c>
      <c r="B58" s="295"/>
      <c r="C58" s="332">
        <f>IF(C59*0.1&lt;C57,"Exceed 10% Rule","")</f>
      </c>
      <c r="D58" s="332">
        <f>IF(D59*0.1&lt;D57,"Exceed 10% Rule","")</f>
      </c>
      <c r="E58" s="332">
        <f>IF(E59*0.1&lt;E57,"Exceed 10% Rule","")</f>
      </c>
    </row>
    <row r="59" spans="1:5" ht="15.75">
      <c r="A59" s="285" t="s">
        <v>84</v>
      </c>
      <c r="B59" s="136"/>
      <c r="C59" s="276">
        <f>SUM(C46:C57)</f>
        <v>0</v>
      </c>
      <c r="D59" s="250">
        <f>SUM(D46:D57)</f>
        <v>0</v>
      </c>
      <c r="E59" s="250">
        <f>SUM(E46:E57)</f>
        <v>0</v>
      </c>
    </row>
    <row r="60" spans="1:5" ht="15.75">
      <c r="A60" s="169" t="s">
        <v>85</v>
      </c>
      <c r="B60" s="136"/>
      <c r="C60" s="276">
        <f>C59+C43+C44</f>
        <v>0</v>
      </c>
      <c r="D60" s="250">
        <f>D59+D43+D44</f>
        <v>0</v>
      </c>
      <c r="E60" s="250">
        <f>E59+E43</f>
        <v>0</v>
      </c>
    </row>
    <row r="61" spans="1:5" ht="15.75">
      <c r="A61" s="135" t="s">
        <v>86</v>
      </c>
      <c r="B61" s="136"/>
      <c r="C61" s="191"/>
      <c r="D61" s="98"/>
      <c r="E61" s="98"/>
    </row>
    <row r="62" spans="1:5" ht="15.75">
      <c r="A62" s="284" t="s">
        <v>202</v>
      </c>
      <c r="B62" s="287"/>
      <c r="C62" s="274"/>
      <c r="D62" s="19"/>
      <c r="E62" s="19"/>
    </row>
    <row r="63" spans="1:5" ht="15.75">
      <c r="A63" s="284" t="s">
        <v>176</v>
      </c>
      <c r="B63" s="287"/>
      <c r="C63" s="274"/>
      <c r="D63" s="19"/>
      <c r="E63" s="19"/>
    </row>
    <row r="64" spans="1:5" ht="15.75">
      <c r="A64" s="284"/>
      <c r="B64" s="287"/>
      <c r="C64" s="274"/>
      <c r="D64" s="19"/>
      <c r="E64" s="19"/>
    </row>
    <row r="65" spans="1:5" ht="15.75">
      <c r="A65" s="284"/>
      <c r="B65" s="287"/>
      <c r="C65" s="274"/>
      <c r="D65" s="19"/>
      <c r="E65" s="19"/>
    </row>
    <row r="66" spans="1:5" ht="15.75">
      <c r="A66" s="284"/>
      <c r="B66" s="287"/>
      <c r="C66" s="274"/>
      <c r="D66" s="19"/>
      <c r="E66" s="19"/>
    </row>
    <row r="67" spans="1:5" ht="15.75">
      <c r="A67" s="283" t="s">
        <v>20</v>
      </c>
      <c r="B67" s="295"/>
      <c r="C67" s="274"/>
      <c r="D67" s="19"/>
      <c r="E67" s="237">
        <f>nhood!E12</f>
      </c>
    </row>
    <row r="68" spans="1:5" ht="15.75">
      <c r="A68" s="283" t="s">
        <v>18</v>
      </c>
      <c r="B68" s="295"/>
      <c r="C68" s="274"/>
      <c r="D68" s="274"/>
      <c r="E68" s="274"/>
    </row>
    <row r="69" spans="1:5" ht="15.75">
      <c r="A69" s="283" t="s">
        <v>21</v>
      </c>
      <c r="B69" s="295"/>
      <c r="C69" s="332">
        <f>IF(C70*0.1&lt;C68,"Exceed 10% Rule","")</f>
      </c>
      <c r="D69" s="332">
        <f>IF(D70*0.1&lt;D68,"Exceed 10% Rule","")</f>
      </c>
      <c r="E69" s="332">
        <f>IF(E70*0.1&lt;E68,"Exceed 10% Rule","")</f>
      </c>
    </row>
    <row r="70" spans="1:5" ht="15.75">
      <c r="A70" s="169" t="s">
        <v>87</v>
      </c>
      <c r="B70" s="136"/>
      <c r="C70" s="276">
        <f>SUM(C62:C68)</f>
        <v>0</v>
      </c>
      <c r="D70" s="276">
        <f>SUM(D62:D68)</f>
        <v>0</v>
      </c>
      <c r="E70" s="276">
        <f>SUM(E62:E68)</f>
        <v>0</v>
      </c>
    </row>
    <row r="71" spans="1:5" ht="15.75">
      <c r="A71" s="135" t="s">
        <v>195</v>
      </c>
      <c r="B71" s="136"/>
      <c r="C71" s="277">
        <f>C60-C70</f>
        <v>0</v>
      </c>
      <c r="D71" s="237">
        <f>D60-D70</f>
        <v>0</v>
      </c>
      <c r="E71" s="99" t="s">
        <v>53</v>
      </c>
    </row>
    <row r="72" spans="1:6" ht="15.75">
      <c r="A72" s="173" t="str">
        <f>CONCATENATE("",E1-2," Budget Authority Limited Amount:")</f>
        <v>2011 Budget Authority Limited Amount:</v>
      </c>
      <c r="B72" s="304">
        <f>inputOth!B89</f>
        <v>0</v>
      </c>
      <c r="C72" s="36"/>
      <c r="D72" s="56" t="s">
        <v>90</v>
      </c>
      <c r="E72" s="19"/>
      <c r="F72" s="256">
        <f>IF(E70/0.95-E70&lt;E72,"Exceeds 5%","")</f>
      </c>
    </row>
    <row r="73" spans="1:5" ht="15.75">
      <c r="A73" s="173" t="str">
        <f>CONCATENATE("Violation of Budget Law for ",E1-2,":")</f>
        <v>Violation of Budget Law for 2011:</v>
      </c>
      <c r="B73" s="305">
        <f>IF(C70&gt;B72,"Yes","")</f>
      </c>
      <c r="C73" s="36"/>
      <c r="D73" s="56" t="s">
        <v>329</v>
      </c>
      <c r="E73" s="98">
        <f>E70+E72</f>
        <v>0</v>
      </c>
    </row>
    <row r="74" spans="1:5" ht="15.75">
      <c r="A74" s="173" t="str">
        <f>CONCATENATE("Possible Cash Violation for ",E1-2,":")</f>
        <v>Possible Cash Violation for 2011:</v>
      </c>
      <c r="B74" s="305">
        <f>IF(C71&lt;0,"Yes","")</f>
      </c>
      <c r="C74" s="36"/>
      <c r="D74" s="56" t="s">
        <v>91</v>
      </c>
      <c r="E74" s="237">
        <f>IF(E73-E60&gt;0,E73-E60,0)</f>
        <v>0</v>
      </c>
    </row>
    <row r="75" spans="1:5" ht="15.75">
      <c r="A75" s="414" t="s">
        <v>236</v>
      </c>
      <c r="B75" s="415"/>
      <c r="C75" s="415"/>
      <c r="D75" s="171">
        <f>inputOth!E77</f>
        <v>0</v>
      </c>
      <c r="E75" s="98">
        <f>ROUND(IF(D75&gt;0,(E74*D75),0),0)</f>
        <v>0</v>
      </c>
    </row>
    <row r="76" spans="1:5" ht="15.75">
      <c r="A76" s="36"/>
      <c r="B76" s="36"/>
      <c r="C76" s="36"/>
      <c r="D76" s="102" t="str">
        <f>CONCATENATE("Amount of  ",E1-1," Ad Valorem Tax")</f>
        <v>Amount of  2012 Ad Valorem Tax</v>
      </c>
      <c r="E76" s="237">
        <f>E74+E75</f>
        <v>0</v>
      </c>
    </row>
    <row r="77" spans="1:5" ht="15.75">
      <c r="A77" s="56" t="s">
        <v>68</v>
      </c>
      <c r="B77" s="20"/>
      <c r="C77" s="36"/>
      <c r="D77" s="36"/>
      <c r="E77" s="36"/>
    </row>
    <row r="78" spans="1:2" ht="15.75">
      <c r="A78" s="1"/>
      <c r="B78" s="1"/>
    </row>
  </sheetData>
  <sheetProtection sheet="1" objects="1" scenarios="1"/>
  <mergeCells count="2">
    <mergeCell ref="A38:C38"/>
    <mergeCell ref="A75:C75"/>
  </mergeCells>
  <conditionalFormatting sqref="C68">
    <cfRule type="cellIs" priority="1" dxfId="102" operator="greaterThan" stopIfTrue="1">
      <formula>$C$709*0.1</formula>
    </cfRule>
  </conditionalFormatting>
  <conditionalFormatting sqref="D68">
    <cfRule type="cellIs" priority="2" dxfId="102" operator="greaterThan" stopIfTrue="1">
      <formula>$D$709*0.1</formula>
    </cfRule>
  </conditionalFormatting>
  <conditionalFormatting sqref="E68">
    <cfRule type="cellIs" priority="3" dxfId="102" operator="greaterThan" stopIfTrue="1">
      <formula>$E$70*0.1</formula>
    </cfRule>
  </conditionalFormatting>
  <conditionalFormatting sqref="C57">
    <cfRule type="cellIs" priority="4" dxfId="102" operator="greaterThan" stopIfTrue="1">
      <formula>$C$59*0.1</formula>
    </cfRule>
  </conditionalFormatting>
  <conditionalFormatting sqref="D57">
    <cfRule type="cellIs" priority="5" dxfId="102" operator="greaterThan" stopIfTrue="1">
      <formula>$D$59*0.1</formula>
    </cfRule>
  </conditionalFormatting>
  <conditionalFormatting sqref="E57">
    <cfRule type="cellIs" priority="6" dxfId="102" operator="greaterThan" stopIfTrue="1">
      <formula>$E$59*0.1</formula>
    </cfRule>
  </conditionalFormatting>
  <conditionalFormatting sqref="C31">
    <cfRule type="cellIs" priority="7" dxfId="102" operator="greaterThan" stopIfTrue="1">
      <formula>$C$33*0.1</formula>
    </cfRule>
  </conditionalFormatting>
  <conditionalFormatting sqref="D31">
    <cfRule type="cellIs" priority="8" dxfId="102" operator="greaterThan" stopIfTrue="1">
      <formula>$D$33*0.1</formula>
    </cfRule>
  </conditionalFormatting>
  <conditionalFormatting sqref="E31">
    <cfRule type="cellIs" priority="9" dxfId="102" operator="greaterThan" stopIfTrue="1">
      <formula>$E$33*0.1</formula>
    </cfRule>
  </conditionalFormatting>
  <conditionalFormatting sqref="C20">
    <cfRule type="cellIs" priority="10" dxfId="102" operator="greaterThan" stopIfTrue="1">
      <formula>$C$22*0.1</formula>
    </cfRule>
  </conditionalFormatting>
  <conditionalFormatting sqref="D20">
    <cfRule type="cellIs" priority="11" dxfId="102" operator="greaterThan" stopIfTrue="1">
      <formula>$D$22*0.1</formula>
    </cfRule>
  </conditionalFormatting>
  <conditionalFormatting sqref="E20">
    <cfRule type="cellIs" priority="12" dxfId="102" operator="greaterThan" stopIfTrue="1">
      <formula>$E$22*0.1</formula>
    </cfRule>
  </conditionalFormatting>
  <conditionalFormatting sqref="E72">
    <cfRule type="cellIs" priority="13" dxfId="102" operator="greaterThan" stopIfTrue="1">
      <formula>$E$70/0.95-$E$70</formula>
    </cfRule>
  </conditionalFormatting>
  <conditionalFormatting sqref="E35">
    <cfRule type="cellIs" priority="14" dxfId="102" operator="greaterThan" stopIfTrue="1">
      <formula>$E$33/0.95-$E$33</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oddFooter>&amp;Lrevised 8/06/07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B40">
      <selection activeCell="F47" sqref="F47"/>
    </sheetView>
  </sheetViews>
  <sheetFormatPr defaultColWidth="8.796875" defaultRowHeight="15.75"/>
  <cols>
    <col min="1" max="1" width="27.59765625" style="5" customWidth="1"/>
    <col min="2" max="2" width="9.5" style="5" customWidth="1"/>
    <col min="3" max="3" width="13.796875" style="5" customWidth="1"/>
    <col min="4" max="5" width="12.69921875" style="5" customWidth="1"/>
    <col min="6" max="16384" width="8.796875" style="5" customWidth="1"/>
  </cols>
  <sheetData>
    <row r="1" spans="1:5" ht="15.75">
      <c r="A1" s="41" t="str">
        <f>inputPrYr!D3</f>
        <v>Hackberry Township</v>
      </c>
      <c r="B1" s="39" t="s">
        <v>102</v>
      </c>
      <c r="C1" s="36"/>
      <c r="D1" s="36"/>
      <c r="E1" s="152">
        <f>inputPrYr!D9</f>
        <v>2013</v>
      </c>
    </row>
    <row r="2" spans="1:5" ht="15.75">
      <c r="A2" s="48" t="s">
        <v>143</v>
      </c>
      <c r="B2" s="36"/>
      <c r="C2" s="36"/>
      <c r="D2" s="66"/>
      <c r="E2" s="103"/>
    </row>
    <row r="3" spans="1:5" ht="15.75">
      <c r="A3" s="36"/>
      <c r="B3" s="104"/>
      <c r="C3" s="38"/>
      <c r="D3" s="38"/>
      <c r="E3" s="38"/>
    </row>
    <row r="4" spans="1:5" ht="15.75">
      <c r="A4" s="39" t="s">
        <v>69</v>
      </c>
      <c r="B4" s="52"/>
      <c r="C4" s="105" t="s">
        <v>70</v>
      </c>
      <c r="D4" s="61" t="s">
        <v>71</v>
      </c>
      <c r="E4" s="61" t="s">
        <v>72</v>
      </c>
    </row>
    <row r="5" spans="1:5" ht="15.75">
      <c r="A5" s="129">
        <f>inputPrYr!B26</f>
        <v>0</v>
      </c>
      <c r="B5" s="282"/>
      <c r="C5" s="63" t="str">
        <f>gen!C5</f>
        <v>Actual 2011</v>
      </c>
      <c r="D5" s="63" t="str">
        <f>gen!D5</f>
        <v>Estimate 2012</v>
      </c>
      <c r="E5" s="63" t="str">
        <f>gen!E5</f>
        <v>Year 2013</v>
      </c>
    </row>
    <row r="6" spans="1:5" ht="15.75">
      <c r="A6" s="135" t="s">
        <v>193</v>
      </c>
      <c r="B6" s="136"/>
      <c r="C6" s="274"/>
      <c r="D6" s="98">
        <f>C34</f>
        <v>0</v>
      </c>
      <c r="E6" s="98">
        <f>D34</f>
        <v>0</v>
      </c>
    </row>
    <row r="7" spans="1:5" ht="15.75">
      <c r="A7" s="149" t="s">
        <v>192</v>
      </c>
      <c r="B7" s="288" t="s">
        <v>330</v>
      </c>
      <c r="C7" s="274"/>
      <c r="D7" s="98">
        <f>-C15</f>
        <v>0</v>
      </c>
      <c r="E7" s="99" t="s">
        <v>53</v>
      </c>
    </row>
    <row r="8" spans="1:5" ht="15.75">
      <c r="A8" s="135" t="s">
        <v>196</v>
      </c>
      <c r="B8" s="136"/>
      <c r="C8" s="191"/>
      <c r="D8" s="98"/>
      <c r="E8" s="99"/>
    </row>
    <row r="9" spans="1:5" ht="15.75">
      <c r="A9" s="135" t="s">
        <v>76</v>
      </c>
      <c r="B9" s="136"/>
      <c r="C9" s="274"/>
      <c r="D9" s="98">
        <f>inputPrYr!D26</f>
        <v>0</v>
      </c>
      <c r="E9" s="99" t="s">
        <v>53</v>
      </c>
    </row>
    <row r="10" spans="1:5" ht="15.75">
      <c r="A10" s="135" t="s">
        <v>77</v>
      </c>
      <c r="B10" s="136"/>
      <c r="C10" s="274"/>
      <c r="D10" s="19"/>
      <c r="E10" s="19"/>
    </row>
    <row r="11" spans="1:5" ht="15.75">
      <c r="A11" s="135" t="s">
        <v>78</v>
      </c>
      <c r="B11" s="136"/>
      <c r="C11" s="274"/>
      <c r="D11" s="19"/>
      <c r="E11" s="98">
        <f>mvalloc!G19</f>
        <v>0</v>
      </c>
    </row>
    <row r="12" spans="1:5" ht="15.75">
      <c r="A12" s="135" t="s">
        <v>79</v>
      </c>
      <c r="B12" s="136"/>
      <c r="C12" s="274"/>
      <c r="D12" s="19"/>
      <c r="E12" s="98">
        <f>mvalloc!I19</f>
        <v>0</v>
      </c>
    </row>
    <row r="13" spans="1:5" ht="15.75">
      <c r="A13" s="135" t="s">
        <v>173</v>
      </c>
      <c r="B13" s="136"/>
      <c r="C13" s="274"/>
      <c r="D13" s="19"/>
      <c r="E13" s="98">
        <f>mvalloc!J19</f>
        <v>0</v>
      </c>
    </row>
    <row r="14" spans="1:5" ht="15.75">
      <c r="A14" s="135" t="s">
        <v>245</v>
      </c>
      <c r="B14" s="136"/>
      <c r="C14" s="274"/>
      <c r="D14" s="19"/>
      <c r="E14" s="98">
        <f>mvalloc!K19</f>
        <v>0</v>
      </c>
    </row>
    <row r="15" spans="1:5" ht="15.75">
      <c r="A15" s="135" t="s">
        <v>194</v>
      </c>
      <c r="B15" s="288" t="s">
        <v>331</v>
      </c>
      <c r="C15" s="274"/>
      <c r="D15" s="156" t="s">
        <v>207</v>
      </c>
      <c r="E15" s="156" t="s">
        <v>206</v>
      </c>
    </row>
    <row r="16" spans="1:5" ht="15.75">
      <c r="A16" s="284"/>
      <c r="B16" s="287"/>
      <c r="C16" s="274"/>
      <c r="D16" s="19"/>
      <c r="E16" s="19"/>
    </row>
    <row r="17" spans="1:5" ht="15.75">
      <c r="A17" s="284"/>
      <c r="B17" s="287"/>
      <c r="C17" s="274"/>
      <c r="D17" s="19"/>
      <c r="E17" s="19"/>
    </row>
    <row r="18" spans="1:5" ht="15.75">
      <c r="A18" s="284"/>
      <c r="B18" s="287"/>
      <c r="C18" s="274"/>
      <c r="D18" s="19"/>
      <c r="E18" s="19"/>
    </row>
    <row r="19" spans="1:5" ht="15.75">
      <c r="A19" s="284" t="s">
        <v>83</v>
      </c>
      <c r="B19" s="287"/>
      <c r="C19" s="274"/>
      <c r="D19" s="19"/>
      <c r="E19" s="19"/>
    </row>
    <row r="20" spans="1:5" ht="15.75">
      <c r="A20" s="331" t="s">
        <v>18</v>
      </c>
      <c r="B20" s="295"/>
      <c r="C20" s="274"/>
      <c r="D20" s="274"/>
      <c r="E20" s="274"/>
    </row>
    <row r="21" spans="1:5" ht="15.75">
      <c r="A21" s="331" t="s">
        <v>19</v>
      </c>
      <c r="B21" s="295"/>
      <c r="C21" s="332">
        <f>IF(C22*0.1&lt;C20,"Exceed 10% Rule","")</f>
      </c>
      <c r="D21" s="332">
        <f>IF(D22*0.1&lt;D20,"Exceed 10% Rule","")</f>
      </c>
      <c r="E21" s="332">
        <f>IF(E22*0.1&lt;E20,"Exceed 10% Rule","")</f>
      </c>
    </row>
    <row r="22" spans="1:5" ht="15.75">
      <c r="A22" s="285" t="s">
        <v>84</v>
      </c>
      <c r="B22" s="136"/>
      <c r="C22" s="276">
        <f>SUM(C9:C20)</f>
        <v>0</v>
      </c>
      <c r="D22" s="250">
        <f>SUM(D9:D20)</f>
        <v>0</v>
      </c>
      <c r="E22" s="250">
        <f>SUM(E9:E20)</f>
        <v>0</v>
      </c>
    </row>
    <row r="23" spans="1:5" ht="15.75">
      <c r="A23" s="169" t="s">
        <v>85</v>
      </c>
      <c r="B23" s="136"/>
      <c r="C23" s="276">
        <f>C22+C6+C7</f>
        <v>0</v>
      </c>
      <c r="D23" s="250">
        <f>D22+D6+D7</f>
        <v>0</v>
      </c>
      <c r="E23" s="250">
        <f>E22+E6</f>
        <v>0</v>
      </c>
    </row>
    <row r="24" spans="1:5" ht="15.75">
      <c r="A24" s="135" t="s">
        <v>86</v>
      </c>
      <c r="B24" s="136"/>
      <c r="C24" s="191"/>
      <c r="D24" s="98"/>
      <c r="E24" s="98"/>
    </row>
    <row r="25" spans="1:5" ht="15.75">
      <c r="A25" s="284" t="s">
        <v>202</v>
      </c>
      <c r="B25" s="287"/>
      <c r="C25" s="274"/>
      <c r="D25" s="19"/>
      <c r="E25" s="19"/>
    </row>
    <row r="26" spans="1:5" ht="15.75">
      <c r="A26" s="284" t="s">
        <v>176</v>
      </c>
      <c r="B26" s="287"/>
      <c r="C26" s="274"/>
      <c r="D26" s="19"/>
      <c r="E26" s="19"/>
    </row>
    <row r="27" spans="1:5" ht="15.75">
      <c r="A27" s="286"/>
      <c r="B27" s="287"/>
      <c r="C27" s="274"/>
      <c r="D27" s="19"/>
      <c r="E27" s="19"/>
    </row>
    <row r="28" spans="1:5" ht="15.75">
      <c r="A28" s="284"/>
      <c r="B28" s="287"/>
      <c r="C28" s="274"/>
      <c r="D28" s="19"/>
      <c r="E28" s="19"/>
    </row>
    <row r="29" spans="1:5" ht="15.75">
      <c r="A29" s="284"/>
      <c r="B29" s="287"/>
      <c r="C29" s="274"/>
      <c r="D29" s="19"/>
      <c r="E29" s="19"/>
    </row>
    <row r="30" spans="1:5" ht="15.75">
      <c r="A30" s="283" t="s">
        <v>20</v>
      </c>
      <c r="B30" s="295"/>
      <c r="C30" s="274"/>
      <c r="D30" s="19"/>
      <c r="E30" s="237">
        <f>nhood!E13</f>
      </c>
    </row>
    <row r="31" spans="1:5" ht="15.75">
      <c r="A31" s="283" t="s">
        <v>18</v>
      </c>
      <c r="B31" s="295"/>
      <c r="C31" s="274"/>
      <c r="D31" s="274"/>
      <c r="E31" s="274"/>
    </row>
    <row r="32" spans="1:5" ht="15.75">
      <c r="A32" s="283" t="s">
        <v>21</v>
      </c>
      <c r="B32" s="295"/>
      <c r="C32" s="332">
        <f>IF(C33*0.1&lt;C31,"Exceed 10% Rule","")</f>
      </c>
      <c r="D32" s="332">
        <f>IF(D33*0.1&lt;D31,"Exceed 10% Rule","")</f>
      </c>
      <c r="E32" s="332">
        <f>IF(E33*0.1&lt;E31,"Exceed 10% Rule","")</f>
      </c>
    </row>
    <row r="33" spans="1:5" ht="15.75">
      <c r="A33" s="169" t="s">
        <v>87</v>
      </c>
      <c r="B33" s="136"/>
      <c r="C33" s="276">
        <f>SUM(C25:C31)</f>
        <v>0</v>
      </c>
      <c r="D33" s="276">
        <f>SUM(D25:D31)</f>
        <v>0</v>
      </c>
      <c r="E33" s="276">
        <f>SUM(E25:E31)</f>
        <v>0</v>
      </c>
    </row>
    <row r="34" spans="1:5" ht="15.75">
      <c r="A34" s="135" t="s">
        <v>195</v>
      </c>
      <c r="B34" s="136"/>
      <c r="C34" s="277">
        <f>C23-C33</f>
        <v>0</v>
      </c>
      <c r="D34" s="237">
        <f>D23-D33</f>
        <v>0</v>
      </c>
      <c r="E34" s="99" t="s">
        <v>53</v>
      </c>
    </row>
    <row r="35" spans="1:6" ht="15.75">
      <c r="A35" s="173" t="str">
        <f>CONCATENATE("",E1-2," Budget Authority Limited Amount:")</f>
        <v>2011 Budget Authority Limited Amount:</v>
      </c>
      <c r="B35" s="304">
        <f>inputOth!B90</f>
        <v>0</v>
      </c>
      <c r="C35" s="36"/>
      <c r="D35" s="56" t="s">
        <v>90</v>
      </c>
      <c r="E35" s="19"/>
      <c r="F35" s="256">
        <f>IF(E33/0.95-E33&lt;E35,"Exceeds 5%","")</f>
      </c>
    </row>
    <row r="36" spans="1:5" ht="15.75">
      <c r="A36" s="173" t="str">
        <f>CONCATENATE("Violation of Budget Law for ",E1-2,":")</f>
        <v>Violation of Budget Law for 2011:</v>
      </c>
      <c r="B36" s="305">
        <f>IF(C33&gt;B35,"Yes","")</f>
      </c>
      <c r="C36" s="36"/>
      <c r="D36" s="56" t="s">
        <v>329</v>
      </c>
      <c r="E36" s="98">
        <f>E33+E35</f>
        <v>0</v>
      </c>
    </row>
    <row r="37" spans="1:5" ht="15.75">
      <c r="A37" s="173" t="str">
        <f>CONCATENATE("Possible Cash Violation for ",E1-2,":")</f>
        <v>Possible Cash Violation for 2011:</v>
      </c>
      <c r="B37" s="305">
        <f>IF(C34&lt;0,"Yes","")</f>
      </c>
      <c r="C37" s="36"/>
      <c r="D37" s="56" t="s">
        <v>91</v>
      </c>
      <c r="E37" s="237">
        <f>IF(E36-E23&gt;0,E36-E23,0)</f>
        <v>0</v>
      </c>
    </row>
    <row r="38" spans="1:5" ht="15.75">
      <c r="A38" s="414" t="s">
        <v>236</v>
      </c>
      <c r="B38" s="415"/>
      <c r="C38" s="415"/>
      <c r="D38" s="171">
        <f>inputOth!E77</f>
        <v>0</v>
      </c>
      <c r="E38" s="98">
        <f>ROUND(IF(D38&gt;0,(E37*D38),0),0)</f>
        <v>0</v>
      </c>
    </row>
    <row r="39" spans="1:5" ht="15.75">
      <c r="A39" s="36"/>
      <c r="B39" s="36"/>
      <c r="C39" s="36"/>
      <c r="D39" s="102" t="str">
        <f>CONCATENATE("Amount of  ",E1-1," Ad Valorem Tax")</f>
        <v>Amount of  2012 Ad Valorem Tax</v>
      </c>
      <c r="E39" s="237">
        <f>E37+E38</f>
        <v>0</v>
      </c>
    </row>
    <row r="40" spans="1:5" ht="15.75">
      <c r="A40" s="39" t="s">
        <v>69</v>
      </c>
      <c r="B40" s="104"/>
      <c r="C40" s="38"/>
      <c r="D40" s="38"/>
      <c r="E40" s="38"/>
    </row>
    <row r="41" spans="1:5" ht="15.75">
      <c r="A41" s="36"/>
      <c r="B41" s="52"/>
      <c r="C41" s="105" t="s">
        <v>70</v>
      </c>
      <c r="D41" s="61" t="s">
        <v>71</v>
      </c>
      <c r="E41" s="61" t="s">
        <v>72</v>
      </c>
    </row>
    <row r="42" spans="1:5" ht="15.75">
      <c r="A42" s="64">
        <f>inputPrYr!B27</f>
        <v>0</v>
      </c>
      <c r="B42" s="282"/>
      <c r="C42" s="63" t="str">
        <f>C5</f>
        <v>Actual 2011</v>
      </c>
      <c r="D42" s="63" t="str">
        <f>D5</f>
        <v>Estimate 2012</v>
      </c>
      <c r="E42" s="63" t="str">
        <f>E5</f>
        <v>Year 2013</v>
      </c>
    </row>
    <row r="43" spans="1:5" ht="15.75">
      <c r="A43" s="135" t="s">
        <v>193</v>
      </c>
      <c r="B43" s="136"/>
      <c r="C43" s="274"/>
      <c r="D43" s="98">
        <f>C71</f>
        <v>0</v>
      </c>
      <c r="E43" s="98">
        <f>D71</f>
        <v>0</v>
      </c>
    </row>
    <row r="44" spans="1:5" ht="15.75">
      <c r="A44" s="135" t="s">
        <v>192</v>
      </c>
      <c r="B44" s="288" t="s">
        <v>330</v>
      </c>
      <c r="C44" s="274"/>
      <c r="D44" s="98">
        <f>-C52</f>
        <v>0</v>
      </c>
      <c r="E44" s="99" t="s">
        <v>53</v>
      </c>
    </row>
    <row r="45" spans="1:5" ht="15.75">
      <c r="A45" s="135" t="s">
        <v>196</v>
      </c>
      <c r="B45" s="136"/>
      <c r="C45" s="191"/>
      <c r="D45" s="98"/>
      <c r="E45" s="99"/>
    </row>
    <row r="46" spans="1:5" ht="15.75">
      <c r="A46" s="135" t="s">
        <v>76</v>
      </c>
      <c r="B46" s="136"/>
      <c r="C46" s="274"/>
      <c r="D46" s="98">
        <f>inputPrYr!D27</f>
        <v>0</v>
      </c>
      <c r="E46" s="99" t="s">
        <v>53</v>
      </c>
    </row>
    <row r="47" spans="1:5" ht="15.75">
      <c r="A47" s="135" t="s">
        <v>77</v>
      </c>
      <c r="B47" s="136"/>
      <c r="C47" s="274"/>
      <c r="D47" s="19"/>
      <c r="E47" s="19"/>
    </row>
    <row r="48" spans="1:5" ht="15.75">
      <c r="A48" s="135" t="s">
        <v>78</v>
      </c>
      <c r="B48" s="136"/>
      <c r="C48" s="274"/>
      <c r="D48" s="19"/>
      <c r="E48" s="98">
        <f>mvalloc!G20</f>
        <v>0</v>
      </c>
    </row>
    <row r="49" spans="1:5" ht="15.75">
      <c r="A49" s="135" t="s">
        <v>79</v>
      </c>
      <c r="B49" s="136"/>
      <c r="C49" s="274"/>
      <c r="D49" s="19"/>
      <c r="E49" s="98">
        <f>mvalloc!I20</f>
        <v>0</v>
      </c>
    </row>
    <row r="50" spans="1:5" ht="15.75">
      <c r="A50" s="135" t="s">
        <v>173</v>
      </c>
      <c r="B50" s="136"/>
      <c r="C50" s="274"/>
      <c r="D50" s="19"/>
      <c r="E50" s="98">
        <f>mvalloc!J20</f>
        <v>0</v>
      </c>
    </row>
    <row r="51" spans="1:5" ht="15.75">
      <c r="A51" s="135" t="s">
        <v>245</v>
      </c>
      <c r="B51" s="136"/>
      <c r="C51" s="274"/>
      <c r="D51" s="19"/>
      <c r="E51" s="98">
        <f>mvalloc!K20</f>
        <v>0</v>
      </c>
    </row>
    <row r="52" spans="1:5" ht="15.75">
      <c r="A52" s="135" t="s">
        <v>194</v>
      </c>
      <c r="B52" s="288" t="s">
        <v>331</v>
      </c>
      <c r="C52" s="274"/>
      <c r="D52" s="156" t="s">
        <v>206</v>
      </c>
      <c r="E52" s="98" t="s">
        <v>206</v>
      </c>
    </row>
    <row r="53" spans="1:5" ht="15.75">
      <c r="A53" s="272"/>
      <c r="B53" s="287"/>
      <c r="C53" s="274"/>
      <c r="D53" s="19"/>
      <c r="E53" s="19"/>
    </row>
    <row r="54" spans="1:5" ht="15.75">
      <c r="A54" s="272"/>
      <c r="B54" s="287"/>
      <c r="C54" s="274"/>
      <c r="D54" s="19"/>
      <c r="E54" s="19"/>
    </row>
    <row r="55" spans="1:5" ht="15.75">
      <c r="A55" s="284"/>
      <c r="B55" s="287"/>
      <c r="C55" s="274"/>
      <c r="D55" s="19"/>
      <c r="E55" s="19"/>
    </row>
    <row r="56" spans="1:5" ht="15.75">
      <c r="A56" s="284" t="s">
        <v>83</v>
      </c>
      <c r="B56" s="287"/>
      <c r="C56" s="274"/>
      <c r="D56" s="19"/>
      <c r="E56" s="19"/>
    </row>
    <row r="57" spans="1:5" ht="15.75">
      <c r="A57" s="331" t="s">
        <v>18</v>
      </c>
      <c r="B57" s="295"/>
      <c r="C57" s="274"/>
      <c r="D57" s="274"/>
      <c r="E57" s="274"/>
    </row>
    <row r="58" spans="1:5" ht="15.75">
      <c r="A58" s="331" t="s">
        <v>19</v>
      </c>
      <c r="B58" s="295"/>
      <c r="C58" s="332">
        <f>IF(C59*0.1&lt;C57,"Exceed 10% Rule","")</f>
      </c>
      <c r="D58" s="332">
        <f>IF(D59*0.1&lt;D57,"Exceed 10% Rule","")</f>
      </c>
      <c r="E58" s="332">
        <f>IF(E59*0.1&lt;E57,"Exceed 10% Rule","")</f>
      </c>
    </row>
    <row r="59" spans="1:5" ht="15.75">
      <c r="A59" s="285" t="s">
        <v>84</v>
      </c>
      <c r="B59" s="136"/>
      <c r="C59" s="276">
        <f>SUM(C46:C57)</f>
        <v>0</v>
      </c>
      <c r="D59" s="250">
        <f>SUM(D46:D57)</f>
        <v>0</v>
      </c>
      <c r="E59" s="250">
        <f>SUM(E46:E57)</f>
        <v>0</v>
      </c>
    </row>
    <row r="60" spans="1:5" ht="15.75">
      <c r="A60" s="169" t="s">
        <v>85</v>
      </c>
      <c r="B60" s="136"/>
      <c r="C60" s="276">
        <f>C59+C43+C44</f>
        <v>0</v>
      </c>
      <c r="D60" s="250">
        <f>D59+D43+D44</f>
        <v>0</v>
      </c>
      <c r="E60" s="250">
        <f>E59+E43</f>
        <v>0</v>
      </c>
    </row>
    <row r="61" spans="1:5" ht="15.75">
      <c r="A61" s="135" t="s">
        <v>86</v>
      </c>
      <c r="B61" s="136"/>
      <c r="C61" s="191"/>
      <c r="D61" s="98"/>
      <c r="E61" s="98"/>
    </row>
    <row r="62" spans="1:5" ht="15.75">
      <c r="A62" s="284" t="s">
        <v>202</v>
      </c>
      <c r="B62" s="287"/>
      <c r="C62" s="274"/>
      <c r="D62" s="19"/>
      <c r="E62" s="19"/>
    </row>
    <row r="63" spans="1:5" ht="15.75">
      <c r="A63" s="284" t="s">
        <v>176</v>
      </c>
      <c r="B63" s="287"/>
      <c r="C63" s="274"/>
      <c r="D63" s="19"/>
      <c r="E63" s="19"/>
    </row>
    <row r="64" spans="1:5" ht="15.75">
      <c r="A64" s="284"/>
      <c r="B64" s="287"/>
      <c r="C64" s="274"/>
      <c r="D64" s="19"/>
      <c r="E64" s="19"/>
    </row>
    <row r="65" spans="1:5" ht="15.75">
      <c r="A65" s="284"/>
      <c r="B65" s="287"/>
      <c r="C65" s="274"/>
      <c r="D65" s="19"/>
      <c r="E65" s="19"/>
    </row>
    <row r="66" spans="1:5" ht="15.75">
      <c r="A66" s="284"/>
      <c r="B66" s="287"/>
      <c r="C66" s="274"/>
      <c r="D66" s="19"/>
      <c r="E66" s="19"/>
    </row>
    <row r="67" spans="1:5" ht="15.75">
      <c r="A67" s="283" t="s">
        <v>20</v>
      </c>
      <c r="B67" s="295"/>
      <c r="C67" s="274"/>
      <c r="D67" s="19"/>
      <c r="E67" s="237">
        <f>nhood!E14</f>
      </c>
    </row>
    <row r="68" spans="1:5" ht="15.75">
      <c r="A68" s="283" t="s">
        <v>18</v>
      </c>
      <c r="B68" s="295"/>
      <c r="C68" s="274"/>
      <c r="D68" s="274"/>
      <c r="E68" s="274"/>
    </row>
    <row r="69" spans="1:5" ht="15.75">
      <c r="A69" s="283" t="s">
        <v>21</v>
      </c>
      <c r="B69" s="295"/>
      <c r="C69" s="332">
        <f>IF(C70*0.1&lt;C68,"Exceed 10% Rule","")</f>
      </c>
      <c r="D69" s="332">
        <f>IF(D70*0.1&lt;D68,"Exceed 10% Rule","")</f>
      </c>
      <c r="E69" s="332">
        <f>IF(E70*0.1&lt;E68,"Exceed 10% Rule","")</f>
      </c>
    </row>
    <row r="70" spans="1:5" ht="15.75">
      <c r="A70" s="169" t="s">
        <v>87</v>
      </c>
      <c r="B70" s="136"/>
      <c r="C70" s="276">
        <f>SUM(C62:C68)</f>
        <v>0</v>
      </c>
      <c r="D70" s="276">
        <f>SUM(D62:D68)</f>
        <v>0</v>
      </c>
      <c r="E70" s="276">
        <f>SUM(E62:E68)</f>
        <v>0</v>
      </c>
    </row>
    <row r="71" spans="1:5" ht="15.75">
      <c r="A71" s="135" t="s">
        <v>195</v>
      </c>
      <c r="B71" s="136"/>
      <c r="C71" s="277">
        <f>C60-C70</f>
        <v>0</v>
      </c>
      <c r="D71" s="237">
        <f>D60-D70</f>
        <v>0</v>
      </c>
      <c r="E71" s="99" t="s">
        <v>53</v>
      </c>
    </row>
    <row r="72" spans="1:6" ht="15.75">
      <c r="A72" s="173" t="str">
        <f>CONCATENATE("",E1-2," Budget Authority Limited Amount:")</f>
        <v>2011 Budget Authority Limited Amount:</v>
      </c>
      <c r="B72" s="304">
        <f>inputOth!B91</f>
        <v>0</v>
      </c>
      <c r="C72" s="36"/>
      <c r="D72" s="56" t="s">
        <v>90</v>
      </c>
      <c r="E72" s="19"/>
      <c r="F72" s="256">
        <f>IF(E70/0.95-E70&lt;E72,"Exceeds 5%","")</f>
      </c>
    </row>
    <row r="73" spans="1:5" ht="15.75">
      <c r="A73" s="173" t="str">
        <f>CONCATENATE("Violation of Budget Law for ",E1-2,":")</f>
        <v>Violation of Budget Law for 2011:</v>
      </c>
      <c r="B73" s="305">
        <f>IF(C70&gt;B72,"Yes","")</f>
      </c>
      <c r="C73" s="36"/>
      <c r="D73" s="56" t="s">
        <v>329</v>
      </c>
      <c r="E73" s="98">
        <f>E70+E72</f>
        <v>0</v>
      </c>
    </row>
    <row r="74" spans="1:5" ht="15.75">
      <c r="A74" s="173" t="str">
        <f>CONCATENATE("Possible Cash Violation for ",E1-2,":")</f>
        <v>Possible Cash Violation for 2011:</v>
      </c>
      <c r="B74" s="305">
        <f>IF(C71&lt;0,"Yes","")</f>
      </c>
      <c r="C74" s="36"/>
      <c r="D74" s="56" t="s">
        <v>91</v>
      </c>
      <c r="E74" s="237">
        <f>IF(E73-E60&gt;0,E73-E60,0)</f>
        <v>0</v>
      </c>
    </row>
    <row r="75" spans="1:5" ht="15.75">
      <c r="A75" s="414" t="s">
        <v>236</v>
      </c>
      <c r="B75" s="415"/>
      <c r="C75" s="415"/>
      <c r="D75" s="171">
        <f>inputOth!E77</f>
        <v>0</v>
      </c>
      <c r="E75" s="98">
        <f>ROUND(IF(D75&gt;0,(E74*D75),0),0)</f>
        <v>0</v>
      </c>
    </row>
    <row r="76" spans="1:5" ht="15.75">
      <c r="A76" s="36"/>
      <c r="B76" s="36"/>
      <c r="C76" s="36"/>
      <c r="D76" s="102" t="str">
        <f>CONCATENATE("Amount of  ",E1-1," Ad Valorem Tax")</f>
        <v>Amount of  2012 Ad Valorem Tax</v>
      </c>
      <c r="E76" s="237">
        <f>E74+E75</f>
        <v>0</v>
      </c>
    </row>
    <row r="77" spans="1:5" ht="15.75">
      <c r="A77" s="56" t="s">
        <v>68</v>
      </c>
      <c r="B77" s="18"/>
      <c r="C77" s="36"/>
      <c r="D77" s="36"/>
      <c r="E77" s="36"/>
    </row>
    <row r="78" spans="1:2" ht="15.75">
      <c r="A78" s="1"/>
      <c r="B78" s="1"/>
    </row>
  </sheetData>
  <sheetProtection sheet="1" objects="1" scenarios="1"/>
  <mergeCells count="2">
    <mergeCell ref="A38:C38"/>
    <mergeCell ref="A75:C75"/>
  </mergeCells>
  <conditionalFormatting sqref="C68">
    <cfRule type="cellIs" priority="1" dxfId="102" operator="greaterThan" stopIfTrue="1">
      <formula>$C$70*0.1</formula>
    </cfRule>
  </conditionalFormatting>
  <conditionalFormatting sqref="D68">
    <cfRule type="cellIs" priority="2" dxfId="102" operator="greaterThan" stopIfTrue="1">
      <formula>$D$70*0.1</formula>
    </cfRule>
  </conditionalFormatting>
  <conditionalFormatting sqref="E68">
    <cfRule type="cellIs" priority="3" dxfId="102" operator="greaterThan" stopIfTrue="1">
      <formula>$E$70*0.1</formula>
    </cfRule>
  </conditionalFormatting>
  <conditionalFormatting sqref="C57">
    <cfRule type="cellIs" priority="4" dxfId="102" operator="greaterThan" stopIfTrue="1">
      <formula>$C$59*0.1</formula>
    </cfRule>
  </conditionalFormatting>
  <conditionalFormatting sqref="D57">
    <cfRule type="cellIs" priority="5" dxfId="102" operator="greaterThan" stopIfTrue="1">
      <formula>$D$59*0.1</formula>
    </cfRule>
  </conditionalFormatting>
  <conditionalFormatting sqref="E57">
    <cfRule type="cellIs" priority="6" dxfId="102" operator="greaterThan" stopIfTrue="1">
      <formula>$E$59*0.1</formula>
    </cfRule>
  </conditionalFormatting>
  <conditionalFormatting sqref="C31">
    <cfRule type="cellIs" priority="7" dxfId="102" operator="greaterThan" stopIfTrue="1">
      <formula>$C$33*0.1</formula>
    </cfRule>
  </conditionalFormatting>
  <conditionalFormatting sqref="D31">
    <cfRule type="cellIs" priority="8" dxfId="102" operator="greaterThan" stopIfTrue="1">
      <formula>$D$33*0.1</formula>
    </cfRule>
  </conditionalFormatting>
  <conditionalFormatting sqref="E31">
    <cfRule type="cellIs" priority="9" dxfId="102" operator="greaterThan" stopIfTrue="1">
      <formula>$E$33*0.1</formula>
    </cfRule>
  </conditionalFormatting>
  <conditionalFormatting sqref="C20">
    <cfRule type="cellIs" priority="10" dxfId="102" operator="greaterThan" stopIfTrue="1">
      <formula>$C$22*0.1</formula>
    </cfRule>
  </conditionalFormatting>
  <conditionalFormatting sqref="D20">
    <cfRule type="cellIs" priority="11" dxfId="102" operator="greaterThan" stopIfTrue="1">
      <formula>$D$22*0.1</formula>
    </cfRule>
  </conditionalFormatting>
  <conditionalFormatting sqref="E20">
    <cfRule type="cellIs" priority="12" dxfId="102" operator="greaterThan" stopIfTrue="1">
      <formula>$E$22*0.1</formula>
    </cfRule>
  </conditionalFormatting>
  <conditionalFormatting sqref="E72">
    <cfRule type="cellIs" priority="13" dxfId="102" operator="greaterThan" stopIfTrue="1">
      <formula>$E$70/0.95-$E$70</formula>
    </cfRule>
  </conditionalFormatting>
  <conditionalFormatting sqref="E35">
    <cfRule type="cellIs" priority="14" dxfId="102" operator="greaterThan" stopIfTrue="1">
      <formula>$E$33/0.95-$E$33</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oddFooter>&amp;Lrevised 8/06/07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7">
      <selection activeCell="E71" sqref="E7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244" t="s">
        <v>293</v>
      </c>
      <c r="B1" s="36"/>
      <c r="C1" s="36"/>
      <c r="D1" s="36"/>
      <c r="E1" s="36"/>
    </row>
    <row r="2" spans="1:5" ht="15.75">
      <c r="A2" s="106" t="s">
        <v>11</v>
      </c>
      <c r="B2" s="36"/>
      <c r="C2" s="36"/>
      <c r="D2" s="36"/>
      <c r="E2" s="36"/>
    </row>
    <row r="3" spans="1:5" ht="15.75">
      <c r="A3" s="106" t="s">
        <v>9</v>
      </c>
      <c r="B3" s="36"/>
      <c r="C3" s="36"/>
      <c r="D3" s="17" t="s">
        <v>364</v>
      </c>
      <c r="E3" s="52"/>
    </row>
    <row r="4" spans="1:5" ht="15.75">
      <c r="A4" s="106" t="s">
        <v>10</v>
      </c>
      <c r="B4" s="36"/>
      <c r="C4" s="36"/>
      <c r="D4" s="130" t="s">
        <v>365</v>
      </c>
      <c r="E4" s="52"/>
    </row>
    <row r="5" spans="1:5" ht="15.75">
      <c r="A5" s="36"/>
      <c r="B5" s="36"/>
      <c r="C5" s="36"/>
      <c r="D5" s="36"/>
      <c r="E5" s="36"/>
    </row>
    <row r="6" spans="1:5" ht="15.75">
      <c r="A6" s="48" t="s">
        <v>294</v>
      </c>
      <c r="B6" s="36"/>
      <c r="C6" s="36"/>
      <c r="D6" s="14" t="s">
        <v>366</v>
      </c>
      <c r="E6" s="36"/>
    </row>
    <row r="7" spans="1:5" ht="15.75">
      <c r="A7" s="48" t="s">
        <v>295</v>
      </c>
      <c r="B7" s="36"/>
      <c r="C7" s="36"/>
      <c r="D7" s="162"/>
      <c r="E7" s="36"/>
    </row>
    <row r="8" spans="1:5" ht="15.75">
      <c r="A8" s="36"/>
      <c r="B8" s="36"/>
      <c r="C8" s="36"/>
      <c r="D8" s="36"/>
      <c r="E8" s="36"/>
    </row>
    <row r="9" spans="1:5" ht="15.75">
      <c r="A9" s="48" t="s">
        <v>226</v>
      </c>
      <c r="B9" s="36"/>
      <c r="C9" s="36"/>
      <c r="D9" s="245">
        <v>2013</v>
      </c>
      <c r="E9" s="36"/>
    </row>
    <row r="10" spans="1:5" ht="15.75">
      <c r="A10" s="36"/>
      <c r="B10" s="36"/>
      <c r="C10" s="36"/>
      <c r="D10" s="36"/>
      <c r="E10" s="36"/>
    </row>
    <row r="11" spans="1:5" ht="15.75">
      <c r="A11" s="160" t="s">
        <v>228</v>
      </c>
      <c r="B11" s="161"/>
      <c r="C11" s="161"/>
      <c r="D11" s="161"/>
      <c r="E11" s="161"/>
    </row>
    <row r="12" spans="1:5" ht="15.75">
      <c r="A12" s="160" t="s">
        <v>316</v>
      </c>
      <c r="B12" s="161"/>
      <c r="C12" s="161"/>
      <c r="D12" s="161"/>
      <c r="E12" s="161"/>
    </row>
    <row r="13" spans="1:5" ht="15.75">
      <c r="A13" s="36"/>
      <c r="B13" s="36"/>
      <c r="C13" s="36"/>
      <c r="D13" s="36"/>
      <c r="E13" s="36"/>
    </row>
    <row r="14" spans="1:5" ht="15.75">
      <c r="A14" s="370" t="s">
        <v>241</v>
      </c>
      <c r="B14" s="371"/>
      <c r="C14" s="371"/>
      <c r="D14" s="371"/>
      <c r="E14" s="371"/>
    </row>
    <row r="15" spans="1:5" ht="15.75">
      <c r="A15" s="106"/>
      <c r="B15" s="36"/>
      <c r="C15" s="36"/>
      <c r="D15" s="36"/>
      <c r="E15" s="36"/>
    </row>
    <row r="16" spans="1:5" ht="15.75">
      <c r="A16" s="134" t="s">
        <v>227</v>
      </c>
      <c r="B16" s="132"/>
      <c r="C16" s="36"/>
      <c r="D16" s="40"/>
      <c r="E16" s="179"/>
    </row>
    <row r="17" spans="1:5" ht="15.75">
      <c r="A17" s="158" t="str">
        <f>CONCATENATE("the ",D9-1," Budget, Certificate Page:")</f>
        <v>the 2012 Budget, Certificate Page:</v>
      </c>
      <c r="B17" s="159"/>
      <c r="C17" s="40"/>
      <c r="D17" s="368" t="str">
        <f>CONCATENATE("Actual Amount of      ",D9-2," Levy")</f>
        <v>Actual Amount of      2011 Levy</v>
      </c>
      <c r="E17" s="40"/>
    </row>
    <row r="18" spans="1:5" ht="15.75">
      <c r="A18" s="39" t="s">
        <v>34</v>
      </c>
      <c r="B18" s="36"/>
      <c r="C18" s="178" t="s">
        <v>33</v>
      </c>
      <c r="D18" s="369"/>
      <c r="E18" s="125"/>
    </row>
    <row r="19" spans="1:5" ht="15.75">
      <c r="A19" s="36"/>
      <c r="B19" s="96" t="s">
        <v>35</v>
      </c>
      <c r="C19" s="150" t="s">
        <v>36</v>
      </c>
      <c r="D19" s="8">
        <v>16917</v>
      </c>
      <c r="E19" s="180"/>
    </row>
    <row r="20" spans="1:5" ht="15.75">
      <c r="A20" s="36"/>
      <c r="B20" s="96" t="s">
        <v>234</v>
      </c>
      <c r="C20" s="150" t="s">
        <v>233</v>
      </c>
      <c r="D20" s="8"/>
      <c r="E20" s="180"/>
    </row>
    <row r="21" spans="1:5" ht="15.75">
      <c r="A21" s="36"/>
      <c r="B21" s="96" t="s">
        <v>37</v>
      </c>
      <c r="C21" s="308" t="s">
        <v>12</v>
      </c>
      <c r="D21" s="8"/>
      <c r="E21" s="180"/>
    </row>
    <row r="22" spans="1:5" ht="15.75">
      <c r="A22" s="36"/>
      <c r="B22" s="96" t="s">
        <v>338</v>
      </c>
      <c r="C22" s="79" t="s">
        <v>339</v>
      </c>
      <c r="D22" s="8"/>
      <c r="E22" s="180"/>
    </row>
    <row r="23" spans="1:5" ht="15.75">
      <c r="A23" s="36"/>
      <c r="B23" s="10"/>
      <c r="C23" s="157"/>
      <c r="D23" s="8"/>
      <c r="E23" s="180"/>
    </row>
    <row r="24" spans="1:5" ht="15.75">
      <c r="A24" s="36"/>
      <c r="B24" s="10"/>
      <c r="C24" s="157"/>
      <c r="D24" s="8"/>
      <c r="E24" s="180"/>
    </row>
    <row r="25" spans="1:5" ht="15.75">
      <c r="A25" s="36"/>
      <c r="B25" s="10"/>
      <c r="C25" s="157"/>
      <c r="D25" s="8"/>
      <c r="E25" s="180"/>
    </row>
    <row r="26" spans="1:5" ht="15.75">
      <c r="A26" s="36"/>
      <c r="B26" s="10"/>
      <c r="C26" s="157"/>
      <c r="D26" s="8"/>
      <c r="E26" s="180"/>
    </row>
    <row r="27" spans="1:5" ht="15.75">
      <c r="A27" s="36"/>
      <c r="B27" s="10"/>
      <c r="C27" s="157"/>
      <c r="D27" s="8"/>
      <c r="E27" s="180"/>
    </row>
    <row r="28" spans="1:5" ht="15.75">
      <c r="A28" s="36"/>
      <c r="B28" s="10"/>
      <c r="C28" s="157"/>
      <c r="D28" s="8"/>
      <c r="E28" s="180"/>
    </row>
    <row r="29" spans="1:5" ht="15.75">
      <c r="A29" s="36"/>
      <c r="B29" s="10"/>
      <c r="C29" s="157"/>
      <c r="D29" s="8"/>
      <c r="E29" s="180"/>
    </row>
    <row r="30" spans="1:5" ht="15.75">
      <c r="A30" s="182" t="str">
        <f>CONCATENATE("Total Tax for ",D9-1,"")</f>
        <v>Total Tax for 2012</v>
      </c>
      <c r="B30" s="118"/>
      <c r="C30" s="136"/>
      <c r="D30" s="239">
        <f>SUM(D19:D29)</f>
        <v>16917</v>
      </c>
      <c r="E30" s="180"/>
    </row>
    <row r="31" spans="1:5" ht="15.75">
      <c r="A31" s="52"/>
      <c r="B31" s="52"/>
      <c r="C31" s="52"/>
      <c r="D31" s="129"/>
      <c r="E31" s="180"/>
    </row>
    <row r="32" spans="1:5" ht="15.75">
      <c r="A32" s="36" t="s">
        <v>222</v>
      </c>
      <c r="B32" s="36"/>
      <c r="C32" s="36"/>
      <c r="D32" s="36"/>
      <c r="E32" s="36"/>
    </row>
    <row r="33" spans="1:5" ht="15.75">
      <c r="A33" s="36"/>
      <c r="B33" s="214"/>
      <c r="C33" s="36"/>
      <c r="D33" s="36"/>
      <c r="E33" s="52"/>
    </row>
    <row r="34" spans="1:5" ht="15.75">
      <c r="A34" s="36"/>
      <c r="B34" s="214"/>
      <c r="C34" s="36"/>
      <c r="D34" s="36"/>
      <c r="E34" s="52"/>
    </row>
    <row r="35" spans="1:5" ht="15.75">
      <c r="A35" s="36"/>
      <c r="B35" s="214"/>
      <c r="C35" s="36"/>
      <c r="D35" s="36"/>
      <c r="E35" s="36"/>
    </row>
    <row r="36" spans="1:5" ht="15.75">
      <c r="A36" s="36"/>
      <c r="B36" s="214"/>
      <c r="C36" s="36"/>
      <c r="D36" s="36"/>
      <c r="E36" s="36"/>
    </row>
    <row r="37" spans="1:5" ht="15.75">
      <c r="A37" s="36"/>
      <c r="B37" s="36"/>
      <c r="C37" s="36"/>
      <c r="D37" s="36"/>
      <c r="E37" s="36"/>
    </row>
    <row r="38" spans="1:5" ht="15.75" customHeight="1">
      <c r="A38" s="134" t="s">
        <v>227</v>
      </c>
      <c r="B38" s="132"/>
      <c r="C38" s="36"/>
      <c r="D38" s="366" t="str">
        <f>CONCATENATE("",D9-3," Tax Levy Rate (",D9-2," Column)")</f>
        <v>2010 Tax Levy Rate (2011 Column)</v>
      </c>
      <c r="E38" s="36"/>
    </row>
    <row r="39" spans="1:5" ht="15.75">
      <c r="A39" s="158" t="str">
        <f>CONCATENATE("the ",D9-1," Budget, Budget Summary Page:")</f>
        <v>the 2012 Budget, Budget Summary Page:</v>
      </c>
      <c r="B39" s="185"/>
      <c r="C39" s="36"/>
      <c r="D39" s="367"/>
      <c r="E39" s="36"/>
    </row>
    <row r="40" spans="1:5" ht="15.75">
      <c r="A40" s="36"/>
      <c r="B40" s="34" t="str">
        <f>B19</f>
        <v>General</v>
      </c>
      <c r="C40" s="36"/>
      <c r="D40" s="181">
        <v>6.858</v>
      </c>
      <c r="E40" s="36"/>
    </row>
    <row r="41" spans="1:5" ht="15.75">
      <c r="A41" s="36"/>
      <c r="B41" s="34" t="str">
        <f>B20</f>
        <v>Bond &amp; Interest</v>
      </c>
      <c r="C41" s="36"/>
      <c r="D41" s="9"/>
      <c r="E41" s="36"/>
    </row>
    <row r="42" spans="1:5" ht="15.75">
      <c r="A42" s="36"/>
      <c r="B42" s="34" t="str">
        <f aca="true" t="shared" si="0" ref="B42:B50">B21</f>
        <v>Road</v>
      </c>
      <c r="C42" s="36"/>
      <c r="D42" s="9"/>
      <c r="E42" s="36"/>
    </row>
    <row r="43" spans="1:5" ht="15.75">
      <c r="A43" s="36"/>
      <c r="B43" s="96" t="str">
        <f t="shared" si="0"/>
        <v>Noxious Weed</v>
      </c>
      <c r="C43" s="36"/>
      <c r="D43" s="9"/>
      <c r="E43" s="36"/>
    </row>
    <row r="44" spans="1:5" ht="15.75">
      <c r="A44" s="36"/>
      <c r="B44" s="96">
        <f t="shared" si="0"/>
        <v>0</v>
      </c>
      <c r="C44" s="36"/>
      <c r="D44" s="9"/>
      <c r="E44" s="36"/>
    </row>
    <row r="45" spans="1:5" ht="15.75">
      <c r="A45" s="36"/>
      <c r="B45" s="96">
        <f t="shared" si="0"/>
        <v>0</v>
      </c>
      <c r="C45" s="36"/>
      <c r="D45" s="9"/>
      <c r="E45" s="36"/>
    </row>
    <row r="46" spans="1:5" ht="15.75">
      <c r="A46" s="36"/>
      <c r="B46" s="96">
        <f t="shared" si="0"/>
        <v>0</v>
      </c>
      <c r="C46" s="36"/>
      <c r="D46" s="9"/>
      <c r="E46" s="36"/>
    </row>
    <row r="47" spans="1:5" ht="15.75">
      <c r="A47" s="36"/>
      <c r="B47" s="96">
        <f t="shared" si="0"/>
        <v>0</v>
      </c>
      <c r="C47" s="36"/>
      <c r="D47" s="9"/>
      <c r="E47" s="36"/>
    </row>
    <row r="48" spans="1:5" ht="15.75">
      <c r="A48" s="36"/>
      <c r="B48" s="96">
        <f t="shared" si="0"/>
        <v>0</v>
      </c>
      <c r="C48" s="36"/>
      <c r="D48" s="9"/>
      <c r="E48" s="36"/>
    </row>
    <row r="49" spans="1:5" ht="15.75">
      <c r="A49" s="36"/>
      <c r="B49" s="96">
        <f t="shared" si="0"/>
        <v>0</v>
      </c>
      <c r="C49" s="36"/>
      <c r="D49" s="9"/>
      <c r="E49" s="36"/>
    </row>
    <row r="50" spans="1:5" ht="15.75">
      <c r="A50" s="36"/>
      <c r="B50" s="96">
        <f t="shared" si="0"/>
        <v>0</v>
      </c>
      <c r="C50" s="36"/>
      <c r="D50" s="9"/>
      <c r="E50" s="36"/>
    </row>
    <row r="51" spans="1:5" ht="16.5" thickBot="1">
      <c r="A51" s="107" t="str">
        <f>CONCATENATE("Total ",D9-3," Tax Levy Rate")</f>
        <v>Total 2010 Tax Levy Rate</v>
      </c>
      <c r="B51" s="201"/>
      <c r="C51" s="124"/>
      <c r="D51" s="241">
        <f>SUM(D40:D50)</f>
        <v>6.858</v>
      </c>
      <c r="E51" s="36"/>
    </row>
    <row r="52" spans="1:5" ht="16.5" thickTop="1">
      <c r="A52" s="36"/>
      <c r="B52" s="36"/>
      <c r="C52" s="36"/>
      <c r="D52" s="36"/>
      <c r="E52" s="36"/>
    </row>
    <row r="53" spans="1:5" ht="15.75">
      <c r="A53" s="183" t="str">
        <f>CONCATENATE("Total Levy Dollar Amount (",D9-2," budget column)")</f>
        <v>Total Levy Dollar Amount (2011 budget column)</v>
      </c>
      <c r="B53" s="132"/>
      <c r="C53" s="52"/>
      <c r="D53" s="52"/>
      <c r="E53" s="12">
        <v>16573</v>
      </c>
    </row>
    <row r="54" spans="1:5" ht="15.75">
      <c r="A54" s="183" t="str">
        <f>CONCATENATE("Assessed Valuation for ",D9-3,"(",D9-2," budget column):")</f>
        <v>Assessed Valuation for 2010(2011 budget column):</v>
      </c>
      <c r="B54" s="132"/>
      <c r="C54" s="36"/>
      <c r="D54" s="36"/>
      <c r="E54" s="12">
        <v>2433945</v>
      </c>
    </row>
    <row r="55" spans="1:5" ht="15.75">
      <c r="A55" s="36"/>
      <c r="B55" s="36"/>
      <c r="C55" s="36"/>
      <c r="D55" s="36"/>
      <c r="E55" s="45"/>
    </row>
    <row r="56" spans="1:5" ht="15.75">
      <c r="A56" s="132" t="s">
        <v>317</v>
      </c>
      <c r="B56" s="132"/>
      <c r="C56" s="133"/>
      <c r="D56" s="195">
        <f>D9-3</f>
        <v>2010</v>
      </c>
      <c r="E56" s="195">
        <f>D9-2</f>
        <v>2011</v>
      </c>
    </row>
    <row r="57" spans="1:5" ht="15.75">
      <c r="A57" s="196" t="s">
        <v>248</v>
      </c>
      <c r="B57" s="196"/>
      <c r="C57" s="197"/>
      <c r="D57" s="31">
        <v>0</v>
      </c>
      <c r="E57" s="31">
        <v>0</v>
      </c>
    </row>
    <row r="58" spans="1:5" ht="15.75">
      <c r="A58" s="198" t="s">
        <v>311</v>
      </c>
      <c r="B58" s="198"/>
      <c r="C58" s="199"/>
      <c r="D58" s="31">
        <v>0</v>
      </c>
      <c r="E58" s="31">
        <v>0</v>
      </c>
    </row>
    <row r="59" spans="1:5" ht="15.75">
      <c r="A59" s="198" t="s">
        <v>249</v>
      </c>
      <c r="B59" s="198"/>
      <c r="C59" s="199"/>
      <c r="D59" s="31">
        <v>0</v>
      </c>
      <c r="E59" s="31">
        <v>0</v>
      </c>
    </row>
    <row r="60" spans="1:5" ht="15.75">
      <c r="A60" s="198"/>
      <c r="B60" s="198"/>
      <c r="C60" s="200"/>
      <c r="D60" s="31"/>
      <c r="E60" s="31"/>
    </row>
    <row r="61" spans="1:5" ht="15.75">
      <c r="A61"/>
      <c r="B61"/>
      <c r="C61"/>
      <c r="D61"/>
      <c r="E61"/>
    </row>
    <row r="62" spans="1:5" ht="15.75">
      <c r="A62"/>
      <c r="B62"/>
      <c r="C62"/>
      <c r="D62"/>
      <c r="E62"/>
    </row>
    <row r="63" spans="1:5" ht="15.75">
      <c r="A63"/>
      <c r="B63"/>
      <c r="C63"/>
      <c r="D63"/>
      <c r="E63"/>
    </row>
    <row r="64" spans="1:5" ht="15.75">
      <c r="A64"/>
      <c r="B64"/>
      <c r="C64"/>
      <c r="D64"/>
      <c r="E64"/>
    </row>
    <row r="65" spans="1:5" ht="15.75">
      <c r="A65"/>
      <c r="B65"/>
      <c r="C65"/>
      <c r="D65"/>
      <c r="E65"/>
    </row>
    <row r="66" spans="1:5" ht="15.75">
      <c r="A66"/>
      <c r="B66"/>
      <c r="C66"/>
      <c r="D66"/>
      <c r="E66"/>
    </row>
    <row r="67" spans="1:5" ht="15.75">
      <c r="A67"/>
      <c r="B67"/>
      <c r="C67"/>
      <c r="D67"/>
      <c r="E67"/>
    </row>
    <row r="68" spans="1:5" ht="15.75">
      <c r="A68"/>
      <c r="B68"/>
      <c r="C68"/>
      <c r="D68"/>
      <c r="E68"/>
    </row>
    <row r="69" spans="1:5" ht="15.75">
      <c r="A69"/>
      <c r="B69"/>
      <c r="C69"/>
      <c r="D69"/>
      <c r="E69"/>
    </row>
    <row r="70" spans="1:5" ht="15.75">
      <c r="A70"/>
      <c r="B70"/>
      <c r="C70"/>
      <c r="D70"/>
      <c r="E70"/>
    </row>
    <row r="71" spans="1:5" s="25" customFormat="1"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ht="15.75">
      <c r="A79"/>
      <c r="B79"/>
      <c r="C79"/>
      <c r="D79"/>
      <c r="E79"/>
    </row>
    <row r="80" spans="1:5" ht="15.75">
      <c r="A80"/>
      <c r="B80"/>
      <c r="C80"/>
      <c r="D80"/>
      <c r="E80"/>
    </row>
    <row r="81" spans="1:7" s="1" customFormat="1" ht="15.75">
      <c r="A81"/>
      <c r="B81"/>
      <c r="C81"/>
      <c r="D81"/>
      <c r="E81"/>
      <c r="G81" s="5"/>
    </row>
    <row r="82" spans="1:7" s="1" customFormat="1" ht="15.75">
      <c r="A82"/>
      <c r="B82"/>
      <c r="C82"/>
      <c r="D82"/>
      <c r="E82"/>
      <c r="G82" s="5"/>
    </row>
    <row r="83" spans="1:5" ht="15.75">
      <c r="A83"/>
      <c r="B83"/>
      <c r="C83"/>
      <c r="D83"/>
      <c r="E83"/>
    </row>
  </sheetData>
  <sheetProtection/>
  <mergeCells count="3">
    <mergeCell ref="D38:D39"/>
    <mergeCell ref="D17:D18"/>
    <mergeCell ref="A14:E14"/>
  </mergeCells>
  <printOptions/>
  <pageMargins left="0.3" right="0.3" top="0.5" bottom="0.5" header="0.3" footer="0.3"/>
  <pageSetup blackAndWhite="1" fitToHeight="2" fitToWidth="1" horizontalDpi="300" verticalDpi="300" orientation="portrait" r:id="rId1"/>
  <headerFooter alignWithMargins="0">
    <oddFooter>&amp;Lrevised 8/06/07</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B1">
      <selection activeCell="E67" sqref="E67"/>
    </sheetView>
  </sheetViews>
  <sheetFormatPr defaultColWidth="8.796875" defaultRowHeight="15.75"/>
  <cols>
    <col min="1" max="1" width="27.5" style="5" customWidth="1"/>
    <col min="2" max="2" width="9.5" style="5" customWidth="1"/>
    <col min="3" max="3" width="13.3984375" style="5" customWidth="1"/>
    <col min="4" max="5" width="12.69921875" style="5" customWidth="1"/>
    <col min="6" max="16384" width="8.796875" style="5" customWidth="1"/>
  </cols>
  <sheetData>
    <row r="1" spans="1:5" ht="15.75">
      <c r="A1" s="41" t="str">
        <f>inputPrYr!D3</f>
        <v>Hackberry Township</v>
      </c>
      <c r="B1" s="39" t="s">
        <v>102</v>
      </c>
      <c r="C1" s="36"/>
      <c r="D1" s="36"/>
      <c r="E1" s="152">
        <f>inputPrYr!D9</f>
        <v>2013</v>
      </c>
    </row>
    <row r="2" spans="1:5" ht="15.75">
      <c r="A2" s="48" t="s">
        <v>143</v>
      </c>
      <c r="B2" s="36"/>
      <c r="C2" s="36"/>
      <c r="D2" s="66"/>
      <c r="E2" s="103"/>
    </row>
    <row r="3" spans="1:5" ht="15.75">
      <c r="A3" s="36"/>
      <c r="B3" s="104"/>
      <c r="C3" s="38"/>
      <c r="D3" s="38"/>
      <c r="E3" s="38"/>
    </row>
    <row r="4" spans="1:5" ht="15.75">
      <c r="A4" s="39" t="s">
        <v>69</v>
      </c>
      <c r="B4" s="52"/>
      <c r="C4" s="105" t="s">
        <v>70</v>
      </c>
      <c r="D4" s="61" t="s">
        <v>71</v>
      </c>
      <c r="E4" s="61" t="s">
        <v>72</v>
      </c>
    </row>
    <row r="5" spans="1:5" ht="15.75">
      <c r="A5" s="129">
        <f>inputPrYr!B28</f>
        <v>0</v>
      </c>
      <c r="B5" s="282"/>
      <c r="C5" s="63" t="str">
        <f>gen!C5</f>
        <v>Actual 2011</v>
      </c>
      <c r="D5" s="63" t="str">
        <f>gen!D5</f>
        <v>Estimate 2012</v>
      </c>
      <c r="E5" s="63" t="str">
        <f>gen!E5</f>
        <v>Year 2013</v>
      </c>
    </row>
    <row r="6" spans="1:5" ht="15.75">
      <c r="A6" s="135" t="s">
        <v>193</v>
      </c>
      <c r="B6" s="136"/>
      <c r="C6" s="274"/>
      <c r="D6" s="98">
        <f>C34</f>
        <v>0</v>
      </c>
      <c r="E6" s="98">
        <f>D34</f>
        <v>0</v>
      </c>
    </row>
    <row r="7" spans="1:5" ht="15.75">
      <c r="A7" s="149" t="s">
        <v>192</v>
      </c>
      <c r="B7" s="288" t="s">
        <v>330</v>
      </c>
      <c r="C7" s="274"/>
      <c r="D7" s="98">
        <f>-C15</f>
        <v>0</v>
      </c>
      <c r="E7" s="99" t="s">
        <v>53</v>
      </c>
    </row>
    <row r="8" spans="1:5" ht="15.75">
      <c r="A8" s="135" t="s">
        <v>196</v>
      </c>
      <c r="B8" s="136"/>
      <c r="C8" s="191"/>
      <c r="D8" s="98"/>
      <c r="E8" s="99"/>
    </row>
    <row r="9" spans="1:5" ht="15.75">
      <c r="A9" s="135" t="s">
        <v>76</v>
      </c>
      <c r="B9" s="136"/>
      <c r="C9" s="274"/>
      <c r="D9" s="98">
        <f>inputPrYr!D28</f>
        <v>0</v>
      </c>
      <c r="E9" s="99" t="s">
        <v>53</v>
      </c>
    </row>
    <row r="10" spans="1:5" ht="15.75">
      <c r="A10" s="135" t="s">
        <v>77</v>
      </c>
      <c r="B10" s="136"/>
      <c r="C10" s="274"/>
      <c r="D10" s="19"/>
      <c r="E10" s="19"/>
    </row>
    <row r="11" spans="1:5" ht="15.75">
      <c r="A11" s="135" t="s">
        <v>78</v>
      </c>
      <c r="B11" s="136"/>
      <c r="C11" s="274"/>
      <c r="D11" s="19"/>
      <c r="E11" s="98">
        <f>mvalloc!G21</f>
        <v>0</v>
      </c>
    </row>
    <row r="12" spans="1:5" ht="15.75">
      <c r="A12" s="135" t="s">
        <v>79</v>
      </c>
      <c r="B12" s="136"/>
      <c r="C12" s="274"/>
      <c r="D12" s="19"/>
      <c r="E12" s="98">
        <f>mvalloc!I21</f>
        <v>0</v>
      </c>
    </row>
    <row r="13" spans="1:5" ht="15.75">
      <c r="A13" s="135" t="s">
        <v>173</v>
      </c>
      <c r="B13" s="136"/>
      <c r="C13" s="274"/>
      <c r="D13" s="19"/>
      <c r="E13" s="98">
        <f>mvalloc!J21</f>
        <v>0</v>
      </c>
    </row>
    <row r="14" spans="1:5" ht="15.75">
      <c r="A14" s="135" t="s">
        <v>245</v>
      </c>
      <c r="B14" s="136"/>
      <c r="C14" s="274"/>
      <c r="D14" s="19"/>
      <c r="E14" s="98">
        <f>mvalloc!K21</f>
        <v>0</v>
      </c>
    </row>
    <row r="15" spans="1:5" ht="15.75">
      <c r="A15" s="135" t="s">
        <v>194</v>
      </c>
      <c r="B15" s="288" t="s">
        <v>331</v>
      </c>
      <c r="C15" s="274"/>
      <c r="D15" s="156" t="s">
        <v>206</v>
      </c>
      <c r="E15" s="98" t="s">
        <v>206</v>
      </c>
    </row>
    <row r="16" spans="1:5" ht="15.75">
      <c r="A16" s="272"/>
      <c r="B16" s="287"/>
      <c r="C16" s="274"/>
      <c r="D16" s="19"/>
      <c r="E16" s="19"/>
    </row>
    <row r="17" spans="1:5" ht="15.75">
      <c r="A17" s="272"/>
      <c r="B17" s="287"/>
      <c r="C17" s="274"/>
      <c r="D17" s="19"/>
      <c r="E17" s="19"/>
    </row>
    <row r="18" spans="1:5" ht="15.75">
      <c r="A18" s="284"/>
      <c r="B18" s="287"/>
      <c r="C18" s="274"/>
      <c r="D18" s="19"/>
      <c r="E18" s="19"/>
    </row>
    <row r="19" spans="1:5" ht="15.75">
      <c r="A19" s="284" t="s">
        <v>83</v>
      </c>
      <c r="B19" s="287"/>
      <c r="C19" s="274"/>
      <c r="D19" s="19"/>
      <c r="E19" s="19"/>
    </row>
    <row r="20" spans="1:5" ht="15.75">
      <c r="A20" s="331" t="s">
        <v>18</v>
      </c>
      <c r="B20" s="295"/>
      <c r="C20" s="274"/>
      <c r="D20" s="274"/>
      <c r="E20" s="274"/>
    </row>
    <row r="21" spans="1:5" ht="15.75">
      <c r="A21" s="331" t="s">
        <v>19</v>
      </c>
      <c r="B21" s="295"/>
      <c r="C21" s="332">
        <f>IF(C22*0.1&lt;C20,"Exceed 10% Rule","")</f>
      </c>
      <c r="D21" s="332">
        <f>IF(D22*0.1&lt;D20,"Exceed 10% Rule","")</f>
      </c>
      <c r="E21" s="332">
        <f>IF(E22*0.1&lt;E20,"Exceed 10% Rule","")</f>
      </c>
    </row>
    <row r="22" spans="1:5" ht="15.75">
      <c r="A22" s="285" t="s">
        <v>84</v>
      </c>
      <c r="B22" s="136"/>
      <c r="C22" s="276">
        <f>SUM(C9:C20)</f>
        <v>0</v>
      </c>
      <c r="D22" s="250">
        <f>SUM(D9:D20)</f>
        <v>0</v>
      </c>
      <c r="E22" s="250">
        <f>SUM(E9:E20)</f>
        <v>0</v>
      </c>
    </row>
    <row r="23" spans="1:5" ht="15.75">
      <c r="A23" s="169" t="s">
        <v>85</v>
      </c>
      <c r="B23" s="136"/>
      <c r="C23" s="276">
        <f>C22+C6+C7</f>
        <v>0</v>
      </c>
      <c r="D23" s="250">
        <f>D22+D6+D7</f>
        <v>0</v>
      </c>
      <c r="E23" s="250">
        <f>E22+E6</f>
        <v>0</v>
      </c>
    </row>
    <row r="24" spans="1:5" ht="15.75">
      <c r="A24" s="135" t="s">
        <v>86</v>
      </c>
      <c r="B24" s="136"/>
      <c r="C24" s="191"/>
      <c r="D24" s="98"/>
      <c r="E24" s="98"/>
    </row>
    <row r="25" spans="1:5" ht="15.75">
      <c r="A25" s="284" t="s">
        <v>202</v>
      </c>
      <c r="B25" s="287"/>
      <c r="C25" s="274"/>
      <c r="D25" s="19"/>
      <c r="E25" s="19"/>
    </row>
    <row r="26" spans="1:5" ht="15.75">
      <c r="A26" s="284" t="s">
        <v>176</v>
      </c>
      <c r="B26" s="287"/>
      <c r="C26" s="274"/>
      <c r="D26" s="19"/>
      <c r="E26" s="19"/>
    </row>
    <row r="27" spans="1:5" ht="15.75">
      <c r="A27" s="286"/>
      <c r="B27" s="287"/>
      <c r="C27" s="274"/>
      <c r="D27" s="19"/>
      <c r="E27" s="19"/>
    </row>
    <row r="28" spans="1:5" ht="15.75">
      <c r="A28" s="284"/>
      <c r="B28" s="287"/>
      <c r="C28" s="274"/>
      <c r="D28" s="19"/>
      <c r="E28" s="19"/>
    </row>
    <row r="29" spans="1:5" ht="15.75">
      <c r="A29" s="284"/>
      <c r="B29" s="287"/>
      <c r="C29" s="274"/>
      <c r="D29" s="19"/>
      <c r="E29" s="19"/>
    </row>
    <row r="30" spans="1:5" ht="15.75">
      <c r="A30" s="283" t="s">
        <v>20</v>
      </c>
      <c r="B30" s="295"/>
      <c r="C30" s="274"/>
      <c r="D30" s="19"/>
      <c r="E30" s="237">
        <f>nhood!E15</f>
      </c>
    </row>
    <row r="31" spans="1:5" ht="15.75">
      <c r="A31" s="283" t="s">
        <v>18</v>
      </c>
      <c r="B31" s="295"/>
      <c r="C31" s="274"/>
      <c r="D31" s="274"/>
      <c r="E31" s="274"/>
    </row>
    <row r="32" spans="1:5" ht="15.75">
      <c r="A32" s="283" t="s">
        <v>21</v>
      </c>
      <c r="B32" s="295"/>
      <c r="C32" s="332">
        <f>IF(C33*0.1&lt;C31,"Exceed 10% Rule","")</f>
      </c>
      <c r="D32" s="332">
        <f>IF(D33*0.1&lt;D31,"Exceed 10% Rule","")</f>
      </c>
      <c r="E32" s="332">
        <f>IF(E33*0.1&lt;E31,"Exceed 10% Rule","")</f>
      </c>
    </row>
    <row r="33" spans="1:5" ht="15.75">
      <c r="A33" s="169" t="s">
        <v>87</v>
      </c>
      <c r="B33" s="136"/>
      <c r="C33" s="276">
        <f>SUM(C25:C31)</f>
        <v>0</v>
      </c>
      <c r="D33" s="276">
        <f>SUM(D25:D31)</f>
        <v>0</v>
      </c>
      <c r="E33" s="276">
        <f>SUM(E25:E31)</f>
        <v>0</v>
      </c>
    </row>
    <row r="34" spans="1:5" ht="15.75">
      <c r="A34" s="135" t="s">
        <v>195</v>
      </c>
      <c r="B34" s="136"/>
      <c r="C34" s="277">
        <f>C23-C33</f>
        <v>0</v>
      </c>
      <c r="D34" s="237">
        <f>D23-D33</f>
        <v>0</v>
      </c>
      <c r="E34" s="99" t="s">
        <v>53</v>
      </c>
    </row>
    <row r="35" spans="1:6" ht="15.75">
      <c r="A35" s="173" t="str">
        <f>CONCATENATE("",E1-2," Budget Authority Limited Amount:")</f>
        <v>2011 Budget Authority Limited Amount:</v>
      </c>
      <c r="B35" s="304">
        <f>inputOth!B92</f>
        <v>0</v>
      </c>
      <c r="C35" s="36"/>
      <c r="D35" s="56" t="s">
        <v>90</v>
      </c>
      <c r="E35" s="19"/>
      <c r="F35" s="256">
        <f>IF(E33/0.95-E33&lt;E35,"Exceeds 5%","")</f>
      </c>
    </row>
    <row r="36" spans="1:5" ht="15.75">
      <c r="A36" s="173" t="str">
        <f>CONCATENATE("Violation of Budget Law for ",E1-2,":")</f>
        <v>Violation of Budget Law for 2011:</v>
      </c>
      <c r="B36" s="305">
        <f>IF(C33&gt;B35,"Yes","")</f>
      </c>
      <c r="C36" s="36"/>
      <c r="D36" s="56" t="s">
        <v>329</v>
      </c>
      <c r="E36" s="98">
        <f>E33+E35</f>
        <v>0</v>
      </c>
    </row>
    <row r="37" spans="1:5" ht="15.75">
      <c r="A37" s="173" t="str">
        <f>CONCATENATE("Possible Cash Violation for ",E1-2,":")</f>
        <v>Possible Cash Violation for 2011:</v>
      </c>
      <c r="B37" s="305">
        <f>IF(C34&lt;0,"Yes","")</f>
      </c>
      <c r="C37" s="36"/>
      <c r="D37" s="56" t="s">
        <v>91</v>
      </c>
      <c r="E37" s="237">
        <f>IF(E36-E23&gt;0,E36-E23,0)</f>
        <v>0</v>
      </c>
    </row>
    <row r="38" spans="1:5" ht="15.75">
      <c r="A38" s="414" t="s">
        <v>236</v>
      </c>
      <c r="B38" s="415"/>
      <c r="C38" s="415"/>
      <c r="D38" s="171">
        <f>inputOth!E77</f>
        <v>0</v>
      </c>
      <c r="E38" s="98">
        <f>ROUND(IF(D38&gt;0,(E37*D38),0),0)</f>
        <v>0</v>
      </c>
    </row>
    <row r="39" spans="1:5" ht="15.75">
      <c r="A39" s="36"/>
      <c r="B39" s="36"/>
      <c r="C39" s="36"/>
      <c r="D39" s="102" t="str">
        <f>CONCATENATE("Amount of  ",E1-1," Ad Valorem Tax")</f>
        <v>Amount of  2012 Ad Valorem Tax</v>
      </c>
      <c r="E39" s="237">
        <f>E37+E38</f>
        <v>0</v>
      </c>
    </row>
    <row r="40" spans="1:5" ht="15.75">
      <c r="A40" s="39" t="s">
        <v>69</v>
      </c>
      <c r="B40" s="104"/>
      <c r="C40" s="38"/>
      <c r="D40" s="38"/>
      <c r="E40" s="38"/>
    </row>
    <row r="41" spans="1:5" ht="15.75">
      <c r="A41" s="36"/>
      <c r="B41" s="52"/>
      <c r="C41" s="105" t="s">
        <v>70</v>
      </c>
      <c r="D41" s="61" t="s">
        <v>71</v>
      </c>
      <c r="E41" s="61" t="s">
        <v>72</v>
      </c>
    </row>
    <row r="42" spans="1:5" ht="15.75">
      <c r="A42" s="64">
        <f>inputPrYr!B29</f>
        <v>0</v>
      </c>
      <c r="B42" s="282"/>
      <c r="C42" s="63" t="str">
        <f>C5</f>
        <v>Actual 2011</v>
      </c>
      <c r="D42" s="63" t="str">
        <f>D5</f>
        <v>Estimate 2012</v>
      </c>
      <c r="E42" s="63" t="str">
        <f>E5</f>
        <v>Year 2013</v>
      </c>
    </row>
    <row r="43" spans="1:5" ht="15.75">
      <c r="A43" s="135" t="s">
        <v>193</v>
      </c>
      <c r="B43" s="136"/>
      <c r="C43" s="274"/>
      <c r="D43" s="98">
        <f>C71</f>
        <v>0</v>
      </c>
      <c r="E43" s="98">
        <f>D71</f>
        <v>0</v>
      </c>
    </row>
    <row r="44" spans="1:5" ht="15.75">
      <c r="A44" s="135" t="s">
        <v>192</v>
      </c>
      <c r="B44" s="288" t="s">
        <v>330</v>
      </c>
      <c r="C44" s="274"/>
      <c r="D44" s="98">
        <f>-C52</f>
        <v>0</v>
      </c>
      <c r="E44" s="99" t="s">
        <v>53</v>
      </c>
    </row>
    <row r="45" spans="1:5" ht="15.75">
      <c r="A45" s="135" t="s">
        <v>196</v>
      </c>
      <c r="B45" s="136"/>
      <c r="C45" s="191"/>
      <c r="D45" s="98"/>
      <c r="E45" s="99"/>
    </row>
    <row r="46" spans="1:5" ht="15.75">
      <c r="A46" s="135" t="s">
        <v>76</v>
      </c>
      <c r="B46" s="136"/>
      <c r="C46" s="274"/>
      <c r="D46" s="98">
        <f>inputPrYr!D29</f>
        <v>0</v>
      </c>
      <c r="E46" s="99" t="s">
        <v>53</v>
      </c>
    </row>
    <row r="47" spans="1:5" ht="15.75">
      <c r="A47" s="135" t="s">
        <v>77</v>
      </c>
      <c r="B47" s="136"/>
      <c r="C47" s="274"/>
      <c r="D47" s="19"/>
      <c r="E47" s="19"/>
    </row>
    <row r="48" spans="1:5" ht="15.75">
      <c r="A48" s="135" t="s">
        <v>78</v>
      </c>
      <c r="B48" s="136"/>
      <c r="C48" s="274"/>
      <c r="D48" s="19"/>
      <c r="E48" s="98">
        <f>mvalloc!G22</f>
        <v>0</v>
      </c>
    </row>
    <row r="49" spans="1:5" ht="15.75">
      <c r="A49" s="135" t="s">
        <v>79</v>
      </c>
      <c r="B49" s="136"/>
      <c r="C49" s="274"/>
      <c r="D49" s="19"/>
      <c r="E49" s="98">
        <f>mvalloc!I22</f>
        <v>0</v>
      </c>
    </row>
    <row r="50" spans="1:5" ht="15.75">
      <c r="A50" s="135" t="s">
        <v>173</v>
      </c>
      <c r="B50" s="136"/>
      <c r="C50" s="274"/>
      <c r="D50" s="19"/>
      <c r="E50" s="98">
        <f>mvalloc!J22</f>
        <v>0</v>
      </c>
    </row>
    <row r="51" spans="1:5" ht="15.75">
      <c r="A51" s="135" t="s">
        <v>245</v>
      </c>
      <c r="B51" s="136"/>
      <c r="C51" s="274"/>
      <c r="D51" s="19"/>
      <c r="E51" s="98">
        <f>mvalloc!K22</f>
        <v>0</v>
      </c>
    </row>
    <row r="52" spans="1:5" ht="15.75">
      <c r="A52" s="135" t="s">
        <v>194</v>
      </c>
      <c r="B52" s="288" t="s">
        <v>331</v>
      </c>
      <c r="C52" s="274"/>
      <c r="D52" s="156" t="s">
        <v>204</v>
      </c>
      <c r="E52" s="98" t="s">
        <v>206</v>
      </c>
    </row>
    <row r="53" spans="1:5" ht="15.75">
      <c r="A53" s="272"/>
      <c r="B53" s="287"/>
      <c r="C53" s="274"/>
      <c r="D53" s="19"/>
      <c r="E53" s="19"/>
    </row>
    <row r="54" spans="1:5" ht="15.75">
      <c r="A54" s="272"/>
      <c r="B54" s="287"/>
      <c r="C54" s="274"/>
      <c r="D54" s="19"/>
      <c r="E54" s="19"/>
    </row>
    <row r="55" spans="1:5" ht="15.75">
      <c r="A55" s="284"/>
      <c r="B55" s="287"/>
      <c r="C55" s="274"/>
      <c r="D55" s="19"/>
      <c r="E55" s="19"/>
    </row>
    <row r="56" spans="1:5" ht="15.75">
      <c r="A56" s="284" t="s">
        <v>83</v>
      </c>
      <c r="B56" s="287"/>
      <c r="C56" s="274"/>
      <c r="D56" s="19"/>
      <c r="E56" s="19"/>
    </row>
    <row r="57" spans="1:5" ht="15.75">
      <c r="A57" s="331" t="s">
        <v>18</v>
      </c>
      <c r="B57" s="295"/>
      <c r="C57" s="274"/>
      <c r="D57" s="274"/>
      <c r="E57" s="274"/>
    </row>
    <row r="58" spans="1:5" ht="15.75">
      <c r="A58" s="331" t="s">
        <v>19</v>
      </c>
      <c r="B58" s="295"/>
      <c r="C58" s="332">
        <f>IF(C59*0.1&lt;C57,"Exceed 10% Rule","")</f>
      </c>
      <c r="D58" s="332">
        <f>IF(D59*0.1&lt;D57,"Exceed 10% Rule","")</f>
      </c>
      <c r="E58" s="332">
        <f>IF(E59*0.1&lt;E57,"Exceed 10% Rule","")</f>
      </c>
    </row>
    <row r="59" spans="1:5" ht="15.75">
      <c r="A59" s="285" t="s">
        <v>84</v>
      </c>
      <c r="B59" s="136"/>
      <c r="C59" s="276">
        <f>SUM(C46:C57)</f>
        <v>0</v>
      </c>
      <c r="D59" s="250">
        <f>SUM(D46:D57)</f>
        <v>0</v>
      </c>
      <c r="E59" s="250">
        <f>SUM(E46:E57)</f>
        <v>0</v>
      </c>
    </row>
    <row r="60" spans="1:5" ht="15.75">
      <c r="A60" s="169" t="s">
        <v>85</v>
      </c>
      <c r="B60" s="136"/>
      <c r="C60" s="276">
        <f>C59+C43+C44</f>
        <v>0</v>
      </c>
      <c r="D60" s="250">
        <f>D59+D43+D44</f>
        <v>0</v>
      </c>
      <c r="E60" s="250">
        <f>E59+E43</f>
        <v>0</v>
      </c>
    </row>
    <row r="61" spans="1:5" ht="15.75">
      <c r="A61" s="135" t="s">
        <v>86</v>
      </c>
      <c r="B61" s="136"/>
      <c r="C61" s="191"/>
      <c r="D61" s="98"/>
      <c r="E61" s="98"/>
    </row>
    <row r="62" spans="1:5" ht="15.75">
      <c r="A62" s="284" t="s">
        <v>202</v>
      </c>
      <c r="B62" s="287"/>
      <c r="C62" s="274"/>
      <c r="D62" s="19"/>
      <c r="E62" s="19"/>
    </row>
    <row r="63" spans="1:5" ht="15.75">
      <c r="A63" s="284" t="s">
        <v>176</v>
      </c>
      <c r="B63" s="287"/>
      <c r="C63" s="274"/>
      <c r="D63" s="19"/>
      <c r="E63" s="19"/>
    </row>
    <row r="64" spans="1:5" ht="15.75">
      <c r="A64" s="284"/>
      <c r="B64" s="287"/>
      <c r="C64" s="274"/>
      <c r="D64" s="19"/>
      <c r="E64" s="19"/>
    </row>
    <row r="65" spans="1:5" ht="15.75">
      <c r="A65" s="284"/>
      <c r="B65" s="287"/>
      <c r="C65" s="274"/>
      <c r="D65" s="19"/>
      <c r="E65" s="19"/>
    </row>
    <row r="66" spans="1:5" ht="15.75">
      <c r="A66" s="284"/>
      <c r="B66" s="287"/>
      <c r="C66" s="274"/>
      <c r="D66" s="19"/>
      <c r="E66" s="19"/>
    </row>
    <row r="67" spans="1:5" ht="15.75">
      <c r="A67" s="283" t="s">
        <v>20</v>
      </c>
      <c r="B67" s="295"/>
      <c r="C67" s="274"/>
      <c r="D67" s="19"/>
      <c r="E67" s="237">
        <f>nhood!E16</f>
      </c>
    </row>
    <row r="68" spans="1:5" ht="15.75">
      <c r="A68" s="283" t="s">
        <v>18</v>
      </c>
      <c r="B68" s="295"/>
      <c r="C68" s="274"/>
      <c r="D68" s="274"/>
      <c r="E68" s="274"/>
    </row>
    <row r="69" spans="1:5" ht="15.75">
      <c r="A69" s="283" t="s">
        <v>21</v>
      </c>
      <c r="B69" s="295"/>
      <c r="C69" s="332">
        <f>IF(C70*0.1&lt;C68,"Exceed 10% Rule","")</f>
      </c>
      <c r="D69" s="332">
        <f>IF(D70*0.1&lt;D68,"Exceed 10% Rule","")</f>
      </c>
      <c r="E69" s="332">
        <f>IF(E70*0.1&lt;E68,"Exceed 10% Rule","")</f>
      </c>
    </row>
    <row r="70" spans="1:5" ht="15.75">
      <c r="A70" s="169" t="s">
        <v>87</v>
      </c>
      <c r="B70" s="136"/>
      <c r="C70" s="276">
        <f>SUM(C62:C68)</f>
        <v>0</v>
      </c>
      <c r="D70" s="276">
        <f>SUM(D62:D68)</f>
        <v>0</v>
      </c>
      <c r="E70" s="276">
        <f>SUM(E62:E68)</f>
        <v>0</v>
      </c>
    </row>
    <row r="71" spans="1:5" ht="15.75">
      <c r="A71" s="135" t="s">
        <v>195</v>
      </c>
      <c r="B71" s="136"/>
      <c r="C71" s="277">
        <f>C60-C70</f>
        <v>0</v>
      </c>
      <c r="D71" s="237">
        <f>D60-D70</f>
        <v>0</v>
      </c>
      <c r="E71" s="99" t="s">
        <v>53</v>
      </c>
    </row>
    <row r="72" spans="1:6" ht="15.75">
      <c r="A72" s="173" t="str">
        <f>CONCATENATE("",E1-2," Budget Authority Limited Amount:")</f>
        <v>2011 Budget Authority Limited Amount:</v>
      </c>
      <c r="B72" s="304">
        <f>inputOth!B93</f>
        <v>0</v>
      </c>
      <c r="C72" s="36"/>
      <c r="D72" s="56" t="s">
        <v>90</v>
      </c>
      <c r="E72" s="19"/>
      <c r="F72" s="256">
        <f>IF(E70/0.95-E70&lt;E72,"Exceeds 5%","")</f>
      </c>
    </row>
    <row r="73" spans="1:5" ht="15.75">
      <c r="A73" s="173" t="str">
        <f>CONCATENATE("Violation of Budget Law for ",E1-2,":")</f>
        <v>Violation of Budget Law for 2011:</v>
      </c>
      <c r="B73" s="305">
        <f>IF(C70&gt;B72,"Yes","")</f>
      </c>
      <c r="C73" s="36"/>
      <c r="D73" s="56" t="s">
        <v>329</v>
      </c>
      <c r="E73" s="98">
        <f>E70+E72</f>
        <v>0</v>
      </c>
    </row>
    <row r="74" spans="1:5" ht="15.75">
      <c r="A74" s="173" t="str">
        <f>CONCATENATE("Possible Cash Violation for ",E1-2,":")</f>
        <v>Possible Cash Violation for 2011:</v>
      </c>
      <c r="B74" s="305">
        <f>IF(C71&lt;0,"Yes","")</f>
      </c>
      <c r="C74" s="36"/>
      <c r="D74" s="56" t="s">
        <v>91</v>
      </c>
      <c r="E74" s="237">
        <f>IF(E73-E60&gt;0,E73-E60,0)</f>
        <v>0</v>
      </c>
    </row>
    <row r="75" spans="1:5" ht="15.75">
      <c r="A75" s="414" t="s">
        <v>236</v>
      </c>
      <c r="B75" s="415"/>
      <c r="C75" s="415"/>
      <c r="D75" s="171">
        <f>inputOth!E77</f>
        <v>0</v>
      </c>
      <c r="E75" s="98">
        <f>ROUND(IF(D75&gt;0,(E74*D75),0),0)</f>
        <v>0</v>
      </c>
    </row>
    <row r="76" spans="1:5" ht="15.75">
      <c r="A76" s="36"/>
      <c r="B76" s="36"/>
      <c r="C76" s="36"/>
      <c r="D76" s="102" t="str">
        <f>CONCATENATE("Amount of  ",E1-1," Ad Valorem Tax")</f>
        <v>Amount of  2012 Ad Valorem Tax</v>
      </c>
      <c r="E76" s="237">
        <f>E74+E75</f>
        <v>0</v>
      </c>
    </row>
    <row r="77" spans="1:5" ht="15.75">
      <c r="A77" s="56" t="s">
        <v>68</v>
      </c>
      <c r="B77" s="18"/>
      <c r="C77" s="36"/>
      <c r="D77" s="36"/>
      <c r="E77" s="36"/>
    </row>
    <row r="78" spans="1:2" ht="15.75">
      <c r="A78" s="1"/>
      <c r="B78" s="1"/>
    </row>
  </sheetData>
  <sheetProtection sheet="1" objects="1" scenarios="1"/>
  <mergeCells count="2">
    <mergeCell ref="A38:C38"/>
    <mergeCell ref="A75:C75"/>
  </mergeCells>
  <conditionalFormatting sqref="C68">
    <cfRule type="cellIs" priority="1" dxfId="102" operator="greaterThan" stopIfTrue="1">
      <formula>$C$70*0.1</formula>
    </cfRule>
  </conditionalFormatting>
  <conditionalFormatting sqref="D68">
    <cfRule type="cellIs" priority="2" dxfId="102" operator="greaterThan" stopIfTrue="1">
      <formula>$D$70*0.1</formula>
    </cfRule>
  </conditionalFormatting>
  <conditionalFormatting sqref="E68">
    <cfRule type="cellIs" priority="3" dxfId="102" operator="greaterThan" stopIfTrue="1">
      <formula>$E$70*0.1</formula>
    </cfRule>
  </conditionalFormatting>
  <conditionalFormatting sqref="C57">
    <cfRule type="cellIs" priority="4" dxfId="102" operator="greaterThan" stopIfTrue="1">
      <formula>$C$59*0.1</formula>
    </cfRule>
  </conditionalFormatting>
  <conditionalFormatting sqref="D57">
    <cfRule type="cellIs" priority="5" dxfId="102" operator="greaterThan" stopIfTrue="1">
      <formula>$D$59*0.1</formula>
    </cfRule>
  </conditionalFormatting>
  <conditionalFormatting sqref="E57">
    <cfRule type="cellIs" priority="6" dxfId="102" operator="greaterThan" stopIfTrue="1">
      <formula>$E$59*0.1</formula>
    </cfRule>
  </conditionalFormatting>
  <conditionalFormatting sqref="C31">
    <cfRule type="cellIs" priority="7" dxfId="102" operator="greaterThan" stopIfTrue="1">
      <formula>$C$33*0.1</formula>
    </cfRule>
  </conditionalFormatting>
  <conditionalFormatting sqref="D31">
    <cfRule type="cellIs" priority="8" dxfId="102" operator="greaterThan" stopIfTrue="1">
      <formula>$D$33*0.1</formula>
    </cfRule>
  </conditionalFormatting>
  <conditionalFormatting sqref="E31">
    <cfRule type="cellIs" priority="9" dxfId="102" operator="greaterThan" stopIfTrue="1">
      <formula>$E$33*0.1</formula>
    </cfRule>
  </conditionalFormatting>
  <conditionalFormatting sqref="C20">
    <cfRule type="cellIs" priority="10" dxfId="102" operator="greaterThan" stopIfTrue="1">
      <formula>$C$22*0.1</formula>
    </cfRule>
  </conditionalFormatting>
  <conditionalFormatting sqref="D20">
    <cfRule type="cellIs" priority="11" dxfId="102" operator="greaterThan" stopIfTrue="1">
      <formula>$D$22*0.1</formula>
    </cfRule>
  </conditionalFormatting>
  <conditionalFormatting sqref="E20">
    <cfRule type="cellIs" priority="12" dxfId="102" operator="greaterThan" stopIfTrue="1">
      <formula>$E$22*0.1</formula>
    </cfRule>
  </conditionalFormatting>
  <conditionalFormatting sqref="E72">
    <cfRule type="cellIs" priority="13" dxfId="102" operator="greaterThan" stopIfTrue="1">
      <formula>$E$70/0.95-$E$70</formula>
    </cfRule>
  </conditionalFormatting>
  <conditionalFormatting sqref="E35">
    <cfRule type="cellIs" priority="14" dxfId="102" operator="greaterThan" stopIfTrue="1">
      <formula>$E$33/0.95-$E$33</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oddFooter>&amp;Lrevised 8/06/07</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C6" sqref="C6"/>
    </sheetView>
  </sheetViews>
  <sheetFormatPr defaultColWidth="8.796875" defaultRowHeight="15.75"/>
  <cols>
    <col min="1" max="1" width="25.8984375" style="1" customWidth="1"/>
    <col min="2" max="2" width="9.5" style="1" customWidth="1"/>
    <col min="3" max="5" width="14.19921875" style="1" customWidth="1"/>
    <col min="6" max="16384" width="8.796875" style="1" customWidth="1"/>
  </cols>
  <sheetData>
    <row r="1" spans="1:5" ht="15.75">
      <c r="A1" s="41" t="str">
        <f>inputPrYr!D3</f>
        <v>Hackberry Township</v>
      </c>
      <c r="B1" s="41"/>
      <c r="C1" s="36"/>
      <c r="D1" s="36"/>
      <c r="E1" s="152">
        <f>inputPrYr!D9</f>
        <v>2013</v>
      </c>
    </row>
    <row r="2" spans="1:5" ht="15.75">
      <c r="A2" s="36"/>
      <c r="B2" s="36"/>
      <c r="C2" s="36"/>
      <c r="D2" s="36"/>
      <c r="E2" s="56"/>
    </row>
    <row r="3" spans="1:5" ht="15.75">
      <c r="A3" s="48" t="s">
        <v>223</v>
      </c>
      <c r="B3" s="48"/>
      <c r="C3" s="38"/>
      <c r="D3" s="38"/>
      <c r="E3" s="38"/>
    </row>
    <row r="4" spans="1:5" ht="15.75">
      <c r="A4" s="39" t="s">
        <v>69</v>
      </c>
      <c r="B4" s="39"/>
      <c r="C4" s="105" t="s">
        <v>70</v>
      </c>
      <c r="D4" s="61" t="s">
        <v>71</v>
      </c>
      <c r="E4" s="61" t="s">
        <v>72</v>
      </c>
    </row>
    <row r="5" spans="1:5" ht="15.75">
      <c r="A5" s="129">
        <f>inputPrYr!B33</f>
        <v>0</v>
      </c>
      <c r="B5" s="129"/>
      <c r="C5" s="63" t="str">
        <f>gen!C5</f>
        <v>Actual 2011</v>
      </c>
      <c r="D5" s="63" t="str">
        <f>gen!D5</f>
        <v>Estimate 2012</v>
      </c>
      <c r="E5" s="63" t="str">
        <f>gen!E5</f>
        <v>Year 2013</v>
      </c>
    </row>
    <row r="6" spans="1:5" ht="15.75">
      <c r="A6" s="271" t="s">
        <v>224</v>
      </c>
      <c r="B6" s="279"/>
      <c r="C6" s="274"/>
      <c r="D6" s="98">
        <f>C29</f>
        <v>0</v>
      </c>
      <c r="E6" s="98">
        <f>D29</f>
        <v>0</v>
      </c>
    </row>
    <row r="7" spans="1:5" s="5" customFormat="1" ht="15.75">
      <c r="A7" s="278" t="s">
        <v>196</v>
      </c>
      <c r="B7" s="279"/>
      <c r="C7" s="275"/>
      <c r="D7" s="34"/>
      <c r="E7" s="34"/>
    </row>
    <row r="8" spans="1:5" ht="15.75">
      <c r="A8" s="272"/>
      <c r="B8" s="280"/>
      <c r="C8" s="274"/>
      <c r="D8" s="19"/>
      <c r="E8" s="19"/>
    </row>
    <row r="9" spans="1:5" ht="15.75">
      <c r="A9" s="272"/>
      <c r="B9" s="280"/>
      <c r="C9" s="274"/>
      <c r="D9" s="19"/>
      <c r="E9" s="19"/>
    </row>
    <row r="10" spans="1:5" ht="15.75">
      <c r="A10" s="272"/>
      <c r="B10" s="280"/>
      <c r="C10" s="274"/>
      <c r="D10" s="19"/>
      <c r="E10" s="19"/>
    </row>
    <row r="11" spans="1:5" ht="15.75">
      <c r="A11" s="272"/>
      <c r="B11" s="280"/>
      <c r="C11" s="274"/>
      <c r="D11" s="19"/>
      <c r="E11" s="19"/>
    </row>
    <row r="12" spans="1:5" ht="15.75">
      <c r="A12" s="273" t="s">
        <v>83</v>
      </c>
      <c r="B12" s="280"/>
      <c r="C12" s="274"/>
      <c r="D12" s="19"/>
      <c r="E12" s="19"/>
    </row>
    <row r="13" spans="1:5" ht="15.75">
      <c r="A13" s="331" t="s">
        <v>18</v>
      </c>
      <c r="B13" s="295"/>
      <c r="C13" s="274"/>
      <c r="D13" s="274"/>
      <c r="E13" s="274"/>
    </row>
    <row r="14" spans="1:5" ht="15.75">
      <c r="A14" s="331" t="s">
        <v>19</v>
      </c>
      <c r="B14" s="295"/>
      <c r="C14" s="332">
        <f>IF(C15*0.1&lt;C13,"Exceed 10% Rule","")</f>
      </c>
      <c r="D14" s="332">
        <f>IF(D15*0.1&lt;D13,"Exceed 10% Rule","")</f>
      </c>
      <c r="E14" s="332">
        <f>IF(E15*0.1&lt;E13,"Exceed 10% Rule","")</f>
      </c>
    </row>
    <row r="15" spans="1:5" ht="15.75">
      <c r="A15" s="169" t="s">
        <v>84</v>
      </c>
      <c r="B15" s="279"/>
      <c r="C15" s="276">
        <f>SUM(C8:C13)</f>
        <v>0</v>
      </c>
      <c r="D15" s="250">
        <f>SUM(D8:D13)</f>
        <v>0</v>
      </c>
      <c r="E15" s="250">
        <f>SUM(E8:E13)</f>
        <v>0</v>
      </c>
    </row>
    <row r="16" spans="1:5" ht="15.75">
      <c r="A16" s="169" t="s">
        <v>85</v>
      </c>
      <c r="B16" s="279"/>
      <c r="C16" s="281">
        <f>C6+C15</f>
        <v>0</v>
      </c>
      <c r="D16" s="100">
        <f>D6+D15</f>
        <v>0</v>
      </c>
      <c r="E16" s="100">
        <f>E6+E15</f>
        <v>0</v>
      </c>
    </row>
    <row r="17" spans="1:5" ht="15.75">
      <c r="A17" s="135" t="s">
        <v>86</v>
      </c>
      <c r="B17" s="279"/>
      <c r="C17" s="191"/>
      <c r="D17" s="98"/>
      <c r="E17" s="98"/>
    </row>
    <row r="18" spans="1:5" ht="15.75">
      <c r="A18" s="272"/>
      <c r="B18" s="280"/>
      <c r="C18" s="274"/>
      <c r="D18" s="19"/>
      <c r="E18" s="19"/>
    </row>
    <row r="19" spans="1:5" ht="15.75">
      <c r="A19" s="272"/>
      <c r="B19" s="280"/>
      <c r="C19" s="274"/>
      <c r="D19" s="19"/>
      <c r="E19" s="19"/>
    </row>
    <row r="20" spans="1:5" ht="15.75">
      <c r="A20" s="272"/>
      <c r="B20" s="280"/>
      <c r="C20" s="274"/>
      <c r="D20" s="19"/>
      <c r="E20" s="19"/>
    </row>
    <row r="21" spans="1:5" ht="15.75">
      <c r="A21" s="272"/>
      <c r="B21" s="280"/>
      <c r="C21" s="274"/>
      <c r="D21" s="19"/>
      <c r="E21" s="19"/>
    </row>
    <row r="22" spans="1:5" ht="15.75">
      <c r="A22" s="272"/>
      <c r="B22" s="280"/>
      <c r="C22" s="274"/>
      <c r="D22" s="19"/>
      <c r="E22" s="19"/>
    </row>
    <row r="23" spans="1:5" ht="15.75">
      <c r="A23" s="272"/>
      <c r="B23" s="280"/>
      <c r="C23" s="274"/>
      <c r="D23" s="19"/>
      <c r="E23" s="19"/>
    </row>
    <row r="24" spans="1:5" ht="15.75">
      <c r="A24" s="272"/>
      <c r="B24" s="280"/>
      <c r="C24" s="274"/>
      <c r="D24" s="19"/>
      <c r="E24" s="19"/>
    </row>
    <row r="25" spans="1:5" ht="15.75">
      <c r="A25" s="272"/>
      <c r="B25" s="280"/>
      <c r="C25" s="274"/>
      <c r="D25" s="19"/>
      <c r="E25" s="19"/>
    </row>
    <row r="26" spans="1:5" ht="15.75">
      <c r="A26" s="283" t="s">
        <v>18</v>
      </c>
      <c r="B26" s="295"/>
      <c r="C26" s="274"/>
      <c r="D26" s="274"/>
      <c r="E26" s="274"/>
    </row>
    <row r="27" spans="1:5" ht="15.75">
      <c r="A27" s="283" t="s">
        <v>21</v>
      </c>
      <c r="B27" s="295"/>
      <c r="C27" s="332">
        <f>IF(C28*0.1&lt;C26,"Exceed 10% Rule","")</f>
      </c>
      <c r="D27" s="332">
        <f>IF(D28*0.1&lt;D26,"Exceed 10% Rule","")</f>
      </c>
      <c r="E27" s="332">
        <f>IF(E28*0.1&lt;E26,"Exceed 10% Rule","")</f>
      </c>
    </row>
    <row r="28" spans="1:5" ht="15.75">
      <c r="A28" s="169" t="s">
        <v>87</v>
      </c>
      <c r="B28" s="279"/>
      <c r="C28" s="276">
        <f>SUM(C18:C26)</f>
        <v>0</v>
      </c>
      <c r="D28" s="250">
        <f>SUM(D18:D26)</f>
        <v>0</v>
      </c>
      <c r="E28" s="250">
        <f>SUM(E18:E26)</f>
        <v>0</v>
      </c>
    </row>
    <row r="29" spans="1:5" ht="15.75">
      <c r="A29" s="135" t="s">
        <v>195</v>
      </c>
      <c r="B29" s="279"/>
      <c r="C29" s="277">
        <f>C16-C28</f>
        <v>0</v>
      </c>
      <c r="D29" s="237">
        <f>D16-D28</f>
        <v>0</v>
      </c>
      <c r="E29" s="237">
        <f>E16-E28</f>
        <v>0</v>
      </c>
    </row>
    <row r="30" spans="1:5" ht="15.75">
      <c r="A30" s="173" t="str">
        <f>CONCATENATE("",E1-2," Budget Authority Limited Amount:")</f>
        <v>2011 Budget Authority Limited Amount:</v>
      </c>
      <c r="B30" s="304">
        <f>inputOth!B94</f>
        <v>0</v>
      </c>
      <c r="C30" s="45"/>
      <c r="D30" s="45"/>
      <c r="E30" s="45"/>
    </row>
    <row r="31" spans="1:5" ht="15.75">
      <c r="A31" s="173" t="str">
        <f>CONCATENATE("Violation of Budget Law for ",E1-2,":")</f>
        <v>Violation of Budget Law for 2011:</v>
      </c>
      <c r="B31" s="305">
        <f>IF(C28&gt;B30,"Yes","")</f>
      </c>
      <c r="C31" s="45"/>
      <c r="D31" s="45"/>
      <c r="E31" s="45"/>
    </row>
    <row r="32" spans="1:5" ht="15.75">
      <c r="A32" s="173" t="str">
        <f>CONCATENATE("Possible Cash Violation for ",E1-2,":")</f>
        <v>Possible Cash Violation for 2011:</v>
      </c>
      <c r="B32" s="305">
        <f>IF(C29&lt;0,"Yes","")</f>
      </c>
      <c r="C32" s="45"/>
      <c r="D32" s="45"/>
      <c r="E32" s="45"/>
    </row>
    <row r="33" spans="1:5" ht="15.75">
      <c r="A33" s="36"/>
      <c r="B33" s="36"/>
      <c r="C33" s="45"/>
      <c r="D33" s="45"/>
      <c r="E33" s="45"/>
    </row>
    <row r="34" spans="1:5" ht="15.75">
      <c r="A34" s="39" t="s">
        <v>69</v>
      </c>
      <c r="B34" s="39"/>
      <c r="C34" s="38"/>
      <c r="D34" s="38"/>
      <c r="E34" s="38"/>
    </row>
    <row r="35" spans="1:5" ht="15.75">
      <c r="A35" s="36"/>
      <c r="B35" s="36"/>
      <c r="C35" s="105" t="s">
        <v>70</v>
      </c>
      <c r="D35" s="61" t="s">
        <v>71</v>
      </c>
      <c r="E35" s="61" t="s">
        <v>72</v>
      </c>
    </row>
    <row r="36" spans="1:5" ht="15.75">
      <c r="A36" s="64">
        <f>inputPrYr!B34</f>
        <v>0</v>
      </c>
      <c r="B36" s="129"/>
      <c r="C36" s="63" t="str">
        <f>C5</f>
        <v>Actual 2011</v>
      </c>
      <c r="D36" s="63" t="str">
        <f>D5</f>
        <v>Estimate 2012</v>
      </c>
      <c r="E36" s="63" t="str">
        <f>E5</f>
        <v>Year 2013</v>
      </c>
    </row>
    <row r="37" spans="1:5" ht="15.75">
      <c r="A37" s="271" t="s">
        <v>224</v>
      </c>
      <c r="B37" s="279"/>
      <c r="C37" s="274"/>
      <c r="D37" s="98">
        <f>C60</f>
        <v>0</v>
      </c>
      <c r="E37" s="98">
        <f>D60</f>
        <v>0</v>
      </c>
    </row>
    <row r="38" spans="1:5" s="5" customFormat="1" ht="15.75">
      <c r="A38" s="271" t="s">
        <v>196</v>
      </c>
      <c r="B38" s="279"/>
      <c r="C38" s="275"/>
      <c r="D38" s="34"/>
      <c r="E38" s="34"/>
    </row>
    <row r="39" spans="1:5" ht="15.75">
      <c r="A39" s="272"/>
      <c r="B39" s="280"/>
      <c r="C39" s="274"/>
      <c r="D39" s="19"/>
      <c r="E39" s="19"/>
    </row>
    <row r="40" spans="1:5" ht="15.75">
      <c r="A40" s="272"/>
      <c r="B40" s="280"/>
      <c r="C40" s="274"/>
      <c r="D40" s="19"/>
      <c r="E40" s="19"/>
    </row>
    <row r="41" spans="1:5" ht="15.75">
      <c r="A41" s="272"/>
      <c r="B41" s="280"/>
      <c r="C41" s="274"/>
      <c r="D41" s="19"/>
      <c r="E41" s="19"/>
    </row>
    <row r="42" spans="1:5" ht="15.75">
      <c r="A42" s="272"/>
      <c r="B42" s="280"/>
      <c r="C42" s="274"/>
      <c r="D42" s="19"/>
      <c r="E42" s="19"/>
    </row>
    <row r="43" spans="1:5" ht="15.75">
      <c r="A43" s="273" t="s">
        <v>83</v>
      </c>
      <c r="B43" s="280"/>
      <c r="C43" s="274"/>
      <c r="D43" s="19"/>
      <c r="E43" s="19"/>
    </row>
    <row r="44" spans="1:5" ht="15.75">
      <c r="A44" s="331" t="s">
        <v>18</v>
      </c>
      <c r="B44" s="295"/>
      <c r="C44" s="274"/>
      <c r="D44" s="274"/>
      <c r="E44" s="274"/>
    </row>
    <row r="45" spans="1:5" ht="15.75">
      <c r="A45" s="331" t="s">
        <v>19</v>
      </c>
      <c r="B45" s="295"/>
      <c r="C45" s="332">
        <f>IF(C46*0.1&lt;C44,"Exceed 10% Rule","")</f>
      </c>
      <c r="D45" s="332">
        <f>IF(D46*0.1&lt;D44,"Exceed 10% Rule","")</f>
      </c>
      <c r="E45" s="332">
        <f>IF(E46*0.1&lt;E44,"Exceed 10% Rule","")</f>
      </c>
    </row>
    <row r="46" spans="1:5" ht="15.75">
      <c r="A46" s="169" t="s">
        <v>84</v>
      </c>
      <c r="B46" s="279"/>
      <c r="C46" s="276">
        <f>SUM(C39:C44)</f>
        <v>0</v>
      </c>
      <c r="D46" s="250">
        <f>SUM(D39:D44)</f>
        <v>0</v>
      </c>
      <c r="E46" s="250">
        <f>SUM(E39:E44)</f>
        <v>0</v>
      </c>
    </row>
    <row r="47" spans="1:5" ht="15.75">
      <c r="A47" s="169" t="s">
        <v>85</v>
      </c>
      <c r="B47" s="279"/>
      <c r="C47" s="276">
        <f>C37+C46</f>
        <v>0</v>
      </c>
      <c r="D47" s="250">
        <f>D37+D46</f>
        <v>0</v>
      </c>
      <c r="E47" s="250">
        <f>E37+E46</f>
        <v>0</v>
      </c>
    </row>
    <row r="48" spans="1:5" ht="15.75">
      <c r="A48" s="135" t="s">
        <v>86</v>
      </c>
      <c r="B48" s="279"/>
      <c r="C48" s="191"/>
      <c r="D48" s="98"/>
      <c r="E48" s="98"/>
    </row>
    <row r="49" spans="1:5" ht="15.75">
      <c r="A49" s="272"/>
      <c r="B49" s="280"/>
      <c r="C49" s="274"/>
      <c r="D49" s="19"/>
      <c r="E49" s="19"/>
    </row>
    <row r="50" spans="1:5" ht="15.75">
      <c r="A50" s="272"/>
      <c r="B50" s="280"/>
      <c r="C50" s="274"/>
      <c r="D50" s="19"/>
      <c r="E50" s="19"/>
    </row>
    <row r="51" spans="1:5" ht="15.75">
      <c r="A51" s="272"/>
      <c r="B51" s="280"/>
      <c r="C51" s="274"/>
      <c r="D51" s="19"/>
      <c r="E51" s="19"/>
    </row>
    <row r="52" spans="1:5" ht="15.75">
      <c r="A52" s="272"/>
      <c r="B52" s="280"/>
      <c r="C52" s="274"/>
      <c r="D52" s="19"/>
      <c r="E52" s="19"/>
    </row>
    <row r="53" spans="1:5" ht="15.75">
      <c r="A53" s="272"/>
      <c r="B53" s="280"/>
      <c r="C53" s="274"/>
      <c r="D53" s="19"/>
      <c r="E53" s="19"/>
    </row>
    <row r="54" spans="1:5" ht="15.75">
      <c r="A54" s="272"/>
      <c r="B54" s="280"/>
      <c r="C54" s="274"/>
      <c r="D54" s="19"/>
      <c r="E54" s="19"/>
    </row>
    <row r="55" spans="1:5" ht="15.75">
      <c r="A55" s="272"/>
      <c r="B55" s="280"/>
      <c r="C55" s="274"/>
      <c r="D55" s="19"/>
      <c r="E55" s="19"/>
    </row>
    <row r="56" spans="1:5" ht="15.75">
      <c r="A56" s="272"/>
      <c r="B56" s="280"/>
      <c r="C56" s="274"/>
      <c r="D56" s="19"/>
      <c r="E56" s="19"/>
    </row>
    <row r="57" spans="1:5" ht="15.75">
      <c r="A57" s="283" t="s">
        <v>18</v>
      </c>
      <c r="B57" s="295"/>
      <c r="C57" s="274"/>
      <c r="D57" s="274"/>
      <c r="E57" s="274"/>
    </row>
    <row r="58" spans="1:5" ht="15.75">
      <c r="A58" s="283" t="s">
        <v>21</v>
      </c>
      <c r="B58" s="295"/>
      <c r="C58" s="332">
        <f>IF(C59*0.1&lt;C57,"Exceed 10% Rule","")</f>
      </c>
      <c r="D58" s="332">
        <f>IF(D59*0.1&lt;D57,"Exceed 10% Rule","")</f>
      </c>
      <c r="E58" s="332">
        <f>IF(E59*0.1&lt;E57,"Exceed 10% Rule","")</f>
      </c>
    </row>
    <row r="59" spans="1:5" ht="15.75">
      <c r="A59" s="169" t="s">
        <v>87</v>
      </c>
      <c r="B59" s="279"/>
      <c r="C59" s="276">
        <f>SUM(C49:C57)</f>
        <v>0</v>
      </c>
      <c r="D59" s="250">
        <f>SUM(D49:D57)</f>
        <v>0</v>
      </c>
      <c r="E59" s="250">
        <f>SUM(E49:E57)</f>
        <v>0</v>
      </c>
    </row>
    <row r="60" spans="1:5" ht="15.75">
      <c r="A60" s="135" t="s">
        <v>195</v>
      </c>
      <c r="B60" s="279"/>
      <c r="C60" s="277">
        <f>C47-C59</f>
        <v>0</v>
      </c>
      <c r="D60" s="237">
        <f>D47-D59</f>
        <v>0</v>
      </c>
      <c r="E60" s="237">
        <f>E47-E59</f>
        <v>0</v>
      </c>
    </row>
    <row r="61" spans="1:5" ht="15.75">
      <c r="A61" s="173" t="str">
        <f>CONCATENATE("",E1-2," Budget Authority Limited Amount:")</f>
        <v>2011 Budget Authority Limited Amount:</v>
      </c>
      <c r="B61" s="304">
        <f>inputOth!B95</f>
        <v>0</v>
      </c>
      <c r="C61" s="36"/>
      <c r="D61" s="36"/>
      <c r="E61" s="36"/>
    </row>
    <row r="62" spans="1:5" ht="15.75">
      <c r="A62" s="173" t="str">
        <f>CONCATENATE("Violation of Budget Law for ",E1-2,":")</f>
        <v>Violation of Budget Law for 2011:</v>
      </c>
      <c r="B62" s="305">
        <f>IF(C59&gt;B61,"Yes","")</f>
      </c>
      <c r="C62" s="36"/>
      <c r="D62" s="36"/>
      <c r="E62" s="36"/>
    </row>
    <row r="63" spans="1:5" ht="15.75">
      <c r="A63" s="173" t="str">
        <f>CONCATENATE("Possible Cash Violation for ",E1-2,":")</f>
        <v>Possible Cash Violation for 2011:</v>
      </c>
      <c r="B63" s="305">
        <f>IF(C60&lt;0,"Yes","")</f>
      </c>
      <c r="C63" s="36"/>
      <c r="D63" s="36"/>
      <c r="E63" s="36"/>
    </row>
    <row r="64" spans="1:5" ht="15.75">
      <c r="A64" s="36"/>
      <c r="B64" s="36"/>
      <c r="C64" s="36"/>
      <c r="D64" s="36"/>
      <c r="E64" s="36"/>
    </row>
    <row r="65" spans="1:5" ht="15.75">
      <c r="A65" s="56"/>
      <c r="B65" s="56" t="s">
        <v>68</v>
      </c>
      <c r="C65" s="16"/>
      <c r="D65" s="36"/>
      <c r="E65" s="36"/>
    </row>
  </sheetData>
  <sheetProtection sheet="1" objects="1" scenarios="1"/>
  <conditionalFormatting sqref="C13">
    <cfRule type="cellIs" priority="1" dxfId="102" operator="greaterThan" stopIfTrue="1">
      <formula>$C$15*0.1</formula>
    </cfRule>
  </conditionalFormatting>
  <conditionalFormatting sqref="D13">
    <cfRule type="cellIs" priority="2" dxfId="102" operator="greaterThan" stopIfTrue="1">
      <formula>$D$15*0.1</formula>
    </cfRule>
  </conditionalFormatting>
  <conditionalFormatting sqref="E13">
    <cfRule type="cellIs" priority="3" dxfId="102" operator="greaterThan" stopIfTrue="1">
      <formula>$E$15*0.1</formula>
    </cfRule>
  </conditionalFormatting>
  <conditionalFormatting sqref="C26">
    <cfRule type="cellIs" priority="4" dxfId="102" operator="greaterThan" stopIfTrue="1">
      <formula>$C$28*0.1</formula>
    </cfRule>
  </conditionalFormatting>
  <conditionalFormatting sqref="D26">
    <cfRule type="cellIs" priority="5" dxfId="102" operator="greaterThan" stopIfTrue="1">
      <formula>$D$28*0.1</formula>
    </cfRule>
  </conditionalFormatting>
  <conditionalFormatting sqref="E26">
    <cfRule type="cellIs" priority="6" dxfId="102" operator="greaterThan" stopIfTrue="1">
      <formula>$E$28*0.1</formula>
    </cfRule>
  </conditionalFormatting>
  <conditionalFormatting sqref="C57">
    <cfRule type="cellIs" priority="7" dxfId="102" operator="greaterThan" stopIfTrue="1">
      <formula>$C$59*0.1</formula>
    </cfRule>
  </conditionalFormatting>
  <conditionalFormatting sqref="D57">
    <cfRule type="cellIs" priority="8" dxfId="102" operator="greaterThan" stopIfTrue="1">
      <formula>$D$59*0.1</formula>
    </cfRule>
  </conditionalFormatting>
  <conditionalFormatting sqref="E57">
    <cfRule type="cellIs" priority="9" dxfId="102" operator="greaterThan" stopIfTrue="1">
      <formula>$E$59*0.1</formula>
    </cfRule>
  </conditionalFormatting>
  <conditionalFormatting sqref="C44">
    <cfRule type="cellIs" priority="10" dxfId="102" operator="greaterThan" stopIfTrue="1">
      <formula>$C$46*0.1</formula>
    </cfRule>
  </conditionalFormatting>
  <conditionalFormatting sqref="D44">
    <cfRule type="cellIs" priority="11" dxfId="102" operator="greaterThan" stopIfTrue="1">
      <formula>$D$46*0.1</formula>
    </cfRule>
  </conditionalFormatting>
  <conditionalFormatting sqref="E44">
    <cfRule type="cellIs" priority="12" dxfId="102" operator="greaterThan" stopIfTrue="1">
      <formula>$E$46*0.1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8/06/07</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C6" sqref="C6"/>
    </sheetView>
  </sheetViews>
  <sheetFormatPr defaultColWidth="8.796875" defaultRowHeight="15.75"/>
  <cols>
    <col min="1" max="1" width="25.8984375" style="1" customWidth="1"/>
    <col min="2" max="2" width="9.5" style="1" customWidth="1"/>
    <col min="3" max="5" width="14.19921875" style="1" customWidth="1"/>
    <col min="6" max="16384" width="8.796875" style="1" customWidth="1"/>
  </cols>
  <sheetData>
    <row r="1" spans="1:5" ht="15.75">
      <c r="A1" s="41" t="str">
        <f>inputPrYr!D3</f>
        <v>Hackberry Township</v>
      </c>
      <c r="B1" s="41"/>
      <c r="C1" s="36"/>
      <c r="D1" s="36"/>
      <c r="E1" s="152">
        <f>inputPrYr!D9</f>
        <v>2013</v>
      </c>
    </row>
    <row r="2" spans="1:5" ht="15.75">
      <c r="A2" s="36"/>
      <c r="B2" s="36"/>
      <c r="C2" s="36"/>
      <c r="D2" s="36"/>
      <c r="E2" s="56"/>
    </row>
    <row r="3" spans="1:5" ht="15.75">
      <c r="A3" s="48" t="s">
        <v>223</v>
      </c>
      <c r="B3" s="48"/>
      <c r="C3" s="38"/>
      <c r="D3" s="38"/>
      <c r="E3" s="38"/>
    </row>
    <row r="4" spans="1:5" ht="15.75">
      <c r="A4" s="39" t="s">
        <v>69</v>
      </c>
      <c r="B4" s="39"/>
      <c r="C4" s="105" t="s">
        <v>70</v>
      </c>
      <c r="D4" s="61" t="s">
        <v>71</v>
      </c>
      <c r="E4" s="61" t="s">
        <v>72</v>
      </c>
    </row>
    <row r="5" spans="1:5" ht="15.75">
      <c r="A5" s="129">
        <f>inputPrYr!B35</f>
        <v>0</v>
      </c>
      <c r="B5" s="129"/>
      <c r="C5" s="63" t="str">
        <f>gen!C5</f>
        <v>Actual 2011</v>
      </c>
      <c r="D5" s="63" t="str">
        <f>gen!D5</f>
        <v>Estimate 2012</v>
      </c>
      <c r="E5" s="63" t="str">
        <f>gen!E5</f>
        <v>Year 2013</v>
      </c>
    </row>
    <row r="6" spans="1:5" ht="15.75">
      <c r="A6" s="271" t="s">
        <v>224</v>
      </c>
      <c r="B6" s="279"/>
      <c r="C6" s="274"/>
      <c r="D6" s="98">
        <f>C29</f>
        <v>0</v>
      </c>
      <c r="E6" s="98">
        <f>D29</f>
        <v>0</v>
      </c>
    </row>
    <row r="7" spans="1:5" s="5" customFormat="1" ht="15.75">
      <c r="A7" s="278" t="s">
        <v>196</v>
      </c>
      <c r="B7" s="279"/>
      <c r="C7" s="275"/>
      <c r="D7" s="34"/>
      <c r="E7" s="34"/>
    </row>
    <row r="8" spans="1:5" ht="15.75">
      <c r="A8" s="272"/>
      <c r="B8" s="280"/>
      <c r="C8" s="274"/>
      <c r="D8" s="19"/>
      <c r="E8" s="19"/>
    </row>
    <row r="9" spans="1:5" ht="15.75">
      <c r="A9" s="272"/>
      <c r="B9" s="280"/>
      <c r="C9" s="274"/>
      <c r="D9" s="19"/>
      <c r="E9" s="19"/>
    </row>
    <row r="10" spans="1:5" ht="15.75">
      <c r="A10" s="272"/>
      <c r="B10" s="280"/>
      <c r="C10" s="274"/>
      <c r="D10" s="19"/>
      <c r="E10" s="19"/>
    </row>
    <row r="11" spans="1:5" ht="15.75">
      <c r="A11" s="272"/>
      <c r="B11" s="280"/>
      <c r="C11" s="274"/>
      <c r="D11" s="19"/>
      <c r="E11" s="19"/>
    </row>
    <row r="12" spans="1:5" ht="15.75">
      <c r="A12" s="273" t="s">
        <v>83</v>
      </c>
      <c r="B12" s="280"/>
      <c r="C12" s="274"/>
      <c r="D12" s="19"/>
      <c r="E12" s="19"/>
    </row>
    <row r="13" spans="1:5" ht="15.75">
      <c r="A13" s="331" t="s">
        <v>18</v>
      </c>
      <c r="B13" s="295"/>
      <c r="C13" s="274"/>
      <c r="D13" s="274"/>
      <c r="E13" s="274"/>
    </row>
    <row r="14" spans="1:5" ht="15.75">
      <c r="A14" s="331" t="s">
        <v>19</v>
      </c>
      <c r="B14" s="295"/>
      <c r="C14" s="332">
        <f>IF(C15*0.1&lt;C13,"Exceed 10% Rule","")</f>
      </c>
      <c r="D14" s="332">
        <f>IF(D15*0.1&lt;D13,"Exceed 10% Rule","")</f>
      </c>
      <c r="E14" s="332">
        <f>IF(E15*0.1&lt;E13,"Exceed 10% Rule","")</f>
      </c>
    </row>
    <row r="15" spans="1:5" ht="15.75">
      <c r="A15" s="169" t="s">
        <v>84</v>
      </c>
      <c r="B15" s="279"/>
      <c r="C15" s="276">
        <f>SUM(C8:C13)</f>
        <v>0</v>
      </c>
      <c r="D15" s="250">
        <f>SUM(D8:D13)</f>
        <v>0</v>
      </c>
      <c r="E15" s="250">
        <f>SUM(E8:E13)</f>
        <v>0</v>
      </c>
    </row>
    <row r="16" spans="1:5" ht="15.75">
      <c r="A16" s="169" t="s">
        <v>85</v>
      </c>
      <c r="B16" s="279"/>
      <c r="C16" s="276">
        <f>C6+C15</f>
        <v>0</v>
      </c>
      <c r="D16" s="250">
        <f>D6+D15</f>
        <v>0</v>
      </c>
      <c r="E16" s="250">
        <f>E6+E15</f>
        <v>0</v>
      </c>
    </row>
    <row r="17" spans="1:5" ht="15.75">
      <c r="A17" s="135" t="s">
        <v>86</v>
      </c>
      <c r="B17" s="279"/>
      <c r="C17" s="191"/>
      <c r="D17" s="98"/>
      <c r="E17" s="98"/>
    </row>
    <row r="18" spans="1:5" ht="15.75">
      <c r="A18" s="272"/>
      <c r="B18" s="280"/>
      <c r="C18" s="274"/>
      <c r="D18" s="19"/>
      <c r="E18" s="19"/>
    </row>
    <row r="19" spans="1:5" ht="15.75">
      <c r="A19" s="272"/>
      <c r="B19" s="280"/>
      <c r="C19" s="274"/>
      <c r="D19" s="19"/>
      <c r="E19" s="19"/>
    </row>
    <row r="20" spans="1:5" ht="15.75">
      <c r="A20" s="272"/>
      <c r="B20" s="280"/>
      <c r="C20" s="274"/>
      <c r="D20" s="19"/>
      <c r="E20" s="19"/>
    </row>
    <row r="21" spans="1:5" ht="15.75">
      <c r="A21" s="272"/>
      <c r="B21" s="280"/>
      <c r="C21" s="274"/>
      <c r="D21" s="19"/>
      <c r="E21" s="19"/>
    </row>
    <row r="22" spans="1:5" ht="15.75">
      <c r="A22" s="272"/>
      <c r="B22" s="280"/>
      <c r="C22" s="274"/>
      <c r="D22" s="19"/>
      <c r="E22" s="19"/>
    </row>
    <row r="23" spans="1:5" ht="15.75">
      <c r="A23" s="272"/>
      <c r="B23" s="280"/>
      <c r="C23" s="274"/>
      <c r="D23" s="19"/>
      <c r="E23" s="19"/>
    </row>
    <row r="24" spans="1:5" ht="15.75">
      <c r="A24" s="272"/>
      <c r="B24" s="280"/>
      <c r="C24" s="274"/>
      <c r="D24" s="19"/>
      <c r="E24" s="19"/>
    </row>
    <row r="25" spans="1:5" ht="15.75">
      <c r="A25" s="272"/>
      <c r="B25" s="280"/>
      <c r="C25" s="274"/>
      <c r="D25" s="19"/>
      <c r="E25" s="19"/>
    </row>
    <row r="26" spans="1:5" ht="15.75">
      <c r="A26" s="283" t="s">
        <v>18</v>
      </c>
      <c r="B26" s="295"/>
      <c r="C26" s="274"/>
      <c r="D26" s="274"/>
      <c r="E26" s="274"/>
    </row>
    <row r="27" spans="1:5" ht="15.75">
      <c r="A27" s="283" t="s">
        <v>21</v>
      </c>
      <c r="B27" s="295"/>
      <c r="C27" s="332">
        <f>IF(C28*0.1&lt;C26,"Exceed 10% Rule","")</f>
      </c>
      <c r="D27" s="332">
        <f>IF(D28*0.1&lt;D26,"Exceed 10% Rule","")</f>
      </c>
      <c r="E27" s="332">
        <f>IF(E28*0.1&lt;E26,"Exceed 10% Rule","")</f>
      </c>
    </row>
    <row r="28" spans="1:5" ht="15.75">
      <c r="A28" s="169" t="s">
        <v>87</v>
      </c>
      <c r="B28" s="279"/>
      <c r="C28" s="276">
        <f>SUM(C18:C26)</f>
        <v>0</v>
      </c>
      <c r="D28" s="250">
        <f>SUM(D18:D26)</f>
        <v>0</v>
      </c>
      <c r="E28" s="250">
        <f>SUM(E18:E26)</f>
        <v>0</v>
      </c>
    </row>
    <row r="29" spans="1:5" ht="15.75">
      <c r="A29" s="135" t="s">
        <v>195</v>
      </c>
      <c r="B29" s="279"/>
      <c r="C29" s="277">
        <f>C16-C28</f>
        <v>0</v>
      </c>
      <c r="D29" s="237">
        <f>D16-D28</f>
        <v>0</v>
      </c>
      <c r="E29" s="237">
        <f>E16-E28</f>
        <v>0</v>
      </c>
    </row>
    <row r="30" spans="1:5" ht="15.75">
      <c r="A30" s="173" t="str">
        <f>CONCATENATE("",E1-2," Budget Authority Limited Amount:")</f>
        <v>2011 Budget Authority Limited Amount:</v>
      </c>
      <c r="B30" s="304">
        <f>inputOth!B96</f>
        <v>0</v>
      </c>
      <c r="C30" s="45"/>
      <c r="D30" s="45"/>
      <c r="E30" s="45"/>
    </row>
    <row r="31" spans="1:5" ht="15.75">
      <c r="A31" s="173" t="str">
        <f>CONCATENATE("Violation of Budget Law for ",E1-2,":")</f>
        <v>Violation of Budget Law for 2011:</v>
      </c>
      <c r="B31" s="305">
        <f>IF(C28&gt;B30,"Yes","")</f>
      </c>
      <c r="C31" s="45"/>
      <c r="D31" s="45"/>
      <c r="E31" s="45"/>
    </row>
    <row r="32" spans="1:5" ht="15.75">
      <c r="A32" s="173" t="str">
        <f>CONCATENATE("Possible Cash Violation for ",E1-2,":")</f>
        <v>Possible Cash Violation for 2011:</v>
      </c>
      <c r="B32" s="305">
        <f>IF(C29&lt;0,"Yes","")</f>
      </c>
      <c r="C32" s="45"/>
      <c r="D32" s="45"/>
      <c r="E32" s="45"/>
    </row>
    <row r="33" spans="1:5" ht="15.75">
      <c r="A33" s="36"/>
      <c r="B33" s="36"/>
      <c r="C33" s="45"/>
      <c r="D33" s="45"/>
      <c r="E33" s="45"/>
    </row>
    <row r="34" spans="1:5" ht="15.75">
      <c r="A34" s="39" t="s">
        <v>69</v>
      </c>
      <c r="B34" s="39"/>
      <c r="C34" s="38"/>
      <c r="D34" s="38"/>
      <c r="E34" s="38"/>
    </row>
    <row r="35" spans="1:5" ht="15.75">
      <c r="A35" s="36"/>
      <c r="B35" s="36"/>
      <c r="C35" s="105" t="s">
        <v>70</v>
      </c>
      <c r="D35" s="61" t="s">
        <v>71</v>
      </c>
      <c r="E35" s="61" t="s">
        <v>72</v>
      </c>
    </row>
    <row r="36" spans="1:5" ht="15.75">
      <c r="A36" s="64">
        <f>inputPrYr!B36</f>
        <v>0</v>
      </c>
      <c r="B36" s="129"/>
      <c r="C36" s="63" t="str">
        <f>C5</f>
        <v>Actual 2011</v>
      </c>
      <c r="D36" s="63" t="str">
        <f>D5</f>
        <v>Estimate 2012</v>
      </c>
      <c r="E36" s="63" t="str">
        <f>E5</f>
        <v>Year 2013</v>
      </c>
    </row>
    <row r="37" spans="1:5" ht="15.75">
      <c r="A37" s="271" t="s">
        <v>224</v>
      </c>
      <c r="B37" s="279"/>
      <c r="C37" s="274"/>
      <c r="D37" s="98">
        <f>C60</f>
        <v>0</v>
      </c>
      <c r="E37" s="98">
        <f>D60</f>
        <v>0</v>
      </c>
    </row>
    <row r="38" spans="1:5" s="5" customFormat="1" ht="15.75">
      <c r="A38" s="271" t="s">
        <v>196</v>
      </c>
      <c r="B38" s="279"/>
      <c r="C38" s="275"/>
      <c r="D38" s="34"/>
      <c r="E38" s="34"/>
    </row>
    <row r="39" spans="1:5" ht="15.75">
      <c r="A39" s="272"/>
      <c r="B39" s="280"/>
      <c r="C39" s="274"/>
      <c r="D39" s="19"/>
      <c r="E39" s="19"/>
    </row>
    <row r="40" spans="1:5" ht="15.75">
      <c r="A40" s="272"/>
      <c r="B40" s="280"/>
      <c r="C40" s="274"/>
      <c r="D40" s="19"/>
      <c r="E40" s="19"/>
    </row>
    <row r="41" spans="1:5" ht="15.75">
      <c r="A41" s="272"/>
      <c r="B41" s="280"/>
      <c r="C41" s="274"/>
      <c r="D41" s="19"/>
      <c r="E41" s="19"/>
    </row>
    <row r="42" spans="1:5" ht="15.75">
      <c r="A42" s="272"/>
      <c r="B42" s="280"/>
      <c r="C42" s="274"/>
      <c r="D42" s="19"/>
      <c r="E42" s="19"/>
    </row>
    <row r="43" spans="1:5" ht="15.75">
      <c r="A43" s="273" t="s">
        <v>83</v>
      </c>
      <c r="B43" s="280"/>
      <c r="C43" s="274"/>
      <c r="D43" s="19"/>
      <c r="E43" s="19"/>
    </row>
    <row r="44" spans="1:5" ht="15.75">
      <c r="A44" s="331" t="s">
        <v>18</v>
      </c>
      <c r="B44" s="295"/>
      <c r="C44" s="274"/>
      <c r="D44" s="274"/>
      <c r="E44" s="274"/>
    </row>
    <row r="45" spans="1:5" ht="15.75">
      <c r="A45" s="331" t="s">
        <v>19</v>
      </c>
      <c r="B45" s="295"/>
      <c r="C45" s="332">
        <f>IF(C46*0.1&lt;C44,"Exceed 10% Rule","")</f>
      </c>
      <c r="D45" s="332">
        <f>IF(D46*0.1&lt;D44,"Exceed 10% Rule","")</f>
      </c>
      <c r="E45" s="332">
        <f>IF(E46*0.1&lt;E44,"Exceed 10% Rule","")</f>
      </c>
    </row>
    <row r="46" spans="1:5" ht="15.75">
      <c r="A46" s="169" t="s">
        <v>84</v>
      </c>
      <c r="B46" s="279"/>
      <c r="C46" s="276">
        <f>SUM(C39:C44)</f>
        <v>0</v>
      </c>
      <c r="D46" s="250">
        <f>SUM(D39:D44)</f>
        <v>0</v>
      </c>
      <c r="E46" s="250">
        <f>SUM(E39:E44)</f>
        <v>0</v>
      </c>
    </row>
    <row r="47" spans="1:5" ht="15.75">
      <c r="A47" s="169" t="s">
        <v>85</v>
      </c>
      <c r="B47" s="279"/>
      <c r="C47" s="276">
        <f>C37+C46</f>
        <v>0</v>
      </c>
      <c r="D47" s="250">
        <f>D37+D46</f>
        <v>0</v>
      </c>
      <c r="E47" s="250">
        <f>E37+E46</f>
        <v>0</v>
      </c>
    </row>
    <row r="48" spans="1:5" ht="15.75">
      <c r="A48" s="135" t="s">
        <v>86</v>
      </c>
      <c r="B48" s="279"/>
      <c r="C48" s="191"/>
      <c r="D48" s="98"/>
      <c r="E48" s="98"/>
    </row>
    <row r="49" spans="1:5" ht="15.75">
      <c r="A49" s="272"/>
      <c r="B49" s="280"/>
      <c r="C49" s="274"/>
      <c r="D49" s="19"/>
      <c r="E49" s="19"/>
    </row>
    <row r="50" spans="1:5" ht="15.75">
      <c r="A50" s="272"/>
      <c r="B50" s="280"/>
      <c r="C50" s="274"/>
      <c r="D50" s="19"/>
      <c r="E50" s="19"/>
    </row>
    <row r="51" spans="1:5" ht="15.75">
      <c r="A51" s="272"/>
      <c r="B51" s="280"/>
      <c r="C51" s="274"/>
      <c r="D51" s="19"/>
      <c r="E51" s="19"/>
    </row>
    <row r="52" spans="1:5" ht="15.75">
      <c r="A52" s="272"/>
      <c r="B52" s="280"/>
      <c r="C52" s="274"/>
      <c r="D52" s="19"/>
      <c r="E52" s="19"/>
    </row>
    <row r="53" spans="1:5" ht="15.75">
      <c r="A53" s="272"/>
      <c r="B53" s="280"/>
      <c r="C53" s="274"/>
      <c r="D53" s="19"/>
      <c r="E53" s="19"/>
    </row>
    <row r="54" spans="1:5" ht="15.75">
      <c r="A54" s="272"/>
      <c r="B54" s="280"/>
      <c r="C54" s="274"/>
      <c r="D54" s="19"/>
      <c r="E54" s="19"/>
    </row>
    <row r="55" spans="1:5" ht="15.75">
      <c r="A55" s="272"/>
      <c r="B55" s="280"/>
      <c r="C55" s="274"/>
      <c r="D55" s="19"/>
      <c r="E55" s="19"/>
    </row>
    <row r="56" spans="1:5" ht="15.75">
      <c r="A56" s="272"/>
      <c r="B56" s="280"/>
      <c r="C56" s="274"/>
      <c r="D56" s="19"/>
      <c r="E56" s="19"/>
    </row>
    <row r="57" spans="1:5" ht="15.75">
      <c r="A57" s="283" t="s">
        <v>18</v>
      </c>
      <c r="B57" s="295"/>
      <c r="C57" s="274"/>
      <c r="D57" s="274"/>
      <c r="E57" s="274"/>
    </row>
    <row r="58" spans="1:5" ht="15.75">
      <c r="A58" s="283" t="s">
        <v>21</v>
      </c>
      <c r="B58" s="295"/>
      <c r="C58" s="332">
        <f>IF(C59*0.1&lt;C57,"Exceed 10% Rule","")</f>
      </c>
      <c r="D58" s="332">
        <f>IF(D59*0.1&lt;D57,"Exceed 10% Rule","")</f>
      </c>
      <c r="E58" s="332">
        <f>IF(E59*0.1&lt;E57,"Exceed 10% Rule","")</f>
      </c>
    </row>
    <row r="59" spans="1:5" ht="15.75">
      <c r="A59" s="169" t="s">
        <v>87</v>
      </c>
      <c r="B59" s="279"/>
      <c r="C59" s="276">
        <f>SUM(C49:C57)</f>
        <v>0</v>
      </c>
      <c r="D59" s="250">
        <f>SUM(D49:D57)</f>
        <v>0</v>
      </c>
      <c r="E59" s="250">
        <f>SUM(E49:E57)</f>
        <v>0</v>
      </c>
    </row>
    <row r="60" spans="1:5" ht="15.75">
      <c r="A60" s="135" t="s">
        <v>195</v>
      </c>
      <c r="B60" s="279"/>
      <c r="C60" s="277">
        <f>C47-C59</f>
        <v>0</v>
      </c>
      <c r="D60" s="237">
        <f>D47-D59</f>
        <v>0</v>
      </c>
      <c r="E60" s="237">
        <f>E47-E59</f>
        <v>0</v>
      </c>
    </row>
    <row r="61" spans="1:5" ht="15.75">
      <c r="A61" s="173" t="str">
        <f>CONCATENATE("",E1-2," Budget Authority Limited Amount:")</f>
        <v>2011 Budget Authority Limited Amount:</v>
      </c>
      <c r="B61" s="304">
        <f>inputOth!B97</f>
        <v>0</v>
      </c>
      <c r="C61" s="36"/>
      <c r="D61" s="36"/>
      <c r="E61" s="36"/>
    </row>
    <row r="62" spans="1:5" ht="15.75">
      <c r="A62" s="173" t="str">
        <f>CONCATENATE("Violation of Budget Law for ",E1-2,":")</f>
        <v>Violation of Budget Law for 2011:</v>
      </c>
      <c r="B62" s="305">
        <f>IF(C59&gt;B61,"Yes","")</f>
      </c>
      <c r="C62" s="36"/>
      <c r="D62" s="36"/>
      <c r="E62" s="36"/>
    </row>
    <row r="63" spans="1:5" ht="15.75">
      <c r="A63" s="173" t="str">
        <f>CONCATENATE("Possible Cash Violation for ",E1-2,":")</f>
        <v>Possible Cash Violation for 2011:</v>
      </c>
      <c r="B63" s="305">
        <f>IF(C60&lt;0,"Yes","")</f>
      </c>
      <c r="C63" s="36"/>
      <c r="D63" s="36"/>
      <c r="E63" s="36"/>
    </row>
    <row r="64" spans="1:5" ht="15.75">
      <c r="A64" s="36"/>
      <c r="B64" s="36"/>
      <c r="C64" s="36"/>
      <c r="D64" s="36"/>
      <c r="E64" s="36"/>
    </row>
    <row r="65" spans="1:5" ht="15.75">
      <c r="A65" s="56"/>
      <c r="B65" s="56" t="s">
        <v>68</v>
      </c>
      <c r="C65" s="16"/>
      <c r="D65" s="36"/>
      <c r="E65" s="36"/>
    </row>
  </sheetData>
  <sheetProtection sheet="1" objects="1" scenarios="1"/>
  <conditionalFormatting sqref="C26">
    <cfRule type="cellIs" priority="1" dxfId="102" operator="greaterThan" stopIfTrue="1">
      <formula>$C$28*0.1</formula>
    </cfRule>
  </conditionalFormatting>
  <conditionalFormatting sqref="D26">
    <cfRule type="cellIs" priority="2" dxfId="102" operator="greaterThan" stopIfTrue="1">
      <formula>$D$28*0.1</formula>
    </cfRule>
  </conditionalFormatting>
  <conditionalFormatting sqref="E26">
    <cfRule type="cellIs" priority="3" dxfId="102" operator="greaterThan" stopIfTrue="1">
      <formula>$E$28*0.1</formula>
    </cfRule>
  </conditionalFormatting>
  <conditionalFormatting sqref="C57">
    <cfRule type="cellIs" priority="4" dxfId="102" operator="greaterThan" stopIfTrue="1">
      <formula>$C$59*0.1</formula>
    </cfRule>
  </conditionalFormatting>
  <conditionalFormatting sqref="D57">
    <cfRule type="cellIs" priority="5" dxfId="102" operator="greaterThan" stopIfTrue="1">
      <formula>$D$59*0.1</formula>
    </cfRule>
  </conditionalFormatting>
  <conditionalFormatting sqref="E57">
    <cfRule type="cellIs" priority="6" dxfId="102" operator="greaterThan" stopIfTrue="1">
      <formula>$E$59*0.1</formula>
    </cfRule>
  </conditionalFormatting>
  <conditionalFormatting sqref="C44">
    <cfRule type="cellIs" priority="7" dxfId="102" operator="greaterThan" stopIfTrue="1">
      <formula>$C$46*0.1</formula>
    </cfRule>
  </conditionalFormatting>
  <conditionalFormatting sqref="D44">
    <cfRule type="cellIs" priority="8" dxfId="102" operator="greaterThan" stopIfTrue="1">
      <formula>$D$46*0.1</formula>
    </cfRule>
  </conditionalFormatting>
  <conditionalFormatting sqref="E44">
    <cfRule type="cellIs" priority="9" dxfId="102" operator="greaterThan" stopIfTrue="1">
      <formula>$E$46*0.1</formula>
    </cfRule>
  </conditionalFormatting>
  <conditionalFormatting sqref="C13">
    <cfRule type="cellIs" priority="10" dxfId="102" operator="greaterThan" stopIfTrue="1">
      <formula>$C$15*0.1</formula>
    </cfRule>
  </conditionalFormatting>
  <conditionalFormatting sqref="D13">
    <cfRule type="cellIs" priority="11" dxfId="102" operator="greaterThan" stopIfTrue="1">
      <formula>$D$15*0.1</formula>
    </cfRule>
  </conditionalFormatting>
  <conditionalFormatting sqref="E13">
    <cfRule type="cellIs" priority="12" dxfId="102" operator="greaterThan" stopIfTrue="1">
      <formula>$E$15*0.1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8/06/07</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D24" sqref="D24"/>
    </sheetView>
  </sheetViews>
  <sheetFormatPr defaultColWidth="8.796875" defaultRowHeight="15.75"/>
  <cols>
    <col min="1" max="1" width="10.59765625" style="0" customWidth="1"/>
    <col min="2" max="2" width="13.69921875" style="0" customWidth="1"/>
    <col min="3" max="5" width="12.69921875" style="0" customWidth="1"/>
  </cols>
  <sheetData>
    <row r="1" spans="1:6" ht="15.75">
      <c r="A1" s="41" t="str">
        <f>inputPrYr!D3</f>
        <v>Hackberry Township</v>
      </c>
      <c r="B1" s="36"/>
      <c r="C1" s="36"/>
      <c r="D1" s="36"/>
      <c r="E1" s="36"/>
      <c r="F1" s="36">
        <f>inputPrYr!D9</f>
        <v>2013</v>
      </c>
    </row>
    <row r="2" spans="1:6" ht="15.75">
      <c r="A2" s="36"/>
      <c r="B2" s="36"/>
      <c r="C2" s="36"/>
      <c r="D2" s="36"/>
      <c r="E2" s="36"/>
      <c r="F2" s="36"/>
    </row>
    <row r="3" spans="1:6" ht="15.75">
      <c r="A3" s="36"/>
      <c r="B3" s="388" t="str">
        <f>CONCATENATE("",F1," Neighborhood Revitalization Rebate")</f>
        <v>2013 Neighborhood Revitalization Rebate</v>
      </c>
      <c r="C3" s="393"/>
      <c r="D3" s="393"/>
      <c r="E3" s="393"/>
      <c r="F3" s="36"/>
    </row>
    <row r="4" spans="1:6" ht="15.75">
      <c r="A4" s="36"/>
      <c r="B4" s="36"/>
      <c r="C4" s="36"/>
      <c r="D4" s="36"/>
      <c r="E4" s="36"/>
      <c r="F4" s="36"/>
    </row>
    <row r="5" spans="1:6" ht="51" customHeight="1">
      <c r="A5" s="36"/>
      <c r="B5" s="313" t="str">
        <f>CONCATENATE("Budgeted Funds for ",F1-1,"")</f>
        <v>Budgeted Funds for 2012</v>
      </c>
      <c r="C5" s="314" t="str">
        <f>CONCATENATE("",F1-1," Ad Valorem before Rebate")</f>
        <v>2012 Ad Valorem before Rebate</v>
      </c>
      <c r="D5" s="315" t="str">
        <f>CONCATENATE("",F1-1," Mil Rate before Rebate")</f>
        <v>2012 Mil Rate before Rebate</v>
      </c>
      <c r="E5" s="316" t="str">
        <f>CONCATENATE("Estimate ",F1," NR Rebate")</f>
        <v>Estimate 2013 NR Rebate</v>
      </c>
      <c r="F5" s="133"/>
    </row>
    <row r="6" spans="1:6" ht="15.75">
      <c r="A6" s="36"/>
      <c r="B6" s="96" t="str">
        <f>IF(inputPrYr!B19&gt;0,inputPrYr!B19,"")</f>
        <v>General</v>
      </c>
      <c r="C6" s="317"/>
      <c r="D6" s="318">
        <f aca="true" t="shared" si="0" ref="D6:D16">IF(C6&gt;0,C6/$D$22,"")</f>
      </c>
      <c r="E6" s="319">
        <f aca="true" t="shared" si="1" ref="E6:E16">IF(C6&gt;0,D6*$D$26,"")</f>
      </c>
      <c r="F6" s="133"/>
    </row>
    <row r="7" spans="1:6" ht="15.75">
      <c r="A7" s="36"/>
      <c r="B7" s="96" t="str">
        <f>IF(inputPrYr!B20&gt;0,inputPrYr!B20,"")</f>
        <v>Bond &amp; Interest</v>
      </c>
      <c r="C7" s="317"/>
      <c r="D7" s="318">
        <f t="shared" si="0"/>
      </c>
      <c r="E7" s="319">
        <f t="shared" si="1"/>
      </c>
      <c r="F7" s="133"/>
    </row>
    <row r="8" spans="1:6" ht="15.75">
      <c r="A8" s="36"/>
      <c r="B8" s="96" t="str">
        <f>IF(inputPrYr!B21&gt;0,inputPrYr!B21,"")</f>
        <v>Road</v>
      </c>
      <c r="C8" s="317"/>
      <c r="D8" s="318">
        <f t="shared" si="0"/>
      </c>
      <c r="E8" s="319">
        <f t="shared" si="1"/>
      </c>
      <c r="F8" s="133"/>
    </row>
    <row r="9" spans="1:6" ht="15.75">
      <c r="A9" s="36"/>
      <c r="B9" s="96" t="str">
        <f>IF(inputPrYr!B22&gt;0,inputPrYr!B22,"")</f>
        <v>Noxious Weed</v>
      </c>
      <c r="C9" s="317"/>
      <c r="D9" s="318">
        <f t="shared" si="0"/>
      </c>
      <c r="E9" s="319">
        <f t="shared" si="1"/>
      </c>
      <c r="F9" s="133"/>
    </row>
    <row r="10" spans="1:6" ht="15.75">
      <c r="A10" s="36"/>
      <c r="B10" s="96">
        <f>IF(inputPrYr!B23&gt;0,inputPrYr!B23,"")</f>
      </c>
      <c r="C10" s="317"/>
      <c r="D10" s="318">
        <f t="shared" si="0"/>
      </c>
      <c r="E10" s="319">
        <f t="shared" si="1"/>
      </c>
      <c r="F10" s="133"/>
    </row>
    <row r="11" spans="1:6" ht="15.75">
      <c r="A11" s="36"/>
      <c r="B11" s="96">
        <f>IF(inputPrYr!B24&gt;0,inputPrYr!B24,"")</f>
      </c>
      <c r="C11" s="317"/>
      <c r="D11" s="318">
        <f t="shared" si="0"/>
      </c>
      <c r="E11" s="319">
        <f t="shared" si="1"/>
      </c>
      <c r="F11" s="133"/>
    </row>
    <row r="12" spans="1:6" ht="15.75">
      <c r="A12" s="36"/>
      <c r="B12" s="96">
        <f>IF(inputPrYr!B25&gt;0,inputPrYr!B25,"")</f>
      </c>
      <c r="C12" s="320"/>
      <c r="D12" s="318">
        <f t="shared" si="0"/>
      </c>
      <c r="E12" s="319">
        <f t="shared" si="1"/>
      </c>
      <c r="F12" s="133"/>
    </row>
    <row r="13" spans="1:6" ht="15.75">
      <c r="A13" s="36"/>
      <c r="B13" s="96">
        <f>IF(inputPrYr!B26&gt;0,inputPrYr!B26,"")</f>
      </c>
      <c r="C13" s="320"/>
      <c r="D13" s="318">
        <f t="shared" si="0"/>
      </c>
      <c r="E13" s="319">
        <f t="shared" si="1"/>
      </c>
      <c r="F13" s="133"/>
    </row>
    <row r="14" spans="1:6" ht="15.75">
      <c r="A14" s="36"/>
      <c r="B14" s="96">
        <f>IF(inputPrYr!B27&gt;0,inputPrYr!B27,"")</f>
      </c>
      <c r="C14" s="320"/>
      <c r="D14" s="318">
        <f t="shared" si="0"/>
      </c>
      <c r="E14" s="319">
        <f t="shared" si="1"/>
      </c>
      <c r="F14" s="133"/>
    </row>
    <row r="15" spans="1:6" ht="15.75">
      <c r="A15" s="36"/>
      <c r="B15" s="96">
        <f>IF(inputPrYr!B28&gt;0,inputPrYr!B28,"")</f>
      </c>
      <c r="C15" s="320"/>
      <c r="D15" s="318">
        <f t="shared" si="0"/>
      </c>
      <c r="E15" s="319">
        <f t="shared" si="1"/>
      </c>
      <c r="F15" s="133"/>
    </row>
    <row r="16" spans="1:6" ht="15.75">
      <c r="A16" s="36"/>
      <c r="B16" s="96">
        <f>IF(inputPrYr!B29&gt;0,inputPrYr!B29,"")</f>
      </c>
      <c r="C16" s="320"/>
      <c r="D16" s="318">
        <f t="shared" si="0"/>
      </c>
      <c r="E16" s="319">
        <f t="shared" si="1"/>
      </c>
      <c r="F16" s="133"/>
    </row>
    <row r="17" spans="1:6" ht="16.5" thickBot="1">
      <c r="A17" s="36"/>
      <c r="B17" s="97" t="s">
        <v>14</v>
      </c>
      <c r="C17" s="321">
        <f>SUM(C6:C16)</f>
        <v>0</v>
      </c>
      <c r="D17" s="322">
        <f>SUM(D6:D16)</f>
        <v>0</v>
      </c>
      <c r="E17" s="321">
        <f>SUM(E6:E16)</f>
        <v>0</v>
      </c>
      <c r="F17" s="133"/>
    </row>
    <row r="18" spans="1:6" ht="16.5" thickTop="1">
      <c r="A18" s="36"/>
      <c r="B18" s="36"/>
      <c r="C18" s="36"/>
      <c r="D18" s="36"/>
      <c r="E18" s="36"/>
      <c r="F18" s="133"/>
    </row>
    <row r="19" spans="1:6" ht="15.75">
      <c r="A19" s="36"/>
      <c r="B19" s="36"/>
      <c r="C19" s="36"/>
      <c r="D19" s="36"/>
      <c r="E19" s="36"/>
      <c r="F19" s="133"/>
    </row>
    <row r="20" spans="1:6" ht="15.75">
      <c r="A20" s="431" t="str">
        <f>CONCATENATE("",F1-1," Net Valuation (July 1 less NR Valuation)")</f>
        <v>2012 Net Valuation (July 1 less NR Valuation)</v>
      </c>
      <c r="B20" s="415"/>
      <c r="C20" s="431"/>
      <c r="D20" s="323">
        <f>inputOth!E11-inputOth!E33</f>
        <v>2750933</v>
      </c>
      <c r="E20" s="36"/>
      <c r="F20" s="133"/>
    </row>
    <row r="21" spans="1:6" ht="15.75">
      <c r="A21" s="36"/>
      <c r="B21" s="36"/>
      <c r="C21" s="36"/>
      <c r="D21" s="36"/>
      <c r="E21" s="36"/>
      <c r="F21" s="133"/>
    </row>
    <row r="22" spans="1:6" ht="15.75">
      <c r="A22" s="36"/>
      <c r="B22" s="431" t="s">
        <v>15</v>
      </c>
      <c r="C22" s="431"/>
      <c r="D22" s="324">
        <f>IF(D20&gt;0,(D20*0.001),"")</f>
        <v>2750.933</v>
      </c>
      <c r="E22" s="36"/>
      <c r="F22" s="133"/>
    </row>
    <row r="23" spans="1:6" ht="15.75">
      <c r="A23" s="36"/>
      <c r="B23" s="173"/>
      <c r="C23" s="173"/>
      <c r="D23" s="325"/>
      <c r="E23" s="36"/>
      <c r="F23" s="133"/>
    </row>
    <row r="24" spans="1:6" ht="15.75">
      <c r="A24" s="430" t="s">
        <v>16</v>
      </c>
      <c r="B24" s="405"/>
      <c r="C24" s="405"/>
      <c r="D24" s="327">
        <f>inputOth!E33</f>
        <v>0</v>
      </c>
      <c r="E24" s="180"/>
      <c r="F24" s="180"/>
    </row>
    <row r="25" spans="1:6" ht="15.75">
      <c r="A25" s="180"/>
      <c r="B25" s="180"/>
      <c r="C25" s="180"/>
      <c r="D25" s="328"/>
      <c r="E25" s="180"/>
      <c r="F25" s="180"/>
    </row>
    <row r="26" spans="1:6" ht="15.75">
      <c r="A26" s="180"/>
      <c r="B26" s="430" t="s">
        <v>17</v>
      </c>
      <c r="C26" s="415"/>
      <c r="D26" s="329">
        <f>IF(D24&gt;0,(D24*0.001),"")</f>
      </c>
      <c r="E26" s="180"/>
      <c r="F26" s="180"/>
    </row>
    <row r="27" spans="1:6" ht="15.75">
      <c r="A27" s="180"/>
      <c r="B27" s="180"/>
      <c r="C27" s="180"/>
      <c r="D27" s="180"/>
      <c r="E27" s="180"/>
      <c r="F27" s="180"/>
    </row>
    <row r="28" spans="1:6" ht="15.75">
      <c r="A28" s="180"/>
      <c r="B28" s="180"/>
      <c r="C28" s="180"/>
      <c r="D28" s="180"/>
      <c r="E28" s="180"/>
      <c r="F28" s="180"/>
    </row>
    <row r="29" spans="1:6" ht="15.75">
      <c r="A29" s="180"/>
      <c r="B29" s="180"/>
      <c r="C29" s="180"/>
      <c r="D29" s="180"/>
      <c r="E29" s="180"/>
      <c r="F29" s="180"/>
    </row>
    <row r="30" spans="1:6" ht="15.75">
      <c r="A30" s="180"/>
      <c r="B30" s="180"/>
      <c r="C30" s="180"/>
      <c r="D30" s="180"/>
      <c r="E30" s="180"/>
      <c r="F30" s="180"/>
    </row>
    <row r="31" spans="1:6" ht="15.75">
      <c r="A31" s="180"/>
      <c r="B31" s="180"/>
      <c r="C31" s="180"/>
      <c r="D31" s="180"/>
      <c r="E31" s="180"/>
      <c r="F31" s="180"/>
    </row>
    <row r="32" spans="1:6" ht="15.75">
      <c r="A32" s="180"/>
      <c r="B32" s="180"/>
      <c r="C32" s="180"/>
      <c r="D32" s="180"/>
      <c r="E32" s="180"/>
      <c r="F32" s="180"/>
    </row>
    <row r="33" spans="1:6" ht="15.75">
      <c r="A33" s="180"/>
      <c r="B33" s="326" t="s">
        <v>68</v>
      </c>
      <c r="C33" s="16"/>
      <c r="D33" s="180"/>
      <c r="E33" s="180"/>
      <c r="F33" s="180"/>
    </row>
    <row r="34" spans="1:6" ht="15.75">
      <c r="A34" s="133"/>
      <c r="B34" s="36"/>
      <c r="C34" s="36"/>
      <c r="D34" s="330"/>
      <c r="E34" s="133"/>
      <c r="F34" s="133"/>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&amp;L8/06/07</oddFooter>
  </headerFooter>
</worksheet>
</file>

<file path=xl/worksheets/sheet24.xml><?xml version="1.0" encoding="utf-8"?>
<worksheet xmlns="http://schemas.openxmlformats.org/spreadsheetml/2006/main" xmlns:r="http://schemas.openxmlformats.org/officeDocument/2006/relationships">
  <dimension ref="A1:A30"/>
  <sheetViews>
    <sheetView zoomScalePageLayoutView="0" workbookViewId="0" topLeftCell="A16">
      <selection activeCell="A31" sqref="A31"/>
    </sheetView>
  </sheetViews>
  <sheetFormatPr defaultColWidth="8.796875" defaultRowHeight="15.75"/>
  <cols>
    <col min="1" max="1" width="72.09765625" style="1" customWidth="1"/>
    <col min="2" max="16384" width="8.796875" style="1" customWidth="1"/>
  </cols>
  <sheetData>
    <row r="1" ht="15.75">
      <c r="A1" s="1" t="s">
        <v>281</v>
      </c>
    </row>
    <row r="2" ht="47.25">
      <c r="A2" s="4" t="s">
        <v>318</v>
      </c>
    </row>
    <row r="3" ht="15.75">
      <c r="A3" s="1" t="s">
        <v>282</v>
      </c>
    </row>
    <row r="4" ht="15.75">
      <c r="A4" s="1" t="s">
        <v>286</v>
      </c>
    </row>
    <row r="5" ht="15.75">
      <c r="A5" s="1" t="s">
        <v>287</v>
      </c>
    </row>
    <row r="6" ht="15.75">
      <c r="A6" s="1" t="s">
        <v>283</v>
      </c>
    </row>
    <row r="7" ht="15.75">
      <c r="A7" s="1" t="s">
        <v>284</v>
      </c>
    </row>
    <row r="8" ht="15.75">
      <c r="A8" s="1" t="s">
        <v>285</v>
      </c>
    </row>
    <row r="9" ht="15.75">
      <c r="A9" s="4" t="s">
        <v>25</v>
      </c>
    </row>
    <row r="10" ht="15.75">
      <c r="A10" s="1" t="s">
        <v>288</v>
      </c>
    </row>
    <row r="11" ht="15.75">
      <c r="A11" s="1" t="s">
        <v>289</v>
      </c>
    </row>
    <row r="12" ht="15.75">
      <c r="A12" s="1" t="s">
        <v>319</v>
      </c>
    </row>
    <row r="13" ht="15.75">
      <c r="A13" s="1" t="s">
        <v>306</v>
      </c>
    </row>
    <row r="14" ht="15.75">
      <c r="A14" s="1" t="s">
        <v>320</v>
      </c>
    </row>
    <row r="15" ht="15.75">
      <c r="A15" s="1" t="s">
        <v>290</v>
      </c>
    </row>
    <row r="16" ht="15.75">
      <c r="A16" s="1" t="s">
        <v>26</v>
      </c>
    </row>
    <row r="17" ht="15.75">
      <c r="A17" s="1" t="s">
        <v>291</v>
      </c>
    </row>
    <row r="18" ht="15.75">
      <c r="A18" s="1" t="s">
        <v>307</v>
      </c>
    </row>
    <row r="19" ht="31.5">
      <c r="A19" s="4" t="s">
        <v>308</v>
      </c>
    </row>
    <row r="20" ht="15.75">
      <c r="A20" s="1" t="s">
        <v>309</v>
      </c>
    </row>
    <row r="21" ht="15.75">
      <c r="A21" s="1" t="s">
        <v>321</v>
      </c>
    </row>
    <row r="22" ht="15.75">
      <c r="A22" s="1" t="s">
        <v>24</v>
      </c>
    </row>
    <row r="23" ht="15.75">
      <c r="A23" s="1" t="s">
        <v>23</v>
      </c>
    </row>
    <row r="24" ht="15.75">
      <c r="A24" s="1" t="s">
        <v>323</v>
      </c>
    </row>
    <row r="25" ht="15.75">
      <c r="A25" s="1" t="s">
        <v>22</v>
      </c>
    </row>
    <row r="26" ht="15.75">
      <c r="A26" s="1" t="s">
        <v>328</v>
      </c>
    </row>
    <row r="27" ht="15.75">
      <c r="A27" s="1" t="s">
        <v>336</v>
      </c>
    </row>
    <row r="28" ht="15.75">
      <c r="A28" s="1" t="s">
        <v>337</v>
      </c>
    </row>
    <row r="29" ht="15.75">
      <c r="A29" s="1" t="s">
        <v>361</v>
      </c>
    </row>
    <row r="30" ht="15.75">
      <c r="A30" s="1" t="s">
        <v>362</v>
      </c>
    </row>
  </sheetData>
  <sheetProtection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58" sqref="E5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194" t="str">
        <f>inputPrYr!D3</f>
        <v>Hackberry Township</v>
      </c>
      <c r="B1" s="155"/>
      <c r="C1" s="155"/>
      <c r="D1" s="155"/>
      <c r="E1" s="155">
        <f>inputPrYr!D9</f>
        <v>2013</v>
      </c>
    </row>
    <row r="2" spans="1:5" ht="15.75">
      <c r="A2" s="194" t="str">
        <f>inputPrYr!D4</f>
        <v>Labette</v>
      </c>
      <c r="B2" s="155"/>
      <c r="C2" s="155"/>
      <c r="D2" s="155"/>
      <c r="E2" s="155"/>
    </row>
    <row r="3" spans="1:5" ht="15.75">
      <c r="A3" s="155"/>
      <c r="B3" s="155"/>
      <c r="C3" s="155"/>
      <c r="D3" s="155"/>
      <c r="E3" s="155"/>
    </row>
    <row r="4" spans="1:5" ht="15.75">
      <c r="A4" s="370" t="s">
        <v>241</v>
      </c>
      <c r="B4" s="371"/>
      <c r="C4" s="371"/>
      <c r="D4" s="371"/>
      <c r="E4" s="371"/>
    </row>
    <row r="5" spans="1:5" ht="15.75">
      <c r="A5" s="155"/>
      <c r="B5" s="155"/>
      <c r="C5" s="155"/>
      <c r="D5" s="155"/>
      <c r="E5" s="155"/>
    </row>
    <row r="6" spans="1:5" ht="15.75">
      <c r="A6" s="380" t="str">
        <f>CONCATENATE("From the County Clerks Budget Information for ",E1,":")</f>
        <v>From the County Clerks Budget Information for 2013:</v>
      </c>
      <c r="B6" s="381"/>
      <c r="C6" s="381"/>
      <c r="D6" s="381"/>
      <c r="E6" s="381"/>
    </row>
    <row r="7" spans="1:5" ht="15.75">
      <c r="A7" s="261" t="str">
        <f>CONCATENATE("Assessed Valuation for ",E1-1,":")</f>
        <v>Assessed Valuation for 2012:</v>
      </c>
      <c r="B7" s="52"/>
      <c r="C7" s="52"/>
      <c r="D7" s="52"/>
      <c r="E7" s="187"/>
    </row>
    <row r="8" spans="1:5" ht="15.75">
      <c r="A8" s="107" t="s">
        <v>305</v>
      </c>
      <c r="B8" s="118"/>
      <c r="C8" s="118"/>
      <c r="D8" s="118"/>
      <c r="E8" s="186">
        <v>2311693</v>
      </c>
    </row>
    <row r="9" spans="1:5" ht="15.75">
      <c r="A9" s="126" t="str">
        <f>inputPrYr!$D$6</f>
        <v>Bartlett</v>
      </c>
      <c r="B9" s="127"/>
      <c r="C9" s="127"/>
      <c r="D9" s="127"/>
      <c r="E9" s="186">
        <v>439240</v>
      </c>
    </row>
    <row r="10" spans="1:5" ht="15.75">
      <c r="A10" s="126">
        <f>inputPrYr!$D$7</f>
        <v>0</v>
      </c>
      <c r="B10" s="127"/>
      <c r="C10" s="127"/>
      <c r="D10" s="127"/>
      <c r="E10" s="186"/>
    </row>
    <row r="11" spans="1:5" ht="15.75">
      <c r="A11" s="126" t="str">
        <f>CONCATENATE("Total Assessed Valuation for ",$E$1-1,"")</f>
        <v>Total Assessed Valuation for 2012</v>
      </c>
      <c r="B11" s="127"/>
      <c r="C11" s="127"/>
      <c r="D11" s="127"/>
      <c r="E11" s="259">
        <f>SUM(E8:E10)</f>
        <v>2750933</v>
      </c>
    </row>
    <row r="12" spans="1:5" ht="15.75">
      <c r="A12" s="260" t="str">
        <f>CONCATENATE("New Improvements for ",E1-1,":")</f>
        <v>New Improvements for 2012:</v>
      </c>
      <c r="B12" s="52"/>
      <c r="C12" s="52"/>
      <c r="D12" s="52"/>
      <c r="E12" s="184"/>
    </row>
    <row r="13" spans="1:5" ht="15.75">
      <c r="A13" s="107" t="s">
        <v>305</v>
      </c>
      <c r="B13" s="118"/>
      <c r="C13" s="118"/>
      <c r="D13" s="118"/>
      <c r="E13" s="258">
        <v>167210</v>
      </c>
    </row>
    <row r="14" spans="1:5" ht="15.75">
      <c r="A14" s="126" t="str">
        <f>inputPrYr!$D$6</f>
        <v>Bartlett</v>
      </c>
      <c r="B14" s="118"/>
      <c r="C14" s="118"/>
      <c r="D14" s="118"/>
      <c r="E14" s="29">
        <v>0</v>
      </c>
    </row>
    <row r="15" spans="1:5" ht="15.75">
      <c r="A15" s="126">
        <f>inputPrYr!$D$7</f>
        <v>0</v>
      </c>
      <c r="B15" s="118"/>
      <c r="C15" s="118"/>
      <c r="D15" s="118"/>
      <c r="E15" s="29"/>
    </row>
    <row r="16" spans="1:5" ht="15.75">
      <c r="A16" s="126" t="str">
        <f>CONCATENATE("Total New Improvements for ",$E$1-1,"")</f>
        <v>Total New Improvements for 2012</v>
      </c>
      <c r="B16" s="127"/>
      <c r="C16" s="127"/>
      <c r="D16" s="127"/>
      <c r="E16" s="257">
        <f>SUM(E13:E15)</f>
        <v>167210</v>
      </c>
    </row>
    <row r="17" spans="1:5" ht="15.75">
      <c r="A17" s="260" t="str">
        <f>CONCATENATE("Personal Property excluding oil, gas, and mobile homes- ",E1-1,":")</f>
        <v>Personal Property excluding oil, gas, and mobile homes- 2012:</v>
      </c>
      <c r="B17" s="52"/>
      <c r="C17" s="52"/>
      <c r="D17" s="52"/>
      <c r="E17" s="184"/>
    </row>
    <row r="18" spans="1:5" ht="15.75">
      <c r="A18" s="107" t="s">
        <v>305</v>
      </c>
      <c r="B18" s="118"/>
      <c r="C18" s="118"/>
      <c r="D18" s="118"/>
      <c r="E18" s="258">
        <v>54301</v>
      </c>
    </row>
    <row r="19" spans="1:5" ht="15.75">
      <c r="A19" s="126" t="str">
        <f>inputPrYr!$D$6</f>
        <v>Bartlett</v>
      </c>
      <c r="B19" s="127"/>
      <c r="C19" s="127"/>
      <c r="D19" s="127"/>
      <c r="E19" s="29">
        <v>36020</v>
      </c>
    </row>
    <row r="20" spans="1:5" ht="15.75">
      <c r="A20" s="126">
        <f>inputPrYr!$D$7</f>
        <v>0</v>
      </c>
      <c r="B20" s="127"/>
      <c r="C20" s="127"/>
      <c r="D20" s="127"/>
      <c r="E20" s="29"/>
    </row>
    <row r="21" spans="1:5" ht="15.75">
      <c r="A21" s="126" t="str">
        <f>CONCATENATE("Total Personal Property excluding oil, gas, and mobile homes for ",$E$1-1,"")</f>
        <v>Total Personal Property excluding oil, gas, and mobile homes for 2012</v>
      </c>
      <c r="B21" s="127"/>
      <c r="C21" s="127"/>
      <c r="D21" s="127"/>
      <c r="E21" s="257">
        <f>SUM(E18:E20)</f>
        <v>90321</v>
      </c>
    </row>
    <row r="22" spans="1:5" ht="15.75">
      <c r="A22" s="260" t="str">
        <f>CONCATENATE("Property that has changed in use for ",E1-1,":")</f>
        <v>Property that has changed in use for 2012:</v>
      </c>
      <c r="B22" s="52"/>
      <c r="C22" s="52"/>
      <c r="D22" s="52"/>
      <c r="E22" s="184"/>
    </row>
    <row r="23" spans="1:5" ht="15.75">
      <c r="A23" s="107" t="s">
        <v>305</v>
      </c>
      <c r="B23" s="118"/>
      <c r="C23" s="118"/>
      <c r="D23" s="118"/>
      <c r="E23" s="258">
        <v>4262</v>
      </c>
    </row>
    <row r="24" spans="1:5" ht="15.75">
      <c r="A24" s="126" t="str">
        <f>inputPrYr!$D$6</f>
        <v>Bartlett</v>
      </c>
      <c r="B24" s="127"/>
      <c r="C24" s="127"/>
      <c r="D24" s="127"/>
      <c r="E24" s="29">
        <v>823</v>
      </c>
    </row>
    <row r="25" spans="1:5" ht="15.75">
      <c r="A25" s="126">
        <f>inputPrYr!$D$7</f>
        <v>0</v>
      </c>
      <c r="B25" s="127"/>
      <c r="C25" s="127"/>
      <c r="D25" s="127"/>
      <c r="E25" s="29"/>
    </row>
    <row r="26" spans="1:5" ht="15.75">
      <c r="A26" s="126" t="str">
        <f>CONCATENATE("Total Property that has changed in use for ",$E$1-1,"")</f>
        <v>Total Property that has changed in use for 2012</v>
      </c>
      <c r="B26" s="127"/>
      <c r="C26" s="127"/>
      <c r="D26" s="127"/>
      <c r="E26" s="257">
        <f>SUM(E23:E25)</f>
        <v>5085</v>
      </c>
    </row>
    <row r="27" spans="1:5" ht="15.75">
      <c r="A27" s="260" t="str">
        <f>CONCATENATE("Personal Property excluding oil, gas, and mobile homes- ",E1-2,":")</f>
        <v>Personal Property excluding oil, gas, and mobile homes- 2011:</v>
      </c>
      <c r="B27" s="52"/>
      <c r="C27" s="52"/>
      <c r="D27" s="52"/>
      <c r="E27" s="184"/>
    </row>
    <row r="28" spans="1:5" ht="15.75">
      <c r="A28" s="107" t="s">
        <v>305</v>
      </c>
      <c r="B28" s="118"/>
      <c r="C28" s="118"/>
      <c r="D28" s="118"/>
      <c r="E28" s="258">
        <v>51239</v>
      </c>
    </row>
    <row r="29" spans="1:5" ht="15.75">
      <c r="A29" s="126" t="str">
        <f>inputPrYr!$D$6</f>
        <v>Bartlett</v>
      </c>
      <c r="B29" s="127"/>
      <c r="C29" s="127"/>
      <c r="D29" s="127"/>
      <c r="E29" s="29">
        <v>38572</v>
      </c>
    </row>
    <row r="30" spans="1:5" ht="15.75">
      <c r="A30" s="126">
        <f>inputPrYr!$D$7</f>
        <v>0</v>
      </c>
      <c r="B30" s="127"/>
      <c r="C30" s="127"/>
      <c r="D30" s="127"/>
      <c r="E30" s="29"/>
    </row>
    <row r="31" spans="1:5" ht="15.75">
      <c r="A31" s="126" t="str">
        <f>CONCATENATE("Total Personal Property excluding oil, gas, and mobile homes for ",$E$1-2,"")</f>
        <v>Total Personal Property excluding oil, gas, and mobile homes for 2011</v>
      </c>
      <c r="B31" s="127"/>
      <c r="C31" s="127"/>
      <c r="D31" s="127"/>
      <c r="E31" s="257">
        <f>SUM(E28:E30)</f>
        <v>89811</v>
      </c>
    </row>
    <row r="32" spans="1:5" ht="15.75">
      <c r="A32" s="126" t="str">
        <f>CONCATENATE("Gross earnings (intangible) tax estimate for ",E1,"")</f>
        <v>Gross earnings (intangible) tax estimate for 2013</v>
      </c>
      <c r="B32" s="127"/>
      <c r="C32" s="127"/>
      <c r="D32" s="127"/>
      <c r="E32" s="29"/>
    </row>
    <row r="33" spans="1:5" ht="15.75">
      <c r="A33" s="126" t="str">
        <f>CONCATENATE("Neighborhood Revitalization for ",E1,"")</f>
        <v>Neighborhood Revitalization for 2013</v>
      </c>
      <c r="B33" s="127"/>
      <c r="C33" s="127"/>
      <c r="D33" s="127"/>
      <c r="E33" s="29"/>
    </row>
    <row r="34" spans="1:5" ht="15.75">
      <c r="A34" s="39"/>
      <c r="B34" s="52"/>
      <c r="C34" s="52"/>
      <c r="D34" s="52"/>
      <c r="E34" s="184"/>
    </row>
    <row r="35" spans="1:5" ht="15.75">
      <c r="A35" s="260" t="str">
        <f>CONCATENATE("Actual Tax Rates for the ",E1-1," Budget:")</f>
        <v>Actual Tax Rates for the 2012 Budget:</v>
      </c>
      <c r="B35" s="52"/>
      <c r="C35" s="52"/>
      <c r="D35" s="52"/>
      <c r="E35" s="187"/>
    </row>
    <row r="36" spans="1:5" ht="15.75">
      <c r="A36" s="378" t="s">
        <v>48</v>
      </c>
      <c r="B36" s="379"/>
      <c r="C36" s="155"/>
      <c r="D36" s="188" t="s">
        <v>62</v>
      </c>
      <c r="E36" s="187"/>
    </row>
    <row r="37" spans="1:5" ht="15.75">
      <c r="A37" s="107" t="str">
        <f>inputPrYr!B19</f>
        <v>General</v>
      </c>
      <c r="B37" s="118"/>
      <c r="C37" s="52"/>
      <c r="D37" s="246">
        <v>6.858</v>
      </c>
      <c r="E37" s="187"/>
    </row>
    <row r="38" spans="1:5" ht="15.75">
      <c r="A38" s="107" t="str">
        <f>inputPrYr!B20</f>
        <v>Bond &amp; Interest</v>
      </c>
      <c r="B38" s="127"/>
      <c r="C38" s="52"/>
      <c r="D38" s="247"/>
      <c r="E38" s="187"/>
    </row>
    <row r="39" spans="1:5" ht="15.75">
      <c r="A39" s="107" t="str">
        <f>inputPrYr!B21</f>
        <v>Road</v>
      </c>
      <c r="B39" s="127"/>
      <c r="C39" s="52"/>
      <c r="D39" s="247"/>
      <c r="E39" s="187"/>
    </row>
    <row r="40" spans="1:5" ht="15.75">
      <c r="A40" s="107" t="str">
        <f>inputPrYr!B22</f>
        <v>Noxious Weed</v>
      </c>
      <c r="B40" s="127"/>
      <c r="C40" s="52"/>
      <c r="D40" s="247"/>
      <c r="E40" s="187"/>
    </row>
    <row r="41" spans="1:5" ht="15.75">
      <c r="A41" s="107">
        <f>inputPrYr!B23</f>
        <v>0</v>
      </c>
      <c r="B41" s="127"/>
      <c r="C41" s="52"/>
      <c r="D41" s="247"/>
      <c r="E41" s="187"/>
    </row>
    <row r="42" spans="1:5" ht="15.75">
      <c r="A42" s="107">
        <f>inputPrYr!B24</f>
        <v>0</v>
      </c>
      <c r="B42" s="127"/>
      <c r="C42" s="52"/>
      <c r="D42" s="248"/>
      <c r="E42" s="187"/>
    </row>
    <row r="43" spans="1:5" ht="15.75">
      <c r="A43" s="107">
        <f>inputPrYr!B25</f>
        <v>0</v>
      </c>
      <c r="B43" s="127"/>
      <c r="C43" s="52"/>
      <c r="D43" s="248"/>
      <c r="E43" s="187"/>
    </row>
    <row r="44" spans="1:5" ht="15.75">
      <c r="A44" s="107">
        <f>inputPrYr!B26</f>
        <v>0</v>
      </c>
      <c r="B44" s="127"/>
      <c r="C44" s="52"/>
      <c r="D44" s="248"/>
      <c r="E44" s="187"/>
    </row>
    <row r="45" spans="1:5" ht="15.75">
      <c r="A45" s="107">
        <f>inputPrYr!B27</f>
        <v>0</v>
      </c>
      <c r="B45" s="127"/>
      <c r="C45" s="52"/>
      <c r="D45" s="248"/>
      <c r="E45" s="187"/>
    </row>
    <row r="46" spans="1:5" ht="15.75">
      <c r="A46" s="107">
        <f>inputPrYr!B28</f>
        <v>0</v>
      </c>
      <c r="B46" s="127"/>
      <c r="C46" s="52"/>
      <c r="D46" s="248"/>
      <c r="E46" s="187"/>
    </row>
    <row r="47" spans="1:5" ht="15.75">
      <c r="A47" s="107">
        <f>inputPrYr!B29</f>
        <v>0</v>
      </c>
      <c r="B47" s="127"/>
      <c r="C47" s="52"/>
      <c r="D47" s="248"/>
      <c r="E47" s="187"/>
    </row>
    <row r="48" spans="1:5" ht="15.75">
      <c r="A48" s="36"/>
      <c r="B48" s="52" t="s">
        <v>38</v>
      </c>
      <c r="C48" s="52"/>
      <c r="D48" s="222">
        <f>SUM(D37:D47)</f>
        <v>6.858</v>
      </c>
      <c r="E48" s="36"/>
    </row>
    <row r="49" spans="1:5" ht="15.75">
      <c r="A49" s="36"/>
      <c r="B49" s="36"/>
      <c r="C49" s="36"/>
      <c r="D49" s="36"/>
      <c r="E49" s="36"/>
    </row>
    <row r="50" spans="1:5" ht="15.75">
      <c r="A50" s="240" t="str">
        <f>CONCATENATE("Final Assessed Valuation from the November 1, ",E1-2," Abstract:")</f>
        <v>Final Assessed Valuation from the November 1, 2011 Abstract:</v>
      </c>
      <c r="B50" s="52"/>
      <c r="C50" s="52"/>
      <c r="D50" s="52"/>
      <c r="E50" s="50"/>
    </row>
    <row r="51" spans="1:5" ht="15.75">
      <c r="A51" s="118" t="s">
        <v>305</v>
      </c>
      <c r="B51" s="118"/>
      <c r="C51" s="118"/>
      <c r="D51" s="118"/>
      <c r="E51" s="31">
        <v>2025635</v>
      </c>
    </row>
    <row r="52" spans="1:5" ht="15.75">
      <c r="A52" s="127" t="str">
        <f>inputPrYr!D6</f>
        <v>Bartlett</v>
      </c>
      <c r="B52" s="127"/>
      <c r="C52" s="127"/>
      <c r="D52" s="136"/>
      <c r="E52" s="31">
        <v>408310</v>
      </c>
    </row>
    <row r="53" spans="1:5" ht="15.75">
      <c r="A53" s="127">
        <f>inputPrYr!D7</f>
        <v>0</v>
      </c>
      <c r="B53" s="127"/>
      <c r="C53" s="127"/>
      <c r="D53" s="136"/>
      <c r="E53" s="31"/>
    </row>
    <row r="54" spans="1:5" ht="15.75">
      <c r="A54" s="127" t="str">
        <f>CONCATENATE("Total  Final Assessed Valuation from the November 1, ",E1-1," Abstract:")</f>
        <v>Total  Final Assessed Valuation from the November 1, 2012 Abstract:</v>
      </c>
      <c r="B54" s="127"/>
      <c r="C54" s="127"/>
      <c r="D54" s="136"/>
      <c r="E54" s="237">
        <f>SUM(E51:E53)</f>
        <v>2433945</v>
      </c>
    </row>
    <row r="55" spans="1:5" ht="15.75">
      <c r="A55" s="36"/>
      <c r="B55" s="36"/>
      <c r="C55" s="36"/>
      <c r="D55" s="36"/>
      <c r="E55" s="36"/>
    </row>
    <row r="56" spans="1:5" ht="15.75">
      <c r="A56" s="131" t="str">
        <f>CONCATENATE("From the County Treasurer's Budget Information - ",E1," Budget Year Estimates:")</f>
        <v>From the County Treasurer's Budget Information - 2013 Budget Year Estimates:</v>
      </c>
      <c r="B56" s="132"/>
      <c r="C56" s="132"/>
      <c r="D56" s="189"/>
      <c r="E56" s="267"/>
    </row>
    <row r="57" spans="1:5" ht="15.75">
      <c r="A57" s="234" t="s">
        <v>297</v>
      </c>
      <c r="B57" s="118"/>
      <c r="C57" s="118"/>
      <c r="D57" s="47"/>
      <c r="E57" s="45"/>
    </row>
    <row r="58" spans="1:5" ht="15.75">
      <c r="A58" s="107" t="s">
        <v>242</v>
      </c>
      <c r="B58" s="118"/>
      <c r="C58" s="118"/>
      <c r="D58" s="190"/>
      <c r="E58" s="19">
        <v>2207</v>
      </c>
    </row>
    <row r="59" spans="1:5" ht="15.75">
      <c r="A59" s="126" t="s">
        <v>39</v>
      </c>
      <c r="B59" s="127"/>
      <c r="C59" s="127"/>
      <c r="D59" s="191"/>
      <c r="E59" s="19">
        <v>36</v>
      </c>
    </row>
    <row r="60" spans="1:5" ht="15.75">
      <c r="A60" s="126" t="s">
        <v>243</v>
      </c>
      <c r="B60" s="127"/>
      <c r="C60" s="127"/>
      <c r="D60" s="191"/>
      <c r="E60" s="19">
        <v>719</v>
      </c>
    </row>
    <row r="61" spans="1:5" ht="15.75">
      <c r="A61" s="235" t="s">
        <v>301</v>
      </c>
      <c r="B61" s="236"/>
      <c r="C61" s="127"/>
      <c r="D61" s="191"/>
      <c r="E61" s="156"/>
    </row>
    <row r="62" spans="1:5" ht="15.75">
      <c r="A62" s="107" t="s">
        <v>298</v>
      </c>
      <c r="B62" s="127"/>
      <c r="C62" s="127"/>
      <c r="D62" s="191"/>
      <c r="E62" s="19"/>
    </row>
    <row r="63" spans="1:5" ht="15.75">
      <c r="A63" s="126" t="s">
        <v>299</v>
      </c>
      <c r="B63" s="127"/>
      <c r="C63" s="127"/>
      <c r="D63" s="191"/>
      <c r="E63" s="19"/>
    </row>
    <row r="64" spans="1:5" ht="15.75">
      <c r="A64" s="126" t="s">
        <v>300</v>
      </c>
      <c r="B64" s="127"/>
      <c r="C64" s="127"/>
      <c r="D64" s="191"/>
      <c r="E64" s="19"/>
    </row>
    <row r="65" spans="1:5" ht="15.75">
      <c r="A65" s="235" t="s">
        <v>302</v>
      </c>
      <c r="B65" s="236"/>
      <c r="C65" s="127"/>
      <c r="D65" s="191"/>
      <c r="E65" s="156"/>
    </row>
    <row r="66" spans="1:5" ht="15.75">
      <c r="A66" s="107" t="s">
        <v>298</v>
      </c>
      <c r="B66" s="127"/>
      <c r="C66" s="127"/>
      <c r="D66" s="191"/>
      <c r="E66" s="19"/>
    </row>
    <row r="67" spans="1:5" ht="15.75">
      <c r="A67" s="126" t="s">
        <v>299</v>
      </c>
      <c r="B67" s="127"/>
      <c r="C67" s="127"/>
      <c r="D67" s="191"/>
      <c r="E67" s="19"/>
    </row>
    <row r="68" spans="1:5" ht="15.75">
      <c r="A68" s="126" t="s">
        <v>300</v>
      </c>
      <c r="B68" s="127"/>
      <c r="C68" s="127"/>
      <c r="D68" s="191"/>
      <c r="E68" s="19"/>
    </row>
    <row r="69" spans="1:5" ht="15.75">
      <c r="A69" s="126"/>
      <c r="B69" s="127"/>
      <c r="C69" s="127"/>
      <c r="D69" s="191"/>
      <c r="E69" s="156"/>
    </row>
    <row r="70" spans="1:5" ht="15.75">
      <c r="A70" s="126" t="s">
        <v>244</v>
      </c>
      <c r="B70" s="127"/>
      <c r="C70" s="127"/>
      <c r="D70" s="191"/>
      <c r="E70" s="19"/>
    </row>
    <row r="71" spans="1:5" ht="15.75">
      <c r="A71" s="126" t="s">
        <v>245</v>
      </c>
      <c r="B71" s="127"/>
      <c r="C71" s="127"/>
      <c r="D71" s="191"/>
      <c r="E71" s="19"/>
    </row>
    <row r="72" spans="1:5" ht="15.75">
      <c r="A72" s="126" t="s">
        <v>174</v>
      </c>
      <c r="B72" s="118"/>
      <c r="C72" s="118"/>
      <c r="D72" s="190"/>
      <c r="E72" s="19"/>
    </row>
    <row r="73" spans="1:5" ht="33" customHeight="1">
      <c r="A73" s="382" t="s">
        <v>303</v>
      </c>
      <c r="B73" s="383"/>
      <c r="C73" s="383"/>
      <c r="D73" s="383"/>
      <c r="E73" s="383"/>
    </row>
    <row r="74" spans="1:5" ht="15.75">
      <c r="A74" s="36"/>
      <c r="B74" s="36"/>
      <c r="C74" s="36"/>
      <c r="D74" s="36"/>
      <c r="E74" s="36"/>
    </row>
    <row r="75" spans="1:5" ht="15.75">
      <c r="A75" s="106" t="s">
        <v>246</v>
      </c>
      <c r="B75" s="57"/>
      <c r="C75" s="57"/>
      <c r="D75" s="36"/>
      <c r="E75" s="36"/>
    </row>
    <row r="76" spans="1:5" ht="15.75">
      <c r="A76" s="128" t="str">
        <f>CONCATENATE("Actual Delinquency for ",E1-2," Tax (round to three decimal places)")</f>
        <v>Actual Delinquency for 2011 Tax (round to three decimal places)</v>
      </c>
      <c r="B76" s="52"/>
      <c r="C76" s="36"/>
      <c r="D76" s="36"/>
      <c r="E76" s="192"/>
    </row>
    <row r="77" spans="1:5" ht="15.75">
      <c r="A77" s="128" t="s">
        <v>304</v>
      </c>
      <c r="B77" s="128"/>
      <c r="C77" s="52"/>
      <c r="D77" s="52"/>
      <c r="E77" s="193"/>
    </row>
    <row r="78" spans="1:5" ht="34.5" customHeight="1">
      <c r="A78" s="376" t="s">
        <v>247</v>
      </c>
      <c r="B78" s="377"/>
      <c r="C78" s="377"/>
      <c r="D78" s="377"/>
      <c r="E78" s="377"/>
    </row>
    <row r="79" spans="1:5" ht="15.75">
      <c r="A79" s="180"/>
      <c r="B79" s="180"/>
      <c r="C79" s="180"/>
      <c r="D79" s="180"/>
      <c r="E79" s="180"/>
    </row>
    <row r="80" spans="1:5" ht="15.75">
      <c r="A80" s="372" t="str">
        <f>CONCATENATE("From the ",E1-2," Budget Summary Page")</f>
        <v>From the 2011 Budget Summary Page</v>
      </c>
      <c r="B80" s="373"/>
      <c r="C80" s="180"/>
      <c r="D80" s="180"/>
      <c r="E80" s="180"/>
    </row>
    <row r="81" spans="1:5" ht="15.75">
      <c r="A81" s="298"/>
      <c r="B81" s="298" t="str">
        <f>CONCATENATE("",E1-2," Expenditure Amounts")</f>
        <v>2011 Expenditure Amounts</v>
      </c>
      <c r="C81" s="374" t="str">
        <f>CONCATENATE("Note: If the ",E1-2," budget was amended, then the")</f>
        <v>Note: If the 2011 budget was amended, then the</v>
      </c>
      <c r="D81" s="375"/>
      <c r="E81" s="375"/>
    </row>
    <row r="82" spans="1:5" ht="15.75">
      <c r="A82" s="299" t="s">
        <v>332</v>
      </c>
      <c r="B82" s="299" t="s">
        <v>333</v>
      </c>
      <c r="C82" s="300" t="s">
        <v>334</v>
      </c>
      <c r="D82" s="301"/>
      <c r="E82" s="301"/>
    </row>
    <row r="83" spans="1:5" ht="15.75">
      <c r="A83" s="302" t="str">
        <f>inputPrYr!B19</f>
        <v>General</v>
      </c>
      <c r="B83" s="31">
        <v>17700</v>
      </c>
      <c r="C83" s="300" t="s">
        <v>335</v>
      </c>
      <c r="D83" s="303"/>
      <c r="E83" s="303"/>
    </row>
    <row r="84" spans="1:5" ht="15.75">
      <c r="A84" s="302" t="str">
        <f>inputPrYr!B20</f>
        <v>Bond &amp; Interest</v>
      </c>
      <c r="B84" s="214"/>
      <c r="C84" s="300"/>
      <c r="D84" s="303"/>
      <c r="E84" s="303"/>
    </row>
    <row r="85" spans="1:5" ht="15.75">
      <c r="A85" s="302" t="str">
        <f>inputPrYr!B21</f>
        <v>Road</v>
      </c>
      <c r="B85" s="214"/>
      <c r="C85" s="180"/>
      <c r="D85" s="180"/>
      <c r="E85" s="180"/>
    </row>
    <row r="86" spans="1:5" ht="15.75">
      <c r="A86" s="302" t="str">
        <f>inputPrYr!B22</f>
        <v>Noxious Weed</v>
      </c>
      <c r="B86" s="214"/>
      <c r="C86" s="180"/>
      <c r="D86" s="180"/>
      <c r="E86" s="180"/>
    </row>
    <row r="87" spans="1:5" ht="15.75">
      <c r="A87" s="302">
        <f>inputPrYr!B23</f>
        <v>0</v>
      </c>
      <c r="B87" s="214"/>
      <c r="C87" s="180"/>
      <c r="D87" s="180"/>
      <c r="E87" s="180"/>
    </row>
    <row r="88" spans="1:5" ht="15.75">
      <c r="A88" s="302">
        <f>inputPrYr!B24</f>
        <v>0</v>
      </c>
      <c r="B88" s="214"/>
      <c r="C88" s="180"/>
      <c r="D88" s="180"/>
      <c r="E88" s="180"/>
    </row>
    <row r="89" spans="1:5" ht="15.75">
      <c r="A89" s="302">
        <f>inputPrYr!B25</f>
        <v>0</v>
      </c>
      <c r="B89" s="214"/>
      <c r="C89" s="180"/>
      <c r="D89" s="180"/>
      <c r="E89" s="180"/>
    </row>
    <row r="90" spans="1:5" ht="15.75">
      <c r="A90" s="302">
        <f>inputPrYr!B26</f>
        <v>0</v>
      </c>
      <c r="B90" s="214"/>
      <c r="C90" s="180"/>
      <c r="D90" s="180"/>
      <c r="E90" s="180"/>
    </row>
    <row r="91" spans="1:5" ht="15.75">
      <c r="A91" s="302">
        <f>inputPrYr!B27</f>
        <v>0</v>
      </c>
      <c r="B91" s="214"/>
      <c r="C91" s="180"/>
      <c r="D91" s="180"/>
      <c r="E91" s="180"/>
    </row>
    <row r="92" spans="1:5" ht="15.75">
      <c r="A92" s="302">
        <f>inputPrYr!B28</f>
        <v>0</v>
      </c>
      <c r="B92" s="214"/>
      <c r="C92" s="180"/>
      <c r="D92" s="180"/>
      <c r="E92" s="180"/>
    </row>
    <row r="93" spans="1:5" ht="15.75">
      <c r="A93" s="302">
        <f>inputPrYr!B29</f>
        <v>0</v>
      </c>
      <c r="B93" s="214"/>
      <c r="C93" s="180"/>
      <c r="D93" s="180"/>
      <c r="E93" s="180"/>
    </row>
    <row r="94" spans="1:5" ht="15.75">
      <c r="A94" s="302">
        <f>inputPrYr!B33</f>
        <v>0</v>
      </c>
      <c r="B94" s="214"/>
      <c r="C94" s="180"/>
      <c r="D94" s="180"/>
      <c r="E94" s="180"/>
    </row>
    <row r="95" spans="1:5" ht="15.75">
      <c r="A95" s="302">
        <f>inputPrYr!B34</f>
        <v>0</v>
      </c>
      <c r="B95" s="214"/>
      <c r="C95" s="180"/>
      <c r="D95" s="180"/>
      <c r="E95" s="180"/>
    </row>
    <row r="96" spans="1:5" ht="15.75">
      <c r="A96" s="302">
        <f>inputPrYr!B35</f>
        <v>0</v>
      </c>
      <c r="B96" s="214"/>
      <c r="C96" s="180"/>
      <c r="D96" s="180"/>
      <c r="E96" s="180"/>
    </row>
    <row r="97" spans="1:5" ht="15.75">
      <c r="A97" s="302">
        <f>inputPrYr!B36</f>
        <v>0</v>
      </c>
      <c r="B97" s="214"/>
      <c r="C97" s="180"/>
      <c r="D97" s="180"/>
      <c r="E97" s="180"/>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G1">
      <selection activeCell="J1" sqref="J1"/>
    </sheetView>
  </sheetViews>
  <sheetFormatPr defaultColWidth="8.796875" defaultRowHeight="15.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14"/>
    <pageSetUpPr fitToPage="1"/>
  </sheetPr>
  <dimension ref="A1:G68"/>
  <sheetViews>
    <sheetView tabSelected="1" zoomScale="90" zoomScaleNormal="90" zoomScalePageLayoutView="0" workbookViewId="0" topLeftCell="A13">
      <selection activeCell="B43" sqref="B43:C43"/>
    </sheetView>
  </sheetViews>
  <sheetFormatPr defaultColWidth="8.796875" defaultRowHeight="15.75"/>
  <cols>
    <col min="1" max="1" width="22.3984375" style="1" customWidth="1"/>
    <col min="2" max="2" width="10.8984375" style="1" customWidth="1"/>
    <col min="3" max="3" width="5.69921875" style="1" customWidth="1"/>
    <col min="4" max="4" width="15.69921875" style="1" customWidth="1"/>
    <col min="5" max="5" width="12.69921875" style="1" customWidth="1"/>
    <col min="6" max="6" width="10.69921875" style="1" customWidth="1"/>
    <col min="7" max="16384" width="8.796875" style="1" customWidth="1"/>
  </cols>
  <sheetData>
    <row r="1" spans="1:7" s="36" customFormat="1" ht="15.75">
      <c r="A1" s="388" t="s">
        <v>140</v>
      </c>
      <c r="B1" s="388"/>
      <c r="C1" s="388"/>
      <c r="D1" s="388"/>
      <c r="E1" s="388"/>
      <c r="F1" s="388"/>
      <c r="G1" s="36">
        <f>inputPrYr!D9</f>
        <v>2013</v>
      </c>
    </row>
    <row r="2" spans="2:6" s="36" customFormat="1" ht="15.75">
      <c r="B2" s="57"/>
      <c r="C2" s="57"/>
      <c r="D2" s="57"/>
      <c r="E2" s="57"/>
      <c r="F2" s="103"/>
    </row>
    <row r="3" spans="1:7" s="36" customFormat="1" ht="15.75">
      <c r="A3" s="392" t="str">
        <f>CONCATENATE("To the Clerk of ",inputPrYr!D4,", State of Kansas")</f>
        <v>To the Clerk of Labette, State of Kansas</v>
      </c>
      <c r="B3" s="393"/>
      <c r="C3" s="393"/>
      <c r="D3" s="393"/>
      <c r="E3" s="393"/>
      <c r="F3" s="393"/>
      <c r="G3" s="393"/>
    </row>
    <row r="4" spans="1:6" s="36" customFormat="1" ht="15.75">
      <c r="A4" s="113" t="s">
        <v>232</v>
      </c>
      <c r="B4" s="57"/>
      <c r="C4" s="57"/>
      <c r="D4" s="57"/>
      <c r="E4" s="57"/>
      <c r="F4" s="57"/>
    </row>
    <row r="5" s="36" customFormat="1" ht="15.75">
      <c r="C5" s="33" t="str">
        <f>inputPrYr!D3</f>
        <v>Hackberry Township</v>
      </c>
    </row>
    <row r="6" spans="1:6" s="36" customFormat="1" ht="15.75">
      <c r="A6" s="399" t="s">
        <v>230</v>
      </c>
      <c r="B6" s="393"/>
      <c r="C6" s="393"/>
      <c r="D6" s="393"/>
      <c r="E6" s="393"/>
      <c r="F6" s="393"/>
    </row>
    <row r="7" spans="1:6" s="36" customFormat="1" ht="15.75" customHeight="1">
      <c r="A7" s="392" t="s">
        <v>231</v>
      </c>
      <c r="B7" s="400"/>
      <c r="C7" s="400"/>
      <c r="D7" s="400"/>
      <c r="E7" s="400"/>
      <c r="F7" s="400"/>
    </row>
    <row r="8" spans="1:6" s="36" customFormat="1" ht="15.75" customHeight="1">
      <c r="A8" s="113" t="str">
        <f>CONCATENATE("maximum expenditures for the various funds for the year ",G1,"; and (3) the")</f>
        <v>maximum expenditures for the various funds for the year 2013; and (3) the</v>
      </c>
      <c r="B8" s="57"/>
      <c r="C8" s="57"/>
      <c r="D8" s="57"/>
      <c r="E8" s="57"/>
      <c r="F8" s="57"/>
    </row>
    <row r="9" spans="1:6" s="36" customFormat="1" ht="15.75" customHeight="1">
      <c r="A9" s="113" t="str">
        <f>CONCATENATE("Amount(s) of ",G1-1," Ad Valorem Tax are within statutory limitations for the ",G1," Budget.")</f>
        <v>Amount(s) of 2012 Ad Valorem Tax are within statutory limitations for the 2013 Budget.</v>
      </c>
      <c r="B9" s="57"/>
      <c r="C9" s="57"/>
      <c r="D9" s="57"/>
      <c r="E9" s="57"/>
      <c r="F9" s="57"/>
    </row>
    <row r="10" spans="4:6" s="36" customFormat="1" ht="15.75" customHeight="1">
      <c r="D10" s="38"/>
      <c r="E10" s="38"/>
      <c r="F10" s="38"/>
    </row>
    <row r="11" spans="3:6" s="36" customFormat="1" ht="15.75">
      <c r="C11" s="52"/>
      <c r="D11" s="396" t="str">
        <f>CONCATENATE("",G1," Adopted Budget")</f>
        <v>2013 Adopted Budget</v>
      </c>
      <c r="E11" s="397"/>
      <c r="F11" s="398"/>
    </row>
    <row r="12" spans="1:6" s="36" customFormat="1" ht="15.75">
      <c r="A12" s="39"/>
      <c r="C12" s="38"/>
      <c r="D12" s="120" t="s">
        <v>40</v>
      </c>
      <c r="E12" s="389" t="str">
        <f>CONCATENATE("Amount of ",G1-1," Ad Valorem Tax")</f>
        <v>Amount of 2012 Ad Valorem Tax</v>
      </c>
      <c r="F12" s="61" t="s">
        <v>41</v>
      </c>
    </row>
    <row r="13" spans="3:6" s="36" customFormat="1" ht="15.75">
      <c r="C13" s="61" t="s">
        <v>42</v>
      </c>
      <c r="D13" s="92"/>
      <c r="E13" s="390"/>
      <c r="F13" s="115" t="s">
        <v>43</v>
      </c>
    </row>
    <row r="14" spans="1:6" s="36" customFormat="1" ht="15.75">
      <c r="A14" s="107" t="s">
        <v>44</v>
      </c>
      <c r="B14" s="118"/>
      <c r="C14" s="63" t="s">
        <v>45</v>
      </c>
      <c r="D14" s="63" t="s">
        <v>46</v>
      </c>
      <c r="E14" s="391"/>
      <c r="F14" s="63" t="s">
        <v>47</v>
      </c>
    </row>
    <row r="15" spans="1:6" s="36" customFormat="1" ht="15.75">
      <c r="A15" s="135" t="str">
        <f>CONCATENATE("Computation to Determine Limit for ",G1,"")</f>
        <v>Computation to Determine Limit for 2013</v>
      </c>
      <c r="B15" s="136"/>
      <c r="C15" s="61">
        <v>2</v>
      </c>
      <c r="D15" s="52"/>
      <c r="E15" s="52"/>
      <c r="F15" s="121"/>
    </row>
    <row r="16" spans="1:6" s="36" customFormat="1" ht="15.75">
      <c r="A16" s="135" t="s">
        <v>326</v>
      </c>
      <c r="B16" s="136"/>
      <c r="C16" s="150">
        <v>3</v>
      </c>
      <c r="D16" s="52"/>
      <c r="E16" s="52"/>
      <c r="F16" s="122"/>
    </row>
    <row r="17" spans="1:6" s="36" customFormat="1" ht="15.75">
      <c r="A17" s="149" t="s">
        <v>251</v>
      </c>
      <c r="B17" s="136"/>
      <c r="C17" s="150">
        <v>4</v>
      </c>
      <c r="D17" s="52"/>
      <c r="E17" s="52"/>
      <c r="F17" s="122"/>
    </row>
    <row r="18" spans="1:6" s="36" customFormat="1" ht="15.75">
      <c r="A18" s="149" t="s">
        <v>221</v>
      </c>
      <c r="B18" s="136"/>
      <c r="C18" s="150">
        <v>5</v>
      </c>
      <c r="D18" s="52"/>
      <c r="E18" s="52"/>
      <c r="F18" s="122"/>
    </row>
    <row r="19" spans="1:6" s="36" customFormat="1" ht="15.75">
      <c r="A19" s="123" t="s">
        <v>48</v>
      </c>
      <c r="B19" s="112" t="s">
        <v>49</v>
      </c>
      <c r="C19" s="79"/>
      <c r="F19" s="124"/>
    </row>
    <row r="20" spans="1:6" s="36" customFormat="1" ht="15.75">
      <c r="A20" s="34" t="str">
        <f>inputPrYr!B19</f>
        <v>General</v>
      </c>
      <c r="B20" s="150" t="str">
        <f>inputPrYr!C19</f>
        <v>79-1962</v>
      </c>
      <c r="C20" s="151" t="str">
        <f>IF(gen!$B$59&gt;0,gen!$B$59,"  ")</f>
        <v>  </v>
      </c>
      <c r="D20" s="150">
        <f>IF(gen!$E$49&lt;&gt;0,gen!$E$49,"  ")</f>
        <v>20100</v>
      </c>
      <c r="E20" s="150">
        <f>IF(gen!$E$55&lt;&gt;0,gen!$E$55,"  ")</f>
        <v>16774</v>
      </c>
      <c r="F20" s="116">
        <f>IF(AND(gen!E55=0,$B$44&gt;=0)," ",IF(AND(E20&gt;0,$B$44=0)," ",IF(AND(E20&gt;0,$B$44&gt;0),ROUND(E20/$B$44*1000,3))))</f>
        <v>6.094</v>
      </c>
    </row>
    <row r="21" spans="1:6" s="36" customFormat="1" ht="15.75">
      <c r="A21" s="34" t="str">
        <f>inputPrYr!B20</f>
        <v>Bond &amp; Interest</v>
      </c>
      <c r="B21" s="150" t="str">
        <f>IF(inputPrYr!C20&gt;0,inputPrYr!C20,"")</f>
        <v>10-113</v>
      </c>
      <c r="C21" s="151" t="str">
        <f>IF(bondint!$C$63&gt;0,bondint!$C$63,"  ")</f>
        <v>  </v>
      </c>
      <c r="D21" s="150" t="str">
        <f>IF(bondint!$E$55&lt;&gt;0,bondint!$E$55,"  ")</f>
        <v>  </v>
      </c>
      <c r="E21" s="150" t="str">
        <f>IF(bondint!$E$61&lt;&gt;0,bondint!$E$61,"  ")</f>
        <v>  </v>
      </c>
      <c r="F21" s="116" t="str">
        <f>IF(AND(bondint!E55=0,$B$44&gt;=0)," ",IF(AND(E21&gt;0,$B$44=0)," ",IF(AND(E21&gt;0,$B$44&gt;0),ROUND(E21/$B$44*1000,3))))</f>
        <v> </v>
      </c>
    </row>
    <row r="22" spans="1:6" s="36" customFormat="1" ht="15.75">
      <c r="A22" s="34" t="str">
        <f>IF(inputPrYr!$B21&gt;"  ",inputPrYr!$B21,"  ")</f>
        <v>Road</v>
      </c>
      <c r="B22" s="150" t="str">
        <f>IF(inputPrYr!C21&gt;0,inputPrYr!C21,"  ")</f>
        <v>68-518c</v>
      </c>
      <c r="C22" s="151" t="str">
        <f>IF(road!$B$64&gt;0,road!$B$64,"  ")</f>
        <v>  </v>
      </c>
      <c r="D22" s="150" t="str">
        <f>IF(road!$E$43&lt;&gt;0,road!$E$43,"  ")</f>
        <v>  </v>
      </c>
      <c r="E22" s="150" t="str">
        <f>IF(road!$E$49&lt;&gt;0,road!$E$49,"  ")</f>
        <v>  </v>
      </c>
      <c r="F22" s="116" t="str">
        <f>IF(AND(road!E49=0,$B$41&gt;=0)," ",IF(AND(E22&gt;0,$B$41=0)," ",IF(AND(E22&gt;0,$B$41&gt;0),ROUND(E22/$B$41*1000,3))))</f>
        <v> </v>
      </c>
    </row>
    <row r="23" spans="1:6" s="36" customFormat="1" ht="15.75">
      <c r="A23" s="34" t="str">
        <f>IF(inputPrYr!$B22&gt;"  ",inputPrYr!$B22,"  ")</f>
        <v>Noxious Weed</v>
      </c>
      <c r="B23" s="150" t="str">
        <f>IF(inputPrYr!C22&gt;0,inputPrYr!C22,"  ")</f>
        <v>2-1318</v>
      </c>
      <c r="C23" s="151" t="str">
        <f>IF(levypage9!$B$77&gt;0,levypage9!$B$77,"  ")</f>
        <v>  </v>
      </c>
      <c r="D23" s="150" t="str">
        <f>IF(levypage9!$E$33&lt;&gt;0,levypage9!$E$33,"  ")</f>
        <v>  </v>
      </c>
      <c r="E23" s="150" t="str">
        <f>IF(levypage9!$E$39&lt;&gt;0,levypage9!$E$39,"  ")</f>
        <v>  </v>
      </c>
      <c r="F23" s="116" t="str">
        <f>IF(AND(levypage9!E39=0,$B$44&gt;=0)," ",IF(AND(E23&gt;0,$B$44=0)," ",IF(AND(E23&gt;0,$B$44&gt;0),ROUND(E23/$B$44*1000,3))))</f>
        <v> </v>
      </c>
    </row>
    <row r="24" spans="1:6" s="36" customFormat="1" ht="15.75">
      <c r="A24" s="34" t="str">
        <f>IF(inputPrYr!$B23&gt;"  ",inputPrYr!$B23,"  ")</f>
        <v>  </v>
      </c>
      <c r="B24" s="150" t="str">
        <f>IF(inputPrYr!C23&gt;0,inputPrYr!C23,"  ")</f>
        <v>  </v>
      </c>
      <c r="C24" s="151" t="str">
        <f>IF(levypage9!$B$77&gt;0,levypage9!$B$77,"  ")</f>
        <v>  </v>
      </c>
      <c r="D24" s="150" t="str">
        <f>IF(levypage9!$E$70&lt;&gt;0,levypage9!$E$70,"  ")</f>
        <v>  </v>
      </c>
      <c r="E24" s="150" t="str">
        <f>IF(levypage9!$E$76&lt;&gt;0,levypage9!$E$76,"  ")</f>
        <v>  </v>
      </c>
      <c r="F24" s="116" t="str">
        <f>IF(AND(levypage9!E76=0,$B$44&gt;=0)," ",IF(AND(E24&gt;0,$B$44=0)," ",IF(AND(E24&gt;0,$B$44&gt;0),ROUND(E24/$B$44*1000,3))))</f>
        <v> </v>
      </c>
    </row>
    <row r="25" spans="1:6" s="36" customFormat="1" ht="15.75">
      <c r="A25" s="34" t="str">
        <f>IF(inputPrYr!$B24&gt;"  ",inputPrYr!$B24,"  ")</f>
        <v>  </v>
      </c>
      <c r="B25" s="150" t="str">
        <f>IF(inputPrYr!C24&gt;0,inputPrYr!C24,"  ")</f>
        <v>  </v>
      </c>
      <c r="C25" s="151" t="str">
        <f>IF(levypage10!$B$77&gt;0,levypage10!$B$77,"  ")</f>
        <v>  </v>
      </c>
      <c r="D25" s="150" t="str">
        <f>IF(levypage10!$E$33&lt;&gt;0,levypage10!$E$33,"  ")</f>
        <v>  </v>
      </c>
      <c r="E25" s="150" t="str">
        <f>IF(levypage10!$E$39&lt;&gt;0,levypage10!$E$39,"  ")</f>
        <v>  </v>
      </c>
      <c r="F25" s="116" t="str">
        <f>IF(AND(levypage10!$E$39=0,$B$44&gt;=0)," ",IF(AND(E25&gt;0,$B$44=0)," ",IF(AND(E25&gt;0,$B$44&gt;0),ROUND(E25/$B$44*1000,3))))</f>
        <v> </v>
      </c>
    </row>
    <row r="26" spans="1:6" s="36" customFormat="1" ht="15.75">
      <c r="A26" s="34" t="str">
        <f>IF(inputPrYr!$B25&gt;"  ",inputPrYr!$B25,"  ")</f>
        <v>  </v>
      </c>
      <c r="B26" s="150" t="str">
        <f>IF(inputPrYr!C25&gt;0,inputPrYr!C25,"  ")</f>
        <v>  </v>
      </c>
      <c r="C26" s="151" t="str">
        <f>IF(levypage10!$B$77&gt;0,levypage10!$B$77,"  ")</f>
        <v>  </v>
      </c>
      <c r="D26" s="150" t="str">
        <f>IF(levypage10!$E$70&lt;&gt;0,levypage10!$E$70,"  ")</f>
        <v>  </v>
      </c>
      <c r="E26" s="150" t="str">
        <f>IF(levypage10!$E$76&lt;&gt;0,levypage10!$E$76,"  ")</f>
        <v>  </v>
      </c>
      <c r="F26" s="116" t="str">
        <f>IF(AND(levypage10!$E$76=0,$B$44&gt;=0)," ",IF(AND(E26&gt;0,$B$44=0)," ",IF(AND(E26&gt;0,$B$44&gt;0),ROUND(E26/$B$44*1000,3))))</f>
        <v> </v>
      </c>
    </row>
    <row r="27" spans="1:6" s="36" customFormat="1" ht="15.75">
      <c r="A27" s="34" t="str">
        <f>IF(inputPrYr!$B26&gt;"  ",inputPrYr!$B26,"  ")</f>
        <v>  </v>
      </c>
      <c r="B27" s="150" t="str">
        <f>IF(inputPrYr!C26&gt;0,inputPrYr!C26,"  ")</f>
        <v>  </v>
      </c>
      <c r="C27" s="151" t="str">
        <f>IF(levypage11!$B$77&gt;0,levypage11!$B$77,"  ")</f>
        <v>  </v>
      </c>
      <c r="D27" s="150" t="str">
        <f>IF(levypage11!$E$33&lt;&gt;0,levypage11!$E$33,"  ")</f>
        <v>  </v>
      </c>
      <c r="E27" s="150" t="str">
        <f>IF(levypage11!$E$39&lt;&gt;0,levypage11!$E$39,"  ")</f>
        <v>  </v>
      </c>
      <c r="F27" s="116" t="str">
        <f>IF(AND(levypage11!$E$39=0,$B$44&gt;=0)," ",IF(AND(E27&gt;0,$B$44=0)," ",IF(AND(E27&gt;0,$B$44&gt;0),ROUND(E27/$B$44*1000,3))))</f>
        <v> </v>
      </c>
    </row>
    <row r="28" spans="1:6" s="36" customFormat="1" ht="15.75">
      <c r="A28" s="34" t="str">
        <f>IF(inputPrYr!$B27&gt;"  ",inputPrYr!$B27,"  ")</f>
        <v>  </v>
      </c>
      <c r="B28" s="150" t="str">
        <f>IF(inputPrYr!C27&gt;0,inputPrYr!C27,"  ")</f>
        <v>  </v>
      </c>
      <c r="C28" s="151" t="str">
        <f>IF(levypage11!$B$77&gt;0,levypage11!$B$77,"  ")</f>
        <v>  </v>
      </c>
      <c r="D28" s="150" t="str">
        <f>IF(levypage11!$E$70&lt;&gt;0,levypage11!$E$70,"  ")</f>
        <v>  </v>
      </c>
      <c r="E28" s="150" t="str">
        <f>IF(levypage11!$E$76&lt;&gt;0,levypage11!$E$76,"  ")</f>
        <v>  </v>
      </c>
      <c r="F28" s="116" t="str">
        <f>IF(AND(levypage11!$E$76=0,$B$44&gt;=0)," ",IF(AND(E28&gt;0,$B$44=0)," ",IF(AND(E28&gt;0,$B$44&gt;0),ROUND(E28/$B$44*1000,3))))</f>
        <v> </v>
      </c>
    </row>
    <row r="29" spans="1:6" s="36" customFormat="1" ht="15.75">
      <c r="A29" s="34" t="str">
        <f>IF(inputPrYr!$B28&gt;"  ",inputPrYr!$B28,"  ")</f>
        <v>  </v>
      </c>
      <c r="B29" s="150" t="str">
        <f>IF(inputPrYr!C28&gt;0,inputPrYr!C28,"  ")</f>
        <v>  </v>
      </c>
      <c r="C29" s="151" t="str">
        <f>IF(levypage12!$B$77&gt;0,levypage12!$B$77,"  ")</f>
        <v>  </v>
      </c>
      <c r="D29" s="150" t="str">
        <f>IF(levypage12!$E$33&lt;&gt;0,levypage12!$E$33,"  ")</f>
        <v>  </v>
      </c>
      <c r="E29" s="150" t="str">
        <f>IF(levypage12!$E$39&lt;&gt;0,levypage12!$E$39,"  ")</f>
        <v>  </v>
      </c>
      <c r="F29" s="116" t="str">
        <f>IF(AND(levypage12!$E$39=0,$B$44&gt;=0)," ",IF(AND(E29&gt;0,$B$44=0)," ",IF(AND(E29&gt;0,$B$44&gt;0),ROUND(E29/$B$44*1000,3))))</f>
        <v> </v>
      </c>
    </row>
    <row r="30" spans="1:6" s="36" customFormat="1" ht="15.75">
      <c r="A30" s="34" t="str">
        <f>IF(inputPrYr!$B29&gt;"  ",inputPrYr!$B29,"  ")</f>
        <v>  </v>
      </c>
      <c r="B30" s="150" t="str">
        <f>IF(inputPrYr!C29&gt;0,inputPrYr!C29,"  ")</f>
        <v>  </v>
      </c>
      <c r="C30" s="151" t="str">
        <f>IF(levypage12!$B$77&gt;0,levypage12!$B$77,"  ")</f>
        <v>  </v>
      </c>
      <c r="D30" s="150" t="str">
        <f>IF(levypage12!$E$70&lt;&gt;0,levypage12!$E$70,"  ")</f>
        <v>  </v>
      </c>
      <c r="E30" s="150" t="str">
        <f>IF(levypage12!$E$76&lt;&gt;0,levypage12!$E$76,"  ")</f>
        <v>  </v>
      </c>
      <c r="F30" s="116" t="str">
        <f>IF(AND(levypage12!$E$76=0,$B$44&gt;=0)," ",IF(AND(E30&gt;0,$B$44=0)," ",IF(AND(E30&gt;0,$B$44&gt;0),ROUND(E30/$B$44*1000,3))))</f>
        <v> </v>
      </c>
    </row>
    <row r="31" spans="1:6" s="36" customFormat="1" ht="15.75">
      <c r="A31" s="34" t="str">
        <f>IF(inputPrYr!$B33&gt;"  ",inputPrYr!$B33,"  ")</f>
        <v>  </v>
      </c>
      <c r="B31" s="150"/>
      <c r="C31" s="151" t="str">
        <f>IF(nolevypage13!$C$65&gt;0,nolevypage13!$C$65,"  ")</f>
        <v>  </v>
      </c>
      <c r="D31" s="150" t="str">
        <f>IF(nolevypage13!$E$28&lt;&gt;0,nolevypage13!$E$28,"  ")</f>
        <v>  </v>
      </c>
      <c r="E31" s="150"/>
      <c r="F31" s="116"/>
    </row>
    <row r="32" spans="1:6" s="36" customFormat="1" ht="15.75">
      <c r="A32" s="34" t="str">
        <f>IF(inputPrYr!$B34&gt;"  ",inputPrYr!$B34,"  ")</f>
        <v>  </v>
      </c>
      <c r="B32" s="150"/>
      <c r="C32" s="151" t="str">
        <f>IF(nolevypage13!$C$65&gt;0,nolevypage13!$C$65,"  ")</f>
        <v>  </v>
      </c>
      <c r="D32" s="150" t="str">
        <f>IF(nolevypage13!$E$59&lt;&gt;0,nolevypage13!$E$59,"  ")</f>
        <v>  </v>
      </c>
      <c r="E32" s="150"/>
      <c r="F32" s="116"/>
    </row>
    <row r="33" spans="1:6" s="36" customFormat="1" ht="15.75">
      <c r="A33" s="34" t="str">
        <f>IF(inputPrYr!$B35&gt;"  ",inputPrYr!$B35,"  ")</f>
        <v>  </v>
      </c>
      <c r="B33" s="150"/>
      <c r="C33" s="151" t="str">
        <f>IF(nolevypage14!$C$65&gt;0,nolevypage14!$C$65,"  ")</f>
        <v>  </v>
      </c>
      <c r="D33" s="150" t="str">
        <f>IF(nolevypage14!$E$28&lt;&gt;0,nolevypage14!$E$28,"  ")</f>
        <v>  </v>
      </c>
      <c r="E33" s="150"/>
      <c r="F33" s="116"/>
    </row>
    <row r="34" spans="1:6" s="36" customFormat="1" ht="15.75">
      <c r="A34" s="34" t="str">
        <f>IF(inputPrYr!$B36&gt;"  ",inputPrYr!$B36,"  ")</f>
        <v>  </v>
      </c>
      <c r="B34" s="150"/>
      <c r="C34" s="151" t="str">
        <f>IF(nolevypage14!$C$65&gt;0,nolevypage14!$C$65,"  ")</f>
        <v>  </v>
      </c>
      <c r="D34" s="150" t="str">
        <f>IF(nolevypage14!$E$59&lt;&gt;0,nolevypage14!$E$59,"  ")</f>
        <v>  </v>
      </c>
      <c r="E34" s="150"/>
      <c r="F34" s="116"/>
    </row>
    <row r="35" spans="1:6" s="36" customFormat="1" ht="15.75">
      <c r="A35" s="96" t="s">
        <v>50</v>
      </c>
      <c r="B35" s="150" t="s">
        <v>51</v>
      </c>
      <c r="C35" s="151" t="str">
        <f>IF(road!$B$64&gt;0,road!$B$64,"  ")</f>
        <v>  </v>
      </c>
      <c r="D35" s="79"/>
      <c r="E35" s="79"/>
      <c r="F35" s="116"/>
    </row>
    <row r="36" spans="1:6" s="36" customFormat="1" ht="16.5" thickBot="1">
      <c r="A36" s="169" t="s">
        <v>52</v>
      </c>
      <c r="B36" s="136"/>
      <c r="C36" s="312" t="s">
        <v>53</v>
      </c>
      <c r="D36" s="232">
        <f>SUM(D20:D35)</f>
        <v>20100</v>
      </c>
      <c r="E36" s="232">
        <f>SUM(E20:E35)</f>
        <v>16774</v>
      </c>
      <c r="F36" s="233">
        <f>IF(SUM(F20:F35)&gt;0,SUM(F20:F35),"")</f>
        <v>6.094</v>
      </c>
    </row>
    <row r="37" spans="1:3" s="36" customFormat="1" ht="16.5" thickTop="1">
      <c r="A37" s="149" t="s">
        <v>250</v>
      </c>
      <c r="B37" s="136"/>
      <c r="C37" s="311">
        <f>summ!C45</f>
        <v>0</v>
      </c>
    </row>
    <row r="38" spans="1:5" s="36" customFormat="1" ht="15.75">
      <c r="A38" s="135" t="s">
        <v>322</v>
      </c>
      <c r="B38" s="136"/>
      <c r="C38" s="311">
        <f>IF(nhood!C33&gt;0,nhood!C33,"")</f>
      </c>
      <c r="D38" s="223" t="s">
        <v>240</v>
      </c>
      <c r="E38" s="176" t="str">
        <f>IF(E36&gt;computation!J34,"Yes","No")</f>
        <v>No</v>
      </c>
    </row>
    <row r="39" spans="1:5" s="36" customFormat="1" ht="15.75">
      <c r="A39" s="149" t="s">
        <v>239</v>
      </c>
      <c r="B39" s="136"/>
      <c r="C39" s="311">
        <f>IF(Resolution!D50&gt;0,Resolution!D50,"")</f>
      </c>
      <c r="D39" s="309"/>
      <c r="E39" s="310"/>
    </row>
    <row r="40" spans="1:6" s="36" customFormat="1" ht="15.75">
      <c r="A40" s="96" t="s">
        <v>172</v>
      </c>
      <c r="B40" s="401" t="s">
        <v>201</v>
      </c>
      <c r="C40" s="402"/>
      <c r="D40" s="154"/>
      <c r="F40" s="39" t="s">
        <v>54</v>
      </c>
    </row>
    <row r="41" spans="1:6" s="36" customFormat="1" ht="15.75">
      <c r="A41" s="96" t="str">
        <f>inputPrYr!D3</f>
        <v>Hackberry Township</v>
      </c>
      <c r="B41" s="386">
        <v>2311693</v>
      </c>
      <c r="C41" s="403"/>
      <c r="D41" s="175"/>
      <c r="F41" s="39"/>
    </row>
    <row r="42" spans="1:6" s="36" customFormat="1" ht="15.75">
      <c r="A42" s="96" t="str">
        <f>inputPrYr!D6</f>
        <v>Bartlett</v>
      </c>
      <c r="B42" s="386">
        <v>440637</v>
      </c>
      <c r="C42" s="387"/>
      <c r="D42" s="175"/>
      <c r="F42" s="39"/>
    </row>
    <row r="43" spans="1:6" s="36" customFormat="1" ht="15.75">
      <c r="A43" s="96">
        <f>inputPrYr!D7</f>
        <v>0</v>
      </c>
      <c r="B43" s="386"/>
      <c r="C43" s="387"/>
      <c r="D43" s="175"/>
      <c r="F43" s="39"/>
    </row>
    <row r="44" spans="1:6" s="36" customFormat="1" ht="15.75">
      <c r="A44" s="96" t="s">
        <v>296</v>
      </c>
      <c r="B44" s="384">
        <f>SUM(B41:C43)</f>
        <v>2752330</v>
      </c>
      <c r="C44" s="385"/>
      <c r="D44" s="175"/>
      <c r="F44" s="39"/>
    </row>
    <row r="45" spans="1:6" s="36" customFormat="1" ht="15.75">
      <c r="A45" s="128"/>
      <c r="B45" s="404" t="s">
        <v>200</v>
      </c>
      <c r="C45" s="405"/>
      <c r="D45" s="154"/>
      <c r="F45" s="39"/>
    </row>
    <row r="46" spans="1:6" s="36" customFormat="1" ht="15.75">
      <c r="A46" s="128"/>
      <c r="D46" s="52"/>
      <c r="F46" s="39"/>
    </row>
    <row r="47" spans="4:6" s="36" customFormat="1" ht="15.75">
      <c r="D47" s="154"/>
      <c r="E47" s="118"/>
      <c r="F47" s="118"/>
    </row>
    <row r="48" spans="1:2" s="36" customFormat="1" ht="15.75">
      <c r="A48" s="37"/>
      <c r="B48" s="38"/>
    </row>
    <row r="49" spans="1:6" s="36" customFormat="1" ht="15.75">
      <c r="A49" s="120" t="s">
        <v>29</v>
      </c>
      <c r="E49" s="118"/>
      <c r="F49" s="118"/>
    </row>
    <row r="50" spans="1:3" s="36" customFormat="1" ht="15.75">
      <c r="A50" s="334" t="s">
        <v>30</v>
      </c>
      <c r="C50" s="39"/>
    </row>
    <row r="51" spans="1:6" s="36" customFormat="1" ht="15.75">
      <c r="A51" s="334" t="s">
        <v>31</v>
      </c>
      <c r="B51" s="39" t="s">
        <v>55</v>
      </c>
      <c r="C51" s="14" t="s">
        <v>374</v>
      </c>
      <c r="D51" s="14"/>
      <c r="E51" s="37"/>
      <c r="F51" s="37"/>
    </row>
    <row r="52" spans="1:7" ht="15.75">
      <c r="A52" s="334" t="s">
        <v>32</v>
      </c>
      <c r="B52" s="38"/>
      <c r="C52" s="162" t="s">
        <v>57</v>
      </c>
      <c r="D52" s="162"/>
      <c r="E52" s="36"/>
      <c r="F52" s="36"/>
      <c r="G52" s="155"/>
    </row>
    <row r="53" spans="1:7" ht="15.75">
      <c r="A53" s="335"/>
      <c r="B53" s="38" t="s">
        <v>225</v>
      </c>
      <c r="C53" s="16"/>
      <c r="D53" s="16"/>
      <c r="E53" s="37"/>
      <c r="F53" s="37"/>
      <c r="G53" s="155"/>
    </row>
    <row r="54" spans="1:7" ht="15.75">
      <c r="A54" s="38"/>
      <c r="B54" s="36"/>
      <c r="C54" s="15"/>
      <c r="D54" s="16"/>
      <c r="E54" s="36"/>
      <c r="F54" s="36"/>
      <c r="G54" s="155"/>
    </row>
    <row r="55" spans="1:7" ht="15.75">
      <c r="A55" s="39" t="s">
        <v>229</v>
      </c>
      <c r="B55" s="163">
        <f>G1-1</f>
        <v>2012</v>
      </c>
      <c r="C55" s="16"/>
      <c r="D55" s="16"/>
      <c r="E55" s="37"/>
      <c r="F55" s="37"/>
      <c r="G55" s="155"/>
    </row>
    <row r="56" spans="1:7" ht="15.75">
      <c r="A56" s="36"/>
      <c r="B56" s="36"/>
      <c r="C56" s="36"/>
      <c r="D56" s="36"/>
      <c r="E56" s="39"/>
      <c r="F56" s="36"/>
      <c r="G56" s="155"/>
    </row>
    <row r="57" spans="1:7" ht="15.75">
      <c r="A57" s="37"/>
      <c r="B57" s="36"/>
      <c r="C57" s="36"/>
      <c r="D57" s="36"/>
      <c r="E57" s="118"/>
      <c r="F57" s="118"/>
      <c r="G57" s="155"/>
    </row>
    <row r="58" spans="1:6" ht="15.75">
      <c r="A58" s="40" t="s">
        <v>57</v>
      </c>
      <c r="B58" s="36"/>
      <c r="C58" s="36"/>
      <c r="D58" s="36"/>
      <c r="E58" s="394" t="s">
        <v>56</v>
      </c>
      <c r="F58" s="395"/>
    </row>
    <row r="59" spans="1:6" ht="15.75">
      <c r="A59" s="36"/>
      <c r="B59" s="36"/>
      <c r="C59" s="36"/>
      <c r="D59" s="36"/>
      <c r="E59" s="36"/>
      <c r="F59" s="36"/>
    </row>
    <row r="60" spans="1:6" ht="15.75">
      <c r="A60" s="36"/>
      <c r="B60" s="36"/>
      <c r="C60" s="36"/>
      <c r="D60" s="36"/>
      <c r="E60" s="36"/>
      <c r="F60" s="36"/>
    </row>
    <row r="61" spans="1:6" ht="15.75">
      <c r="A61" s="36"/>
      <c r="B61" s="36"/>
      <c r="C61" s="36"/>
      <c r="D61" s="36"/>
      <c r="E61" s="36"/>
      <c r="F61" s="36"/>
    </row>
    <row r="62" spans="1:6" ht="15.75">
      <c r="A62" s="15" t="s">
        <v>58</v>
      </c>
      <c r="B62" s="16"/>
      <c r="C62" s="16"/>
      <c r="D62" s="16"/>
      <c r="E62" s="16"/>
      <c r="F62" s="36"/>
    </row>
    <row r="63" spans="1:6" ht="15.75">
      <c r="A63" s="15" t="s">
        <v>59</v>
      </c>
      <c r="B63" s="16"/>
      <c r="C63" s="16"/>
      <c r="D63" s="16"/>
      <c r="E63" s="16"/>
      <c r="F63" s="36"/>
    </row>
    <row r="64" spans="1:6" ht="15.75">
      <c r="A64" s="15"/>
      <c r="B64" s="16"/>
      <c r="C64" s="16"/>
      <c r="D64" s="16"/>
      <c r="E64" s="16"/>
      <c r="F64" s="36"/>
    </row>
    <row r="65" spans="1:6" ht="15.75">
      <c r="A65" s="36"/>
      <c r="B65" s="36"/>
      <c r="C65" s="36"/>
      <c r="D65" s="36"/>
      <c r="E65" s="36"/>
      <c r="F65" s="36"/>
    </row>
    <row r="66" spans="1:6" ht="15.75">
      <c r="A66" s="39" t="str">
        <f>CONCATENATE("Salaries and Wages:  Please report here the total amount of salaries and wages paid in ",G1-2," by the township")</f>
        <v>Salaries and Wages:  Please report here the total amount of salaries and wages paid in 2011 by the township</v>
      </c>
      <c r="B66" s="36"/>
      <c r="C66" s="36"/>
      <c r="D66" s="36"/>
      <c r="E66" s="36"/>
      <c r="F66" s="36"/>
    </row>
    <row r="67" spans="1:6" ht="15.75">
      <c r="A67" s="39" t="str">
        <f>CONCATENATE("to all employees, full and part-time.  This figure may be taken from the ",G1-2," W-3 form that your township filed")</f>
        <v>to all employees, full and part-time.  This figure may be taken from the 2011 W-3 form that your township filed</v>
      </c>
      <c r="B67" s="36"/>
      <c r="C67" s="36"/>
      <c r="D67" s="36"/>
      <c r="E67" s="36"/>
      <c r="F67" s="36"/>
    </row>
    <row r="68" spans="1:6" ht="15.75">
      <c r="A68" s="39" t="s">
        <v>60</v>
      </c>
      <c r="B68" s="36"/>
      <c r="C68" s="36"/>
      <c r="D68" s="173" t="s">
        <v>61</v>
      </c>
      <c r="E68" s="17"/>
      <c r="F68" s="36"/>
    </row>
  </sheetData>
  <sheetProtection sheet="1" objects="1" scenarios="1"/>
  <mergeCells count="13">
    <mergeCell ref="E58:F58"/>
    <mergeCell ref="D11:F11"/>
    <mergeCell ref="A6:F6"/>
    <mergeCell ref="A7:F7"/>
    <mergeCell ref="B40:C40"/>
    <mergeCell ref="B41:C41"/>
    <mergeCell ref="B45:C45"/>
    <mergeCell ref="B44:C44"/>
    <mergeCell ref="B42:C42"/>
    <mergeCell ref="B43:C43"/>
    <mergeCell ref="A1:F1"/>
    <mergeCell ref="E12:E14"/>
    <mergeCell ref="A3:G3"/>
  </mergeCells>
  <printOptions/>
  <pageMargins left="1.31" right="0.56" top="0.83" bottom="0.85" header="0.3" footer="0.6"/>
  <pageSetup blackAndWhite="1" fitToHeight="1" fitToWidth="1" horizontalDpi="300" verticalDpi="300" orientation="portrait" scale="71" r:id="rId1"/>
  <headerFooter alignWithMargins="0">
    <oddHeader>&amp;RState of Kansas
Township
</oddHeader>
    <oddFooter>&amp;Lrevised 8/06/07&amp;CPage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G33" sqref="G33"/>
    </sheetView>
  </sheetViews>
  <sheetFormatPr defaultColWidth="8.796875" defaultRowHeight="15.75"/>
  <cols>
    <col min="1" max="2" width="3" style="1" customWidth="1"/>
    <col min="3" max="3" width="28.19921875" style="1" customWidth="1"/>
    <col min="4" max="4" width="2.09765625" style="1" customWidth="1"/>
    <col min="5" max="5" width="15.69921875" style="1" customWidth="1"/>
    <col min="6" max="6" width="1.796875" style="1" customWidth="1"/>
    <col min="7" max="7" width="15.69921875" style="1" customWidth="1"/>
    <col min="8" max="8" width="1.69921875" style="1" customWidth="1"/>
    <col min="9" max="9" width="1.59765625" style="1" customWidth="1"/>
    <col min="10" max="10" width="15.69921875" style="1" customWidth="1"/>
    <col min="11" max="16384" width="8.796875" style="1" customWidth="1"/>
  </cols>
  <sheetData>
    <row r="1" spans="1:10" ht="15.75">
      <c r="A1" s="36"/>
      <c r="B1" s="36"/>
      <c r="C1" s="41" t="str">
        <f>inputPrYr!D3</f>
        <v>Hackberry Township</v>
      </c>
      <c r="D1" s="36"/>
      <c r="E1" s="36"/>
      <c r="F1" s="36"/>
      <c r="G1" s="36"/>
      <c r="H1" s="36"/>
      <c r="I1" s="36"/>
      <c r="J1" s="36">
        <f>inputPrYr!D9</f>
        <v>2013</v>
      </c>
    </row>
    <row r="2" spans="1:10" ht="15.75">
      <c r="A2" s="36"/>
      <c r="B2" s="36"/>
      <c r="C2" s="36"/>
      <c r="D2" s="36"/>
      <c r="E2" s="36"/>
      <c r="F2" s="36"/>
      <c r="G2" s="36"/>
      <c r="H2" s="36"/>
      <c r="I2" s="36"/>
      <c r="J2" s="36"/>
    </row>
    <row r="3" spans="1:10" ht="15.75">
      <c r="A3" s="407" t="str">
        <f>CONCATENATE("Computation to Determine Limit for ",J1,"")</f>
        <v>Computation to Determine Limit for 2013</v>
      </c>
      <c r="B3" s="388"/>
      <c r="C3" s="388"/>
      <c r="D3" s="388"/>
      <c r="E3" s="388"/>
      <c r="F3" s="388"/>
      <c r="G3" s="388"/>
      <c r="H3" s="388"/>
      <c r="I3" s="388"/>
      <c r="J3" s="388"/>
    </row>
    <row r="4" spans="1:10" ht="15.75">
      <c r="A4" s="36"/>
      <c r="B4" s="36"/>
      <c r="C4" s="36"/>
      <c r="D4" s="36"/>
      <c r="E4" s="388"/>
      <c r="F4" s="388"/>
      <c r="G4" s="388"/>
      <c r="H4" s="42"/>
      <c r="I4" s="36"/>
      <c r="J4" s="43" t="s">
        <v>154</v>
      </c>
    </row>
    <row r="5" spans="1:10" ht="15.75">
      <c r="A5" s="44" t="s">
        <v>155</v>
      </c>
      <c r="B5" s="36" t="str">
        <f>CONCATENATE("Total Tax Levy Amount in ",J1-1,"")</f>
        <v>Total Tax Levy Amount in 2012</v>
      </c>
      <c r="C5" s="36"/>
      <c r="D5" s="36"/>
      <c r="E5" s="45"/>
      <c r="F5" s="45"/>
      <c r="G5" s="45"/>
      <c r="H5" s="46" t="s">
        <v>75</v>
      </c>
      <c r="I5" s="45" t="s">
        <v>61</v>
      </c>
      <c r="J5" s="47">
        <f>inputPrYr!D30</f>
        <v>16917</v>
      </c>
    </row>
    <row r="6" spans="1:10" ht="15.75">
      <c r="A6" s="44" t="s">
        <v>156</v>
      </c>
      <c r="B6" s="36" t="str">
        <f>CONCATENATE("Debt Service Levy in ",J1-1,"")</f>
        <v>Debt Service Levy in 2012</v>
      </c>
      <c r="C6" s="36"/>
      <c r="D6" s="36"/>
      <c r="E6" s="45"/>
      <c r="F6" s="45"/>
      <c r="G6" s="45"/>
      <c r="H6" s="46" t="s">
        <v>157</v>
      </c>
      <c r="I6" s="45" t="s">
        <v>61</v>
      </c>
      <c r="J6" s="224">
        <f>inputPrYr!D20</f>
        <v>0</v>
      </c>
    </row>
    <row r="7" spans="1:10" ht="15.75">
      <c r="A7" s="44" t="s">
        <v>158</v>
      </c>
      <c r="B7" s="48" t="s">
        <v>181</v>
      </c>
      <c r="C7" s="36"/>
      <c r="D7" s="36"/>
      <c r="E7" s="45"/>
      <c r="F7" s="45"/>
      <c r="G7" s="45"/>
      <c r="H7" s="45"/>
      <c r="I7" s="45" t="s">
        <v>61</v>
      </c>
      <c r="J7" s="49">
        <f>J5-J6</f>
        <v>16917</v>
      </c>
    </row>
    <row r="8" spans="1:10" ht="15.75">
      <c r="A8" s="36"/>
      <c r="B8" s="36"/>
      <c r="C8" s="36"/>
      <c r="D8" s="36"/>
      <c r="E8" s="45"/>
      <c r="F8" s="45"/>
      <c r="G8" s="45"/>
      <c r="H8" s="45"/>
      <c r="I8" s="45"/>
      <c r="J8" s="45"/>
    </row>
    <row r="9" spans="1:10" ht="15.75">
      <c r="A9" s="36"/>
      <c r="B9" s="48" t="str">
        <f>CONCATENATE("",J1-1," Valuation Information for Valuation Adjustments:")</f>
        <v>2012 Valuation Information for Valuation Adjustments:</v>
      </c>
      <c r="C9" s="36"/>
      <c r="D9" s="36"/>
      <c r="E9" s="45"/>
      <c r="F9" s="45"/>
      <c r="G9" s="45"/>
      <c r="H9" s="45"/>
      <c r="I9" s="45"/>
      <c r="J9" s="45"/>
    </row>
    <row r="10" spans="1:10" ht="15.75">
      <c r="A10" s="36"/>
      <c r="B10" s="36"/>
      <c r="C10" s="48"/>
      <c r="D10" s="36"/>
      <c r="E10" s="45"/>
      <c r="F10" s="45"/>
      <c r="G10" s="45"/>
      <c r="H10" s="45"/>
      <c r="I10" s="45"/>
      <c r="J10" s="45"/>
    </row>
    <row r="11" spans="1:10" ht="15.75">
      <c r="A11" s="44" t="s">
        <v>159</v>
      </c>
      <c r="B11" s="48" t="str">
        <f>CONCATENATE("New Improvements for ",J1-1,":")</f>
        <v>New Improvements for 2012:</v>
      </c>
      <c r="C11" s="36"/>
      <c r="D11" s="36"/>
      <c r="E11" s="46"/>
      <c r="F11" s="46" t="s">
        <v>75</v>
      </c>
      <c r="G11" s="47">
        <f>inputOth!E16</f>
        <v>167210</v>
      </c>
      <c r="H11" s="50"/>
      <c r="I11" s="45"/>
      <c r="J11" s="45"/>
    </row>
    <row r="12" spans="1:10" ht="15.75">
      <c r="A12" s="44"/>
      <c r="B12" s="44"/>
      <c r="C12" s="36"/>
      <c r="D12" s="36"/>
      <c r="E12" s="46"/>
      <c r="F12" s="46"/>
      <c r="G12" s="50"/>
      <c r="H12" s="50"/>
      <c r="I12" s="45"/>
      <c r="J12" s="45"/>
    </row>
    <row r="13" spans="1:10" ht="15.75">
      <c r="A13" s="44" t="s">
        <v>160</v>
      </c>
      <c r="B13" s="48" t="str">
        <f>CONCATENATE("Increase in Personal Property for ",J1-1,":")</f>
        <v>Increase in Personal Property for 2012:</v>
      </c>
      <c r="C13" s="36"/>
      <c r="D13" s="36"/>
      <c r="E13" s="46"/>
      <c r="F13" s="46"/>
      <c r="G13" s="50"/>
      <c r="H13" s="50"/>
      <c r="I13" s="45"/>
      <c r="J13" s="45"/>
    </row>
    <row r="14" spans="1:10" ht="15.75">
      <c r="A14" s="36"/>
      <c r="B14" s="36" t="s">
        <v>161</v>
      </c>
      <c r="C14" s="36" t="str">
        <f>CONCATENATE("Personal Property ",J1-1,"")</f>
        <v>Personal Property 2012</v>
      </c>
      <c r="D14" s="44" t="s">
        <v>75</v>
      </c>
      <c r="E14" s="47">
        <f>inputOth!E21</f>
        <v>90321</v>
      </c>
      <c r="F14" s="46"/>
      <c r="G14" s="45"/>
      <c r="H14" s="45"/>
      <c r="I14" s="50"/>
      <c r="J14" s="45"/>
    </row>
    <row r="15" spans="1:10" ht="15.75">
      <c r="A15" s="44"/>
      <c r="B15" s="36" t="s">
        <v>162</v>
      </c>
      <c r="C15" s="36" t="str">
        <f>CONCATENATE("Personal Property ",J1-2,"")</f>
        <v>Personal Property 2011</v>
      </c>
      <c r="D15" s="44" t="s">
        <v>157</v>
      </c>
      <c r="E15" s="49">
        <f>inputOth!E31</f>
        <v>89811</v>
      </c>
      <c r="F15" s="46"/>
      <c r="G15" s="50"/>
      <c r="H15" s="50"/>
      <c r="I15" s="45"/>
      <c r="J15" s="45"/>
    </row>
    <row r="16" spans="1:10" ht="15.75">
      <c r="A16" s="44"/>
      <c r="B16" s="36" t="s">
        <v>163</v>
      </c>
      <c r="C16" s="36" t="s">
        <v>182</v>
      </c>
      <c r="D16" s="36"/>
      <c r="E16" s="45"/>
      <c r="F16" s="45" t="s">
        <v>75</v>
      </c>
      <c r="G16" s="47">
        <f>IF(E14&gt;E15,E14-E15,0)</f>
        <v>510</v>
      </c>
      <c r="H16" s="50"/>
      <c r="I16" s="45"/>
      <c r="J16" s="45"/>
    </row>
    <row r="17" spans="1:10" ht="15.75">
      <c r="A17" s="44"/>
      <c r="B17" s="44"/>
      <c r="C17" s="36"/>
      <c r="D17" s="36"/>
      <c r="E17" s="45"/>
      <c r="F17" s="45"/>
      <c r="G17" s="50" t="s">
        <v>171</v>
      </c>
      <c r="H17" s="50"/>
      <c r="I17" s="45"/>
      <c r="J17" s="45"/>
    </row>
    <row r="18" spans="1:10" ht="15.75">
      <c r="A18" s="44" t="s">
        <v>164</v>
      </c>
      <c r="B18" s="48" t="str">
        <f>CONCATENATE("Valuation of Property that has Changed in Use during ",J1-1,":")</f>
        <v>Valuation of Property that has Changed in Use during 2012:</v>
      </c>
      <c r="C18" s="36"/>
      <c r="D18" s="36"/>
      <c r="E18" s="45"/>
      <c r="F18" s="46" t="s">
        <v>75</v>
      </c>
      <c r="G18" s="47">
        <f>inputOth!E26</f>
        <v>5085</v>
      </c>
      <c r="H18" s="45"/>
      <c r="I18" s="45"/>
      <c r="J18" s="45"/>
    </row>
    <row r="19" spans="1:10" ht="15.75">
      <c r="A19" s="36" t="s">
        <v>40</v>
      </c>
      <c r="B19" s="36"/>
      <c r="C19" s="36"/>
      <c r="D19" s="44"/>
      <c r="E19" s="50"/>
      <c r="F19" s="50"/>
      <c r="G19" s="50"/>
      <c r="H19" s="45"/>
      <c r="I19" s="45"/>
      <c r="J19" s="45"/>
    </row>
    <row r="20" spans="1:10" ht="15.75">
      <c r="A20" s="44" t="s">
        <v>165</v>
      </c>
      <c r="B20" s="48" t="s">
        <v>183</v>
      </c>
      <c r="C20" s="36"/>
      <c r="D20" s="36"/>
      <c r="E20" s="45"/>
      <c r="F20" s="45"/>
      <c r="G20" s="47">
        <f>G11+G16+G18</f>
        <v>172805</v>
      </c>
      <c r="H20" s="50"/>
      <c r="I20" s="45"/>
      <c r="J20" s="45"/>
    </row>
    <row r="21" spans="1:10" ht="15.75">
      <c r="A21" s="44"/>
      <c r="B21" s="44"/>
      <c r="C21" s="48"/>
      <c r="D21" s="36"/>
      <c r="E21" s="45"/>
      <c r="F21" s="45"/>
      <c r="G21" s="50"/>
      <c r="H21" s="50"/>
      <c r="I21" s="45"/>
      <c r="J21" s="45"/>
    </row>
    <row r="22" spans="1:10" ht="15.75">
      <c r="A22" s="44" t="s">
        <v>166</v>
      </c>
      <c r="B22" s="36" t="str">
        <f>CONCATENATE("Total Estimated Valuation July 1,",J1-1,"")</f>
        <v>Total Estimated Valuation July 1,2012</v>
      </c>
      <c r="C22" s="36"/>
      <c r="D22" s="36"/>
      <c r="E22" s="47">
        <f>inputOth!E11</f>
        <v>2750933</v>
      </c>
      <c r="F22" s="45"/>
      <c r="G22" s="45"/>
      <c r="H22" s="45"/>
      <c r="I22" s="46"/>
      <c r="J22" s="45"/>
    </row>
    <row r="23" spans="1:10" ht="15.75">
      <c r="A23" s="44"/>
      <c r="B23" s="44"/>
      <c r="C23" s="36"/>
      <c r="D23" s="36"/>
      <c r="E23" s="50"/>
      <c r="F23" s="45"/>
      <c r="G23" s="45"/>
      <c r="H23" s="45"/>
      <c r="I23" s="46"/>
      <c r="J23" s="45"/>
    </row>
    <row r="24" spans="1:10" ht="15.75">
      <c r="A24" s="44" t="s">
        <v>167</v>
      </c>
      <c r="B24" s="48" t="s">
        <v>184</v>
      </c>
      <c r="C24" s="36"/>
      <c r="D24" s="36"/>
      <c r="E24" s="45"/>
      <c r="F24" s="45"/>
      <c r="G24" s="47">
        <f>E22-G20</f>
        <v>2578128</v>
      </c>
      <c r="H24" s="50"/>
      <c r="I24" s="46"/>
      <c r="J24" s="45"/>
    </row>
    <row r="25" spans="1:10" ht="15.75">
      <c r="A25" s="44"/>
      <c r="B25" s="44"/>
      <c r="C25" s="48"/>
      <c r="D25" s="36"/>
      <c r="E25" s="36"/>
      <c r="F25" s="36"/>
      <c r="G25" s="51"/>
      <c r="H25" s="52"/>
      <c r="I25" s="44"/>
      <c r="J25" s="36"/>
    </row>
    <row r="26" spans="1:10" ht="15.75">
      <c r="A26" s="44" t="s">
        <v>168</v>
      </c>
      <c r="B26" s="36" t="s">
        <v>185</v>
      </c>
      <c r="C26" s="36"/>
      <c r="D26" s="36"/>
      <c r="E26" s="36"/>
      <c r="F26" s="36"/>
      <c r="G26" s="53">
        <f>IF(G20&gt;0,G20/G24,0)</f>
        <v>0.06702731594397175</v>
      </c>
      <c r="H26" s="52"/>
      <c r="I26" s="36"/>
      <c r="J26" s="36"/>
    </row>
    <row r="27" spans="1:10" ht="15.75">
      <c r="A27" s="44"/>
      <c r="B27" s="44"/>
      <c r="C27" s="36"/>
      <c r="D27" s="36"/>
      <c r="E27" s="36"/>
      <c r="F27" s="36"/>
      <c r="G27" s="52"/>
      <c r="H27" s="52"/>
      <c r="I27" s="36"/>
      <c r="J27" s="36"/>
    </row>
    <row r="28" spans="1:10" ht="15.75">
      <c r="A28" s="44" t="s">
        <v>169</v>
      </c>
      <c r="B28" s="36" t="s">
        <v>186</v>
      </c>
      <c r="C28" s="36"/>
      <c r="D28" s="36"/>
      <c r="E28" s="36"/>
      <c r="F28" s="36"/>
      <c r="G28" s="52"/>
      <c r="H28" s="54" t="s">
        <v>75</v>
      </c>
      <c r="I28" s="36" t="s">
        <v>61</v>
      </c>
      <c r="J28" s="47">
        <f>ROUND(G26*J7,0)</f>
        <v>1134</v>
      </c>
    </row>
    <row r="29" spans="1:10" ht="15.75">
      <c r="A29" s="44"/>
      <c r="B29" s="44"/>
      <c r="C29" s="36"/>
      <c r="D29" s="36"/>
      <c r="E29" s="36"/>
      <c r="F29" s="36"/>
      <c r="G29" s="52"/>
      <c r="H29" s="54"/>
      <c r="I29" s="36"/>
      <c r="J29" s="50"/>
    </row>
    <row r="30" spans="1:10" ht="16.5" thickBot="1">
      <c r="A30" s="44" t="s">
        <v>170</v>
      </c>
      <c r="B30" s="48" t="s">
        <v>190</v>
      </c>
      <c r="C30" s="36"/>
      <c r="D30" s="36"/>
      <c r="E30" s="36"/>
      <c r="F30" s="36"/>
      <c r="G30" s="36"/>
      <c r="H30" s="36"/>
      <c r="I30" s="36" t="s">
        <v>61</v>
      </c>
      <c r="J30" s="55">
        <f>J7+J28</f>
        <v>18051</v>
      </c>
    </row>
    <row r="31" spans="1:10" ht="16.5" thickTop="1">
      <c r="A31" s="36"/>
      <c r="B31" s="36"/>
      <c r="C31" s="36"/>
      <c r="D31" s="36"/>
      <c r="E31" s="36"/>
      <c r="F31" s="36"/>
      <c r="G31" s="36"/>
      <c r="H31" s="36"/>
      <c r="I31" s="36"/>
      <c r="J31" s="36"/>
    </row>
    <row r="32" spans="1:10" ht="15.75">
      <c r="A32" s="44" t="s">
        <v>188</v>
      </c>
      <c r="B32" s="48" t="str">
        <f>CONCATENATE("Debt Service Levy in this ",J1,"")</f>
        <v>Debt Service Levy in this 2013</v>
      </c>
      <c r="C32" s="36"/>
      <c r="D32" s="36"/>
      <c r="E32" s="36"/>
      <c r="F32" s="36"/>
      <c r="G32" s="36"/>
      <c r="H32" s="36"/>
      <c r="I32" s="36"/>
      <c r="J32" s="47">
        <f>bondint!E61</f>
        <v>0</v>
      </c>
    </row>
    <row r="33" spans="1:10" ht="15.75">
      <c r="A33" s="44"/>
      <c r="B33" s="48"/>
      <c r="C33" s="36"/>
      <c r="D33" s="36"/>
      <c r="E33" s="36"/>
      <c r="F33" s="36"/>
      <c r="G33" s="36"/>
      <c r="H33" s="36"/>
      <c r="I33" s="36"/>
      <c r="J33" s="52"/>
    </row>
    <row r="34" spans="1:10" ht="16.5" thickBot="1">
      <c r="A34" s="44" t="s">
        <v>189</v>
      </c>
      <c r="B34" s="48" t="s">
        <v>191</v>
      </c>
      <c r="C34" s="36"/>
      <c r="D34" s="36"/>
      <c r="E34" s="36"/>
      <c r="F34" s="36"/>
      <c r="G34" s="36"/>
      <c r="H34" s="36"/>
      <c r="I34" s="36"/>
      <c r="J34" s="55">
        <f>J30+J32</f>
        <v>18051</v>
      </c>
    </row>
    <row r="35" spans="1:10" ht="16.5" thickTop="1">
      <c r="A35" s="36"/>
      <c r="B35" s="36"/>
      <c r="C35" s="36"/>
      <c r="D35" s="36"/>
      <c r="E35" s="36"/>
      <c r="F35" s="36"/>
      <c r="G35" s="36"/>
      <c r="H35" s="36"/>
      <c r="I35" s="36"/>
      <c r="J35" s="36"/>
    </row>
    <row r="36" spans="1:10" s="32" customFormat="1" ht="18.75">
      <c r="A36" s="406" t="str">
        <f>CONCATENATE("If the ",J1," budget includes tax levies exceeding the total on line 14, you must")</f>
        <v>If the 2013 budget includes tax levies exceeding the total on line 14, you must</v>
      </c>
      <c r="B36" s="406"/>
      <c r="C36" s="406"/>
      <c r="D36" s="406"/>
      <c r="E36" s="406"/>
      <c r="F36" s="406"/>
      <c r="G36" s="406"/>
      <c r="H36" s="406"/>
      <c r="I36" s="406"/>
      <c r="J36" s="406"/>
    </row>
    <row r="37" spans="1:10" s="32" customFormat="1" ht="18.75">
      <c r="A37" s="406" t="s">
        <v>187</v>
      </c>
      <c r="B37" s="406"/>
      <c r="C37" s="406"/>
      <c r="D37" s="406"/>
      <c r="E37" s="406"/>
      <c r="F37" s="406"/>
      <c r="G37" s="406"/>
      <c r="H37" s="406"/>
      <c r="I37" s="406"/>
      <c r="J37" s="406"/>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85" zoomScaleNormal="85" zoomScalePageLayoutView="0" workbookViewId="0" topLeftCell="B1">
      <selection activeCell="C11" sqref="C11"/>
    </sheetView>
  </sheetViews>
  <sheetFormatPr defaultColWidth="8.796875" defaultRowHeight="15.75"/>
  <cols>
    <col min="1" max="1" width="17.296875" style="242" customWidth="1"/>
    <col min="2" max="2" width="19.796875" style="242" customWidth="1"/>
    <col min="3" max="3" width="8.69921875" style="242" hidden="1" customWidth="1"/>
    <col min="4" max="4" width="12.09765625" style="242" customWidth="1"/>
    <col min="5" max="5" width="12.09765625" style="242" hidden="1" customWidth="1"/>
    <col min="6" max="6" width="0.1015625" style="242" hidden="1" customWidth="1"/>
    <col min="7" max="7" width="13.69921875" style="242" customWidth="1"/>
    <col min="8" max="8" width="0.1015625" style="242" customWidth="1"/>
    <col min="9" max="11" width="13.69921875" style="242" customWidth="1"/>
    <col min="12" max="16384" width="8.796875" style="242" customWidth="1"/>
  </cols>
  <sheetData>
    <row r="1" spans="1:11" ht="15.75">
      <c r="A1" s="36"/>
      <c r="B1" s="41" t="str">
        <f>inputPrYr!D3</f>
        <v>Hackberry Township</v>
      </c>
      <c r="C1" s="36"/>
      <c r="D1" s="36"/>
      <c r="E1" s="36"/>
      <c r="F1" s="36"/>
      <c r="G1" s="36"/>
      <c r="H1" s="36"/>
      <c r="I1" s="36"/>
      <c r="J1" s="36"/>
      <c r="K1" s="152">
        <f>inputPrYr!D9</f>
        <v>2013</v>
      </c>
    </row>
    <row r="2" spans="1:11" ht="15.75">
      <c r="A2" s="36"/>
      <c r="B2" s="41"/>
      <c r="C2" s="36"/>
      <c r="D2" s="36"/>
      <c r="E2" s="36"/>
      <c r="F2" s="36"/>
      <c r="G2" s="36"/>
      <c r="H2" s="36"/>
      <c r="I2" s="36"/>
      <c r="J2" s="56"/>
      <c r="K2" s="56"/>
    </row>
    <row r="3" spans="1:11" ht="15.75">
      <c r="A3" s="36"/>
      <c r="B3" s="41"/>
      <c r="C3" s="36"/>
      <c r="D3" s="36"/>
      <c r="E3" s="36"/>
      <c r="F3" s="36"/>
      <c r="G3" s="36"/>
      <c r="H3" s="36"/>
      <c r="I3" s="36"/>
      <c r="J3" s="56"/>
      <c r="K3" s="56"/>
    </row>
    <row r="4" spans="1:11" ht="15.75">
      <c r="A4" s="36"/>
      <c r="B4" s="41"/>
      <c r="C4" s="36"/>
      <c r="D4" s="36"/>
      <c r="E4" s="36"/>
      <c r="F4" s="36"/>
      <c r="G4" s="36"/>
      <c r="H4" s="36"/>
      <c r="I4" s="36"/>
      <c r="J4" s="56"/>
      <c r="K4" s="56"/>
    </row>
    <row r="5" spans="1:11" ht="15.75">
      <c r="A5" s="36"/>
      <c r="B5" s="36"/>
      <c r="C5" s="36"/>
      <c r="D5" s="36"/>
      <c r="E5" s="36"/>
      <c r="F5" s="36"/>
      <c r="G5" s="36"/>
      <c r="H5" s="36"/>
      <c r="I5" s="36"/>
      <c r="J5" s="36"/>
      <c r="K5" s="36"/>
    </row>
    <row r="6" spans="1:11" ht="15.75">
      <c r="A6" s="36"/>
      <c r="B6" s="408" t="s">
        <v>13</v>
      </c>
      <c r="C6" s="405"/>
      <c r="D6" s="405"/>
      <c r="E6" s="405"/>
      <c r="F6" s="405"/>
      <c r="G6" s="405"/>
      <c r="H6" s="405"/>
      <c r="I6" s="405"/>
      <c r="J6" s="405"/>
      <c r="K6" s="405"/>
    </row>
    <row r="7" spans="1:11" ht="16.5">
      <c r="A7" s="36"/>
      <c r="B7" s="388"/>
      <c r="C7" s="409"/>
      <c r="D7" s="409"/>
      <c r="E7" s="409"/>
      <c r="F7" s="409"/>
      <c r="G7" s="409"/>
      <c r="H7" s="409"/>
      <c r="I7" s="409"/>
      <c r="J7" s="409"/>
      <c r="K7" s="409"/>
    </row>
    <row r="8" spans="1:11" ht="16.5">
      <c r="A8" s="36"/>
      <c r="B8" s="388"/>
      <c r="C8" s="409"/>
      <c r="D8" s="409"/>
      <c r="E8" s="409"/>
      <c r="F8" s="409"/>
      <c r="G8" s="409"/>
      <c r="H8" s="409"/>
      <c r="I8" s="409"/>
      <c r="J8" s="409"/>
      <c r="K8" s="409"/>
    </row>
    <row r="9" spans="1:11" ht="15.75">
      <c r="A9" s="36"/>
      <c r="B9" s="36"/>
      <c r="C9" s="58"/>
      <c r="D9" s="58"/>
      <c r="E9" s="58"/>
      <c r="F9" s="58"/>
      <c r="G9" s="59"/>
      <c r="H9" s="57"/>
      <c r="I9" s="57"/>
      <c r="J9" s="36"/>
      <c r="K9" s="36"/>
    </row>
    <row r="10" spans="1:11" ht="21" customHeight="1">
      <c r="A10" s="36"/>
      <c r="B10" s="90"/>
      <c r="C10" s="60"/>
      <c r="D10" s="410" t="str">
        <f>CONCATENATE("Budget Tax Levy Amount for ",K1-1,"")</f>
        <v>Budget Tax Levy Amount for 2012</v>
      </c>
      <c r="E10" s="410" t="str">
        <f>CONCATENATE("Budget Tax Levy Rate for ",K1-1,"")</f>
        <v>Budget Tax Levy Rate for 2012</v>
      </c>
      <c r="F10" s="150"/>
      <c r="G10" s="396" t="str">
        <f>CONCATENATE("Allocation for Year ",K1,"")</f>
        <v>Allocation for Year 2013</v>
      </c>
      <c r="H10" s="412"/>
      <c r="I10" s="412"/>
      <c r="J10" s="412"/>
      <c r="K10" s="413"/>
    </row>
    <row r="11" spans="1:11" ht="15.75">
      <c r="A11" s="36"/>
      <c r="B11" s="264" t="str">
        <f>CONCATENATE("",K1-1," Budgeted Funds")</f>
        <v>2012 Budgeted Funds</v>
      </c>
      <c r="C11" s="62"/>
      <c r="D11" s="411"/>
      <c r="E11" s="411"/>
      <c r="F11" s="63"/>
      <c r="G11" s="63" t="s">
        <v>151</v>
      </c>
      <c r="H11" s="63"/>
      <c r="I11" s="63" t="s">
        <v>152</v>
      </c>
      <c r="J11" s="115" t="s">
        <v>197</v>
      </c>
      <c r="K11" s="115" t="s">
        <v>245</v>
      </c>
    </row>
    <row r="12" spans="1:11" ht="15.75">
      <c r="A12" s="36"/>
      <c r="B12" s="34" t="str">
        <f>inputPrYr!B19</f>
        <v>General</v>
      </c>
      <c r="C12" s="225"/>
      <c r="D12" s="34">
        <f>IF(inputPrYr!D19&gt;0,inputPrYr!D19,"  ")</f>
        <v>16917</v>
      </c>
      <c r="E12" s="262">
        <f>IF(inputOth!D37&gt;0,inputOth!D37,"  ")</f>
        <v>6.858</v>
      </c>
      <c r="F12" s="170"/>
      <c r="G12" s="34">
        <f>IF(inputPrYr!D19=0,0,G25-SUM(G13:G22))</f>
        <v>2207</v>
      </c>
      <c r="H12" s="226"/>
      <c r="I12" s="34">
        <f>IF(inputPrYr!D19=0,0,I27-SUM(I13:I22))</f>
        <v>36</v>
      </c>
      <c r="J12" s="34">
        <f>IF(inputPrYr!D19=0,0,J29-SUM(J13:J22))</f>
        <v>719</v>
      </c>
      <c r="K12" s="34">
        <f>IF(inputPrYr!D19=0,0,K31-SUM(K13:K22))</f>
        <v>0</v>
      </c>
    </row>
    <row r="13" spans="1:11" ht="15.75">
      <c r="A13" s="36"/>
      <c r="B13" s="34" t="str">
        <f>inputPrYr!B20</f>
        <v>Bond &amp; Interest</v>
      </c>
      <c r="C13" s="225"/>
      <c r="D13" s="34" t="str">
        <f>IF(inputPrYr!D20&gt;0,inputPrYr!D20,"  ")</f>
        <v>  </v>
      </c>
      <c r="E13" s="262" t="str">
        <f>IF(inputOth!D38&gt;0,inputOth!D38,"  ")</f>
        <v>  </v>
      </c>
      <c r="F13" s="170"/>
      <c r="G13" s="34">
        <f>IF(inputPrYr!D20=0,0,ROUND(D13*$G$33,0))</f>
        <v>0</v>
      </c>
      <c r="H13" s="226"/>
      <c r="I13" s="34">
        <f>IF(inputPrYr!$D$20=0,0,ROUND($D$13*$I$35,0))</f>
        <v>0</v>
      </c>
      <c r="J13" s="34">
        <f>IF(inputPrYr!D20=0,0,ROUND($D13*$J$37,0))</f>
        <v>0</v>
      </c>
      <c r="K13" s="34">
        <f>IF(inputPrYr!D20=0,0,ROUND($D13*$K$39,0))</f>
        <v>0</v>
      </c>
    </row>
    <row r="14" spans="1:11" ht="15.75">
      <c r="A14" s="36"/>
      <c r="B14" s="34" t="str">
        <f>IF(inputPrYr!$B21&gt;"  ",inputPrYr!$B21,"  ")</f>
        <v>Road</v>
      </c>
      <c r="C14" s="225"/>
      <c r="D14" s="34" t="str">
        <f>IF(inputPrYr!D21&gt;0,inputPrYr!D21,"  ")</f>
        <v>  </v>
      </c>
      <c r="E14" s="262" t="str">
        <f>IF(inputOth!D39&gt;0,inputOth!D39,"  ")</f>
        <v>  </v>
      </c>
      <c r="F14" s="170"/>
      <c r="G14" s="34">
        <f>IF(inputPrYr!D21=0,0,ROUND(D14*$G$33,0))</f>
        <v>0</v>
      </c>
      <c r="H14" s="226"/>
      <c r="I14" s="34">
        <f>IF(inputPrYr!$D$21=0,0,ROUND($D$14*$I$35,0))</f>
        <v>0</v>
      </c>
      <c r="J14" s="34">
        <f>IF(inputPrYr!D21=0,0,ROUND($D14*$J$37,0))</f>
        <v>0</v>
      </c>
      <c r="K14" s="34">
        <f>IF(inputPrYr!D21=0,0,ROUND($D14*$K$39,0))</f>
        <v>0</v>
      </c>
    </row>
    <row r="15" spans="1:11" ht="15.75">
      <c r="A15" s="36"/>
      <c r="B15" s="34" t="str">
        <f>IF(inputPrYr!$B22&gt;"  ",inputPrYr!$B22,"  ")</f>
        <v>Noxious Weed</v>
      </c>
      <c r="C15" s="225"/>
      <c r="D15" s="34" t="str">
        <f>IF(inputPrYr!D22&gt;0,inputPrYr!D22,"  ")</f>
        <v>  </v>
      </c>
      <c r="E15" s="262" t="str">
        <f>IF(inputOth!D40&gt;0,inputOth!D40,"  ")</f>
        <v>  </v>
      </c>
      <c r="F15" s="170"/>
      <c r="G15" s="34">
        <f>IF(inputPrYr!D22=0,0,ROUND(D15*$G$33,0))</f>
        <v>0</v>
      </c>
      <c r="H15" s="226"/>
      <c r="I15" s="34">
        <f>IF(inputPrYr!$D$22=0,0,ROUND($D$15*$I$35,0))</f>
        <v>0</v>
      </c>
      <c r="J15" s="34">
        <f>IF(inputPrYr!D22=0,0,ROUND($D15*$J$37,0))</f>
        <v>0</v>
      </c>
      <c r="K15" s="34">
        <f>IF(inputPrYr!D22=0,0,ROUND($D15*$K$39,0))</f>
        <v>0</v>
      </c>
    </row>
    <row r="16" spans="1:11" ht="15.75">
      <c r="A16" s="36"/>
      <c r="B16" s="34" t="str">
        <f>IF(inputPrYr!$B23&gt;"  ",inputPrYr!$B23,"  ")</f>
        <v>  </v>
      </c>
      <c r="C16" s="225"/>
      <c r="D16" s="34" t="str">
        <f>IF(inputPrYr!D23&gt;0,inputPrYr!D23-C16,"  ")</f>
        <v>  </v>
      </c>
      <c r="E16" s="262" t="str">
        <f>IF(inputOth!D41&gt;0,inputOth!D41,"  ")</f>
        <v>  </v>
      </c>
      <c r="F16" s="170"/>
      <c r="G16" s="34">
        <f>IF(inputPrYr!D23=0,0,ROUND(D16*$G$33,0))</f>
        <v>0</v>
      </c>
      <c r="H16" s="226"/>
      <c r="I16" s="34">
        <f>IF(inputPrYr!$D$23=0,0,ROUND($D$16*$I$35,0))</f>
        <v>0</v>
      </c>
      <c r="J16" s="34">
        <f>IF(inputPrYr!D23=0,0,ROUND($D16*$J$37,0))</f>
        <v>0</v>
      </c>
      <c r="K16" s="34">
        <f>IF(inputPrYr!D23=0,0,ROUND($D16*$K$39,0))</f>
        <v>0</v>
      </c>
    </row>
    <row r="17" spans="1:11" ht="15.75">
      <c r="A17" s="36"/>
      <c r="B17" s="34" t="str">
        <f>IF(inputPrYr!$B24&gt;"  ",inputPrYr!$B24,"  ")</f>
        <v>  </v>
      </c>
      <c r="C17" s="225"/>
      <c r="D17" s="34" t="str">
        <f>IF(inputPrYr!D24&gt;0,inputPrYr!D24-C17,"  ")</f>
        <v>  </v>
      </c>
      <c r="E17" s="262" t="str">
        <f>IF(inputOth!D42&gt;0,inputOth!D42,"  ")</f>
        <v>  </v>
      </c>
      <c r="F17" s="170"/>
      <c r="G17" s="34">
        <f>IF(inputPrYr!D24=0,0,ROUND(D17*$G$33,0))</f>
        <v>0</v>
      </c>
      <c r="H17" s="226"/>
      <c r="I17" s="34">
        <f>IF(inputPrYr!$D$24=0,0,ROUND($D$17*$I$35,0))</f>
        <v>0</v>
      </c>
      <c r="J17" s="34">
        <f>IF(inputPrYr!D24=0,0,ROUND($D17*$J$37,0))</f>
        <v>0</v>
      </c>
      <c r="K17" s="34">
        <f>IF(inputPrYr!D24=0,0,ROUND($D17*$K$39,0))</f>
        <v>0</v>
      </c>
    </row>
    <row r="18" spans="1:11" ht="15.75">
      <c r="A18" s="36"/>
      <c r="B18" s="34" t="str">
        <f>IF(inputPrYr!$B25&gt;"  ",inputPrYr!$B25,"  ")</f>
        <v>  </v>
      </c>
      <c r="C18" s="225"/>
      <c r="D18" s="34" t="str">
        <f>IF(inputPrYr!D25&gt;0,inputPrYr!D25-C18,"  ")</f>
        <v>  </v>
      </c>
      <c r="E18" s="262" t="str">
        <f>IF(inputOth!D43&gt;0,inputOth!D43,"  ")</f>
        <v>  </v>
      </c>
      <c r="F18" s="170"/>
      <c r="G18" s="34">
        <f>IF(inputPrYr!D25=0,0,ROUND(D18*$G$33,0))</f>
        <v>0</v>
      </c>
      <c r="H18" s="226"/>
      <c r="I18" s="34">
        <f>IF(inputPrYr!$D$25=0,0,ROUND($D$18*$I$35,0))</f>
        <v>0</v>
      </c>
      <c r="J18" s="34">
        <f>IF(inputPrYr!D25=0,0,ROUND($D18*$J$37,0))</f>
        <v>0</v>
      </c>
      <c r="K18" s="34">
        <f>IF(inputPrYr!D25=0,0,ROUND($D18*$K$39,0))</f>
        <v>0</v>
      </c>
    </row>
    <row r="19" spans="1:11" ht="15.75">
      <c r="A19" s="36"/>
      <c r="B19" s="34" t="str">
        <f>IF(inputPrYr!$B26&gt;"  ",inputPrYr!$B26,"  ")</f>
        <v>  </v>
      </c>
      <c r="C19" s="225"/>
      <c r="D19" s="34" t="str">
        <f>IF(inputPrYr!D26&gt;0,inputPrYr!D26-C19,"  ")</f>
        <v>  </v>
      </c>
      <c r="E19" s="262" t="str">
        <f>IF(inputOth!D44&gt;0,inputOth!D44,"  ")</f>
        <v>  </v>
      </c>
      <c r="F19" s="170"/>
      <c r="G19" s="34">
        <f>IF(inputPrYr!D26=0,0,ROUND(D19*$G$33,0))</f>
        <v>0</v>
      </c>
      <c r="H19" s="226"/>
      <c r="I19" s="34">
        <f>IF(inputPrYr!$D$26=0,0,ROUND($D$19*$I$35,0))</f>
        <v>0</v>
      </c>
      <c r="J19" s="34">
        <f>IF(inputPrYr!D26=0,0,ROUND($D19*$J$37,0))</f>
        <v>0</v>
      </c>
      <c r="K19" s="34">
        <f>IF(inputPrYr!D26=0,0,ROUND($D19*$K$39,0))</f>
        <v>0</v>
      </c>
    </row>
    <row r="20" spans="1:11" ht="15.75">
      <c r="A20" s="36"/>
      <c r="B20" s="34" t="str">
        <f>IF(inputPrYr!$B27&gt;"  ",inputPrYr!$B27,"  ")</f>
        <v>  </v>
      </c>
      <c r="C20" s="225"/>
      <c r="D20" s="34" t="str">
        <f>IF(inputPrYr!D27&gt;0,inputPrYr!D27-C20,"  ")</f>
        <v>  </v>
      </c>
      <c r="E20" s="262" t="str">
        <f>IF(inputOth!D45&gt;0,inputOth!D45,"  ")</f>
        <v>  </v>
      </c>
      <c r="F20" s="170"/>
      <c r="G20" s="34">
        <f>IF(inputPrYr!D27=0,0,ROUND(D20*$G$33,0))</f>
        <v>0</v>
      </c>
      <c r="H20" s="226"/>
      <c r="I20" s="34">
        <f>IF(inputPrYr!$D$27=0,0,ROUND($D$20*$I$35,0))</f>
        <v>0</v>
      </c>
      <c r="J20" s="34">
        <f>IF(inputPrYr!D27=0,0,ROUND($D20*$J$37,0))</f>
        <v>0</v>
      </c>
      <c r="K20" s="34">
        <f>IF(inputPrYr!D27=0,0,ROUND($D20*$K$39,0))</f>
        <v>0</v>
      </c>
    </row>
    <row r="21" spans="1:11" ht="15.75">
      <c r="A21" s="36"/>
      <c r="B21" s="34" t="str">
        <f>IF(inputPrYr!$B28&gt;"  ",inputPrYr!$B28,"  ")</f>
        <v>  </v>
      </c>
      <c r="C21" s="225"/>
      <c r="D21" s="34" t="str">
        <f>IF(inputPrYr!D28&gt;0,inputPrYr!D28-C21,"  ")</f>
        <v>  </v>
      </c>
      <c r="E21" s="262" t="str">
        <f>IF(inputOth!D46&gt;0,inputOth!D46,"  ")</f>
        <v>  </v>
      </c>
      <c r="F21" s="170"/>
      <c r="G21" s="34">
        <f>IF(inputPrYr!D28=0,0,ROUND(D21*$G$33,0))</f>
        <v>0</v>
      </c>
      <c r="H21" s="226"/>
      <c r="I21" s="34">
        <f>IF(inputPrYr!$D$28=0,0,ROUND($D$21*$I$35,0))</f>
        <v>0</v>
      </c>
      <c r="J21" s="34">
        <f>IF(inputPrYr!D28=0,0,ROUND($D21*$J$37,0))</f>
        <v>0</v>
      </c>
      <c r="K21" s="34">
        <f>IF(inputPrYr!D28=0,0,ROUND($D21*$K$39,0))</f>
        <v>0</v>
      </c>
    </row>
    <row r="22" spans="1:11" ht="15.75">
      <c r="A22" s="36"/>
      <c r="B22" s="34" t="str">
        <f>IF(inputPrYr!$B29&gt;"  ",inputPrYr!$B29,"  ")</f>
        <v>  </v>
      </c>
      <c r="C22" s="225"/>
      <c r="D22" s="34" t="str">
        <f>IF(inputPrYr!D29&gt;0,inputPrYr!D29-C22,"  ")</f>
        <v>  </v>
      </c>
      <c r="E22" s="262" t="str">
        <f>IF(inputOth!D47&gt;0,inputOth!D47,"  ")</f>
        <v>  </v>
      </c>
      <c r="F22" s="170"/>
      <c r="G22" s="34">
        <f>IF(inputPrYr!D29=0,0,ROUND(D22*$G$33,0))</f>
        <v>0</v>
      </c>
      <c r="H22" s="226"/>
      <c r="I22" s="34">
        <f>IF(inputPrYr!$D$29=0,0,ROUND($D$22*$I$35,0))</f>
        <v>0</v>
      </c>
      <c r="J22" s="34">
        <f>IF(inputPrYr!D29=0,0,ROUND($D22*$J$37,0))</f>
        <v>0</v>
      </c>
      <c r="K22" s="34">
        <f>IF(inputPrYr!D29=0,0,ROUND($D22*$K$39,0))</f>
        <v>0</v>
      </c>
    </row>
    <row r="23" spans="1:11" ht="16.5" thickBot="1">
      <c r="A23" s="36"/>
      <c r="B23" s="96" t="s">
        <v>38</v>
      </c>
      <c r="C23" s="35"/>
      <c r="D23" s="202">
        <f aca="true" t="shared" si="0" ref="D23:J23">SUM(D12:D22)</f>
        <v>16917</v>
      </c>
      <c r="E23" s="263">
        <f>SUM(E12:E22)</f>
        <v>6.858</v>
      </c>
      <c r="F23" s="203"/>
      <c r="G23" s="202">
        <f t="shared" si="0"/>
        <v>2207</v>
      </c>
      <c r="H23" s="202"/>
      <c r="I23" s="202">
        <f t="shared" si="0"/>
        <v>36</v>
      </c>
      <c r="J23" s="202">
        <f t="shared" si="0"/>
        <v>719</v>
      </c>
      <c r="K23" s="202">
        <f>SUM(K12:K22)</f>
        <v>0</v>
      </c>
    </row>
    <row r="24" spans="1:11" ht="16.5" thickTop="1">
      <c r="A24" s="36"/>
      <c r="B24" s="36"/>
      <c r="C24" s="36"/>
      <c r="D24" s="36"/>
      <c r="E24" s="36"/>
      <c r="F24" s="36"/>
      <c r="G24" s="36"/>
      <c r="H24" s="36"/>
      <c r="I24" s="36"/>
      <c r="J24" s="36"/>
      <c r="K24" s="36"/>
    </row>
    <row r="25" spans="1:11" ht="15.75">
      <c r="A25" s="36"/>
      <c r="B25" s="39" t="s">
        <v>64</v>
      </c>
      <c r="C25" s="66"/>
      <c r="D25" s="36"/>
      <c r="E25" s="36"/>
      <c r="F25" s="36"/>
      <c r="G25" s="64">
        <f>SUM(inputOth!E58,inputOth!E62,inputOth!E66)</f>
        <v>2207</v>
      </c>
      <c r="H25" s="36"/>
      <c r="I25" s="36"/>
      <c r="J25" s="36"/>
      <c r="K25" s="36"/>
    </row>
    <row r="26" spans="1:11" ht="15.75">
      <c r="A26" s="36"/>
      <c r="B26" s="36"/>
      <c r="C26" s="36"/>
      <c r="D26" s="36"/>
      <c r="E26" s="36"/>
      <c r="F26" s="36"/>
      <c r="G26" s="36"/>
      <c r="H26" s="36"/>
      <c r="I26" s="36"/>
      <c r="J26" s="36"/>
      <c r="K26" s="36"/>
    </row>
    <row r="27" spans="1:11" ht="15.75">
      <c r="A27" s="36"/>
      <c r="B27" s="39" t="s">
        <v>65</v>
      </c>
      <c r="C27" s="36"/>
      <c r="D27" s="36"/>
      <c r="E27" s="36"/>
      <c r="F27" s="36"/>
      <c r="G27" s="36"/>
      <c r="H27" s="64">
        <f>inputPrYr!E73</f>
        <v>0</v>
      </c>
      <c r="I27" s="64">
        <f>SUM(inputOth!E59,inputOth!E63,inputOth!E67)</f>
        <v>36</v>
      </c>
      <c r="J27" s="36"/>
      <c r="K27" s="36"/>
    </row>
    <row r="28" spans="1:11" ht="15.75">
      <c r="A28" s="36"/>
      <c r="B28" s="36"/>
      <c r="C28" s="36"/>
      <c r="D28" s="36"/>
      <c r="E28" s="36"/>
      <c r="F28" s="36"/>
      <c r="G28" s="36"/>
      <c r="H28" s="36"/>
      <c r="I28" s="36"/>
      <c r="J28" s="36"/>
      <c r="K28" s="36"/>
    </row>
    <row r="29" spans="1:11" ht="15.75">
      <c r="A29" s="36"/>
      <c r="B29" s="39" t="s">
        <v>148</v>
      </c>
      <c r="C29" s="36"/>
      <c r="D29" s="36"/>
      <c r="E29" s="36"/>
      <c r="F29" s="36"/>
      <c r="G29" s="36"/>
      <c r="H29" s="36"/>
      <c r="I29" s="36"/>
      <c r="J29" s="64">
        <f>SUM(inputOth!E60,inputOth!E64,inputOth!E68)</f>
        <v>719</v>
      </c>
      <c r="K29" s="129"/>
    </row>
    <row r="30" spans="1:11" ht="15.75">
      <c r="A30" s="36"/>
      <c r="B30" s="36"/>
      <c r="C30" s="36"/>
      <c r="D30" s="36"/>
      <c r="E30" s="36"/>
      <c r="F30" s="36"/>
      <c r="G30" s="36"/>
      <c r="H30" s="36"/>
      <c r="I30" s="36"/>
      <c r="J30" s="36"/>
      <c r="K30" s="36"/>
    </row>
    <row r="31" spans="1:11" ht="15.75">
      <c r="A31" s="36"/>
      <c r="B31" s="36" t="s">
        <v>324</v>
      </c>
      <c r="C31" s="36"/>
      <c r="D31" s="36"/>
      <c r="E31" s="36"/>
      <c r="F31" s="36"/>
      <c r="G31" s="36"/>
      <c r="H31" s="36"/>
      <c r="I31" s="36"/>
      <c r="J31" s="36"/>
      <c r="K31" s="47">
        <f>inputOth!E71</f>
        <v>0</v>
      </c>
    </row>
    <row r="32" spans="1:11" ht="15.75">
      <c r="A32" s="36"/>
      <c r="B32" s="36"/>
      <c r="C32" s="36"/>
      <c r="D32" s="36"/>
      <c r="E32" s="36"/>
      <c r="F32" s="36"/>
      <c r="G32" s="36"/>
      <c r="H32" s="36"/>
      <c r="I32" s="36"/>
      <c r="J32" s="36"/>
      <c r="K32" s="36"/>
    </row>
    <row r="33" spans="1:11" ht="15.75">
      <c r="A33" s="36"/>
      <c r="B33" s="39" t="s">
        <v>66</v>
      </c>
      <c r="C33" s="36"/>
      <c r="D33" s="36"/>
      <c r="E33" s="36"/>
      <c r="F33" s="36"/>
      <c r="G33" s="265">
        <f>IF(D23=0,0,G25/D23)</f>
        <v>0.1304604835372702</v>
      </c>
      <c r="H33" s="36"/>
      <c r="I33" s="36"/>
      <c r="J33" s="36"/>
      <c r="K33" s="36"/>
    </row>
    <row r="34" spans="1:11" ht="15.75">
      <c r="A34" s="36"/>
      <c r="B34" s="36"/>
      <c r="C34" s="67"/>
      <c r="D34" s="36"/>
      <c r="E34" s="36"/>
      <c r="F34" s="36"/>
      <c r="G34" s="36"/>
      <c r="H34" s="36"/>
      <c r="I34" s="36"/>
      <c r="J34" s="36"/>
      <c r="K34" s="36"/>
    </row>
    <row r="35" spans="1:11" ht="15.75">
      <c r="A35" s="36"/>
      <c r="B35" s="39" t="s">
        <v>67</v>
      </c>
      <c r="C35" s="36"/>
      <c r="D35" s="36"/>
      <c r="E35" s="36"/>
      <c r="F35" s="36"/>
      <c r="G35" s="36"/>
      <c r="H35" s="65">
        <f>IF(D23=0,0,H27/D23)</f>
        <v>0</v>
      </c>
      <c r="I35" s="266">
        <f>IF(D23=0,0,I27/D23)</f>
        <v>0.00212803688597269</v>
      </c>
      <c r="J35" s="36"/>
      <c r="K35" s="36"/>
    </row>
    <row r="36" spans="1:11" ht="15.75">
      <c r="A36" s="36"/>
      <c r="B36" s="36"/>
      <c r="C36" s="36"/>
      <c r="D36" s="36"/>
      <c r="E36" s="36"/>
      <c r="F36" s="36"/>
      <c r="G36" s="36"/>
      <c r="H36" s="36"/>
      <c r="I36" s="36"/>
      <c r="J36" s="36"/>
      <c r="K36" s="36"/>
    </row>
    <row r="37" spans="1:11" ht="15.75">
      <c r="A37" s="36"/>
      <c r="B37" s="39" t="s">
        <v>150</v>
      </c>
      <c r="C37" s="36"/>
      <c r="D37" s="36"/>
      <c r="E37" s="36"/>
      <c r="F37" s="36"/>
      <c r="G37" s="36"/>
      <c r="H37" s="36"/>
      <c r="I37" s="36"/>
      <c r="J37" s="265">
        <f>IF(D23=0,0,J29/D23)</f>
        <v>0.04250162558373234</v>
      </c>
      <c r="K37" s="269"/>
    </row>
    <row r="38" spans="1:11" ht="15.75">
      <c r="A38" s="36"/>
      <c r="B38" s="36"/>
      <c r="C38" s="36"/>
      <c r="D38" s="36"/>
      <c r="E38" s="36"/>
      <c r="F38" s="36"/>
      <c r="G38" s="36"/>
      <c r="H38" s="36"/>
      <c r="I38" s="36"/>
      <c r="J38" s="36"/>
      <c r="K38" s="36"/>
    </row>
    <row r="39" spans="1:11" ht="15.75">
      <c r="A39" s="36"/>
      <c r="B39" s="36" t="s">
        <v>325</v>
      </c>
      <c r="C39" s="36"/>
      <c r="D39" s="36"/>
      <c r="E39" s="36"/>
      <c r="F39" s="36"/>
      <c r="G39" s="36"/>
      <c r="H39" s="36"/>
      <c r="I39" s="36"/>
      <c r="J39" s="36"/>
      <c r="K39" s="265">
        <f>IF(D23=0,0,K31/D23)</f>
        <v>0</v>
      </c>
    </row>
    <row r="40" spans="1:11" ht="15.75">
      <c r="A40" s="36"/>
      <c r="B40" s="36"/>
      <c r="C40" s="36"/>
      <c r="D40" s="36"/>
      <c r="E40" s="36"/>
      <c r="F40" s="36"/>
      <c r="G40" s="36"/>
      <c r="H40" s="36"/>
      <c r="I40" s="36"/>
      <c r="J40" s="36"/>
      <c r="K40" s="36"/>
    </row>
    <row r="44" spans="2:8" ht="15.75">
      <c r="B44" s="243"/>
      <c r="C44" s="243"/>
      <c r="D44" s="243"/>
      <c r="E44" s="243"/>
      <c r="F44" s="243"/>
      <c r="G44" s="243"/>
      <c r="H44" s="243"/>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1" sqref="C11"/>
    </sheetView>
  </sheetViews>
  <sheetFormatPr defaultColWidth="8.796875" defaultRowHeight="15.75"/>
  <cols>
    <col min="1" max="2" width="16" style="5" customWidth="1"/>
    <col min="3" max="6" width="11.5" style="5" customWidth="1"/>
    <col min="7" max="16384" width="8.796875" style="5" customWidth="1"/>
  </cols>
  <sheetData>
    <row r="1" spans="1:6" ht="15.75">
      <c r="A1" s="41"/>
      <c r="B1" s="36"/>
      <c r="C1" s="36"/>
      <c r="D1" s="36"/>
      <c r="E1" s="56"/>
      <c r="F1" s="36">
        <f>inputPrYr!D9</f>
        <v>2013</v>
      </c>
    </row>
    <row r="2" spans="1:6" ht="15.75">
      <c r="A2" s="194" t="str">
        <f>inputPrYr!D3</f>
        <v>Hackberry Township</v>
      </c>
      <c r="B2" s="194"/>
      <c r="C2" s="36"/>
      <c r="D2" s="36"/>
      <c r="E2" s="56"/>
      <c r="F2" s="36"/>
    </row>
    <row r="3" spans="1:6" ht="15.75">
      <c r="A3" s="41"/>
      <c r="B3" s="194"/>
      <c r="C3" s="36"/>
      <c r="D3" s="36"/>
      <c r="E3" s="56"/>
      <c r="F3" s="36"/>
    </row>
    <row r="4" spans="1:6" ht="15.75">
      <c r="A4" s="41"/>
      <c r="B4" s="36"/>
      <c r="C4" s="36"/>
      <c r="D4" s="36"/>
      <c r="E4" s="56"/>
      <c r="F4" s="36"/>
    </row>
    <row r="5" spans="1:6" ht="15" customHeight="1">
      <c r="A5" s="388" t="s">
        <v>251</v>
      </c>
      <c r="B5" s="388"/>
      <c r="C5" s="388"/>
      <c r="D5" s="388"/>
      <c r="E5" s="388"/>
      <c r="F5" s="388"/>
    </row>
    <row r="6" spans="1:6" ht="14.25" customHeight="1">
      <c r="A6" s="42"/>
      <c r="B6" s="204"/>
      <c r="C6" s="204"/>
      <c r="D6" s="204"/>
      <c r="E6" s="204"/>
      <c r="F6" s="204"/>
    </row>
    <row r="7" spans="1:6" ht="15" customHeight="1">
      <c r="A7" s="205" t="s">
        <v>252</v>
      </c>
      <c r="B7" s="206" t="s">
        <v>252</v>
      </c>
      <c r="C7" s="206" t="s">
        <v>98</v>
      </c>
      <c r="D7" s="206" t="s">
        <v>253</v>
      </c>
      <c r="E7" s="205" t="s">
        <v>254</v>
      </c>
      <c r="F7" s="205" t="s">
        <v>255</v>
      </c>
    </row>
    <row r="8" spans="1:6" ht="15" customHeight="1">
      <c r="A8" s="207" t="s">
        <v>256</v>
      </c>
      <c r="B8" s="208" t="s">
        <v>257</v>
      </c>
      <c r="C8" s="208" t="s">
        <v>258</v>
      </c>
      <c r="D8" s="208" t="s">
        <v>258</v>
      </c>
      <c r="E8" s="208" t="s">
        <v>258</v>
      </c>
      <c r="F8" s="208" t="s">
        <v>259</v>
      </c>
    </row>
    <row r="9" spans="1:6" s="211" customFormat="1" ht="15" customHeight="1" thickBot="1">
      <c r="A9" s="209" t="s">
        <v>260</v>
      </c>
      <c r="B9" s="210" t="s">
        <v>261</v>
      </c>
      <c r="C9" s="210">
        <f>F1-2</f>
        <v>2011</v>
      </c>
      <c r="D9" s="210">
        <f>F1-1</f>
        <v>2012</v>
      </c>
      <c r="E9" s="210">
        <f>F1</f>
        <v>2013</v>
      </c>
      <c r="F9" s="210" t="s">
        <v>33</v>
      </c>
    </row>
    <row r="10" spans="1:6" ht="15" customHeight="1" thickTop="1">
      <c r="A10" s="212"/>
      <c r="B10" s="212"/>
      <c r="C10" s="213"/>
      <c r="D10" s="213"/>
      <c r="E10" s="213"/>
      <c r="F10" s="212"/>
    </row>
    <row r="11" spans="1:6" ht="15" customHeight="1">
      <c r="A11" s="214"/>
      <c r="B11" s="214"/>
      <c r="C11" s="215"/>
      <c r="D11" s="215"/>
      <c r="E11" s="215"/>
      <c r="F11" s="214"/>
    </row>
    <row r="12" spans="1:6" ht="15" customHeight="1">
      <c r="A12" s="214"/>
      <c r="B12" s="214"/>
      <c r="C12" s="215"/>
      <c r="D12" s="215"/>
      <c r="E12" s="215"/>
      <c r="F12" s="214"/>
    </row>
    <row r="13" spans="1:6" ht="15" customHeight="1">
      <c r="A13" s="214"/>
      <c r="B13" s="214"/>
      <c r="C13" s="215"/>
      <c r="D13" s="215"/>
      <c r="E13" s="215"/>
      <c r="F13" s="214"/>
    </row>
    <row r="14" spans="1:6" ht="15" customHeight="1">
      <c r="A14" s="214"/>
      <c r="B14" s="214"/>
      <c r="C14" s="215"/>
      <c r="D14" s="215"/>
      <c r="E14" s="215"/>
      <c r="F14" s="214"/>
    </row>
    <row r="15" spans="1:6" ht="15" customHeight="1">
      <c r="A15" s="214"/>
      <c r="B15" s="214"/>
      <c r="C15" s="215"/>
      <c r="D15" s="215"/>
      <c r="E15" s="215"/>
      <c r="F15" s="214"/>
    </row>
    <row r="16" spans="1:6" ht="15" customHeight="1">
      <c r="A16" s="214"/>
      <c r="B16" s="214"/>
      <c r="C16" s="215"/>
      <c r="D16" s="215"/>
      <c r="E16" s="215"/>
      <c r="F16" s="214"/>
    </row>
    <row r="17" spans="1:6" ht="15" customHeight="1">
      <c r="A17" s="214"/>
      <c r="B17" s="214"/>
      <c r="C17" s="215"/>
      <c r="D17" s="215"/>
      <c r="E17" s="215"/>
      <c r="F17" s="214"/>
    </row>
    <row r="18" spans="1:6" ht="15" customHeight="1">
      <c r="A18" s="214"/>
      <c r="B18" s="214"/>
      <c r="C18" s="215"/>
      <c r="D18" s="215"/>
      <c r="E18" s="215"/>
      <c r="F18" s="214"/>
    </row>
    <row r="19" spans="1:6" ht="15" customHeight="1">
      <c r="A19" s="214"/>
      <c r="B19" s="216"/>
      <c r="C19" s="215"/>
      <c r="D19" s="215"/>
      <c r="E19" s="215"/>
      <c r="F19" s="214"/>
    </row>
    <row r="20" spans="1:6" ht="15" customHeight="1">
      <c r="A20" s="214"/>
      <c r="B20" s="214"/>
      <c r="C20" s="215"/>
      <c r="D20" s="215"/>
      <c r="E20" s="215"/>
      <c r="F20" s="214"/>
    </row>
    <row r="21" spans="1:6" ht="15" customHeight="1">
      <c r="A21" s="214"/>
      <c r="B21" s="214"/>
      <c r="C21" s="215"/>
      <c r="D21" s="215"/>
      <c r="E21" s="215"/>
      <c r="F21" s="214"/>
    </row>
    <row r="22" spans="1:6" ht="15" customHeight="1">
      <c r="A22" s="214"/>
      <c r="B22" s="214"/>
      <c r="C22" s="215"/>
      <c r="D22" s="215"/>
      <c r="E22" s="215"/>
      <c r="F22" s="214"/>
    </row>
    <row r="23" spans="1:6" ht="15" customHeight="1">
      <c r="A23" s="214"/>
      <c r="B23" s="214"/>
      <c r="C23" s="215"/>
      <c r="D23" s="215"/>
      <c r="E23" s="215"/>
      <c r="F23" s="214"/>
    </row>
    <row r="24" spans="1:6" ht="15" customHeight="1">
      <c r="A24" s="214"/>
      <c r="B24" s="214"/>
      <c r="C24" s="215"/>
      <c r="D24" s="215"/>
      <c r="E24" s="215"/>
      <c r="F24" s="214"/>
    </row>
    <row r="25" spans="1:6" ht="15" customHeight="1">
      <c r="A25" s="214"/>
      <c r="B25" s="214"/>
      <c r="C25" s="215"/>
      <c r="D25" s="215"/>
      <c r="E25" s="215"/>
      <c r="F25" s="214"/>
    </row>
    <row r="26" spans="1:6" ht="15" customHeight="1">
      <c r="A26" s="214"/>
      <c r="B26" s="214"/>
      <c r="C26" s="215"/>
      <c r="D26" s="215"/>
      <c r="E26" s="215"/>
      <c r="F26" s="214"/>
    </row>
    <row r="27" spans="1:6" ht="15.75">
      <c r="A27" s="133"/>
      <c r="B27" s="79" t="s">
        <v>38</v>
      </c>
      <c r="C27" s="98">
        <f>SUM(C10:C26)</f>
        <v>0</v>
      </c>
      <c r="D27" s="98">
        <f>SUM(D10:D26)</f>
        <v>0</v>
      </c>
      <c r="E27" s="98">
        <f>SUM(E10:E26)</f>
        <v>0</v>
      </c>
      <c r="F27" s="133"/>
    </row>
    <row r="28" spans="1:6" ht="15.75">
      <c r="A28" s="133"/>
      <c r="B28" s="79" t="s">
        <v>262</v>
      </c>
      <c r="C28" s="36"/>
      <c r="D28" s="214"/>
      <c r="E28" s="214"/>
      <c r="F28" s="133"/>
    </row>
    <row r="29" spans="1:6" ht="15.75">
      <c r="A29" s="133"/>
      <c r="B29" s="79" t="s">
        <v>263</v>
      </c>
      <c r="C29" s="237">
        <f>C27</f>
        <v>0</v>
      </c>
      <c r="D29" s="237">
        <f>SUM(D27-D28)</f>
        <v>0</v>
      </c>
      <c r="E29" s="237">
        <f>SUM(E27-E28)</f>
        <v>0</v>
      </c>
      <c r="F29" s="133"/>
    </row>
    <row r="30" spans="1:6" ht="15.75">
      <c r="A30" s="133"/>
      <c r="B30" s="36"/>
      <c r="C30" s="36"/>
      <c r="D30" s="36"/>
      <c r="E30" s="36"/>
      <c r="F30" s="133"/>
    </row>
    <row r="31" spans="1:6" ht="15.75">
      <c r="A31" s="133" t="s">
        <v>264</v>
      </c>
      <c r="B31" s="36"/>
      <c r="C31" s="36"/>
      <c r="D31" s="36"/>
      <c r="E31" s="36"/>
      <c r="F31" s="13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25">
      <selection activeCell="C11" sqref="C11"/>
    </sheetView>
  </sheetViews>
  <sheetFormatPr defaultColWidth="8.796875" defaultRowHeight="15.75"/>
  <cols>
    <col min="1" max="1" width="18.69921875" style="21" customWidth="1"/>
    <col min="2" max="2" width="8.796875" style="21" customWidth="1"/>
    <col min="3" max="3" width="7.8984375" style="21" customWidth="1"/>
    <col min="4" max="4" width="8.796875" style="21" customWidth="1"/>
    <col min="5" max="5" width="16.19921875" style="21" customWidth="1"/>
    <col min="6" max="16384" width="8.796875" style="21" customWidth="1"/>
  </cols>
  <sheetData>
    <row r="1" spans="1:11" ht="15.75">
      <c r="A1" s="68" t="str">
        <f>inputPrYr!$D$3</f>
        <v>Hackberry Township</v>
      </c>
      <c r="B1" s="69"/>
      <c r="C1" s="69"/>
      <c r="D1" s="69"/>
      <c r="E1" s="69"/>
      <c r="F1" s="69"/>
      <c r="G1" s="69"/>
      <c r="H1" s="69"/>
      <c r="I1" s="36"/>
      <c r="J1" s="36"/>
      <c r="K1" s="152">
        <f>inputPrYr!D9</f>
        <v>2013</v>
      </c>
    </row>
    <row r="2" spans="1:11" ht="15.75">
      <c r="A2" s="68" t="str">
        <f>inputPrYr!$D$4</f>
        <v>Labette</v>
      </c>
      <c r="B2" s="69"/>
      <c r="C2" s="69"/>
      <c r="D2" s="69"/>
      <c r="E2" s="69"/>
      <c r="F2" s="69"/>
      <c r="G2" s="69"/>
      <c r="H2" s="69"/>
      <c r="I2" s="36"/>
      <c r="J2" s="36"/>
      <c r="K2" s="56"/>
    </row>
    <row r="3" spans="1:11" ht="15.75">
      <c r="A3" s="70" t="s">
        <v>147</v>
      </c>
      <c r="B3" s="71"/>
      <c r="C3" s="71"/>
      <c r="D3" s="57"/>
      <c r="E3" s="71"/>
      <c r="F3" s="71"/>
      <c r="G3" s="71"/>
      <c r="H3" s="71"/>
      <c r="I3" s="71"/>
      <c r="J3" s="71"/>
      <c r="K3" s="71"/>
    </row>
    <row r="4" spans="1:11" ht="15.75">
      <c r="A4" s="69"/>
      <c r="B4" s="69"/>
      <c r="C4" s="69"/>
      <c r="D4" s="69"/>
      <c r="E4" s="69"/>
      <c r="F4" s="69"/>
      <c r="G4" s="69"/>
      <c r="H4" s="69"/>
      <c r="I4" s="69"/>
      <c r="J4" s="69"/>
      <c r="K4" s="69"/>
    </row>
    <row r="5" spans="1:11" ht="15.75">
      <c r="A5" s="36"/>
      <c r="B5" s="60" t="s">
        <v>122</v>
      </c>
      <c r="C5" s="60" t="s">
        <v>130</v>
      </c>
      <c r="D5" s="60"/>
      <c r="E5" s="60" t="s">
        <v>63</v>
      </c>
      <c r="F5" s="72"/>
      <c r="G5" s="73"/>
      <c r="H5" s="72" t="s">
        <v>123</v>
      </c>
      <c r="I5" s="73"/>
      <c r="J5" s="72" t="s">
        <v>123</v>
      </c>
      <c r="K5" s="73"/>
    </row>
    <row r="6" spans="1:11" ht="15.75">
      <c r="A6" s="36"/>
      <c r="B6" s="74" t="s">
        <v>124</v>
      </c>
      <c r="C6" s="74" t="s">
        <v>62</v>
      </c>
      <c r="D6" s="74" t="s">
        <v>63</v>
      </c>
      <c r="E6" s="74" t="s">
        <v>198</v>
      </c>
      <c r="F6" s="75" t="s">
        <v>125</v>
      </c>
      <c r="G6" s="76"/>
      <c r="H6" s="75">
        <f>K1-1</f>
        <v>2012</v>
      </c>
      <c r="I6" s="76"/>
      <c r="J6" s="75">
        <f>K1</f>
        <v>2013</v>
      </c>
      <c r="K6" s="76"/>
    </row>
    <row r="7" spans="1:11" ht="15.75">
      <c r="A7" s="77" t="s">
        <v>126</v>
      </c>
      <c r="B7" s="62" t="s">
        <v>127</v>
      </c>
      <c r="C7" s="62" t="s">
        <v>92</v>
      </c>
      <c r="D7" s="62" t="s">
        <v>128</v>
      </c>
      <c r="E7" s="78" t="str">
        <f>CONCATENATE("Jan 1,",K1-1,"")</f>
        <v>Jan 1,2012</v>
      </c>
      <c r="F7" s="79" t="s">
        <v>130</v>
      </c>
      <c r="G7" s="79" t="s">
        <v>131</v>
      </c>
      <c r="H7" s="79" t="s">
        <v>130</v>
      </c>
      <c r="I7" s="79" t="s">
        <v>131</v>
      </c>
      <c r="J7" s="79" t="s">
        <v>130</v>
      </c>
      <c r="K7" s="79" t="s">
        <v>131</v>
      </c>
    </row>
    <row r="8" spans="1:11" ht="15.75">
      <c r="A8" s="153" t="s">
        <v>117</v>
      </c>
      <c r="B8" s="227"/>
      <c r="C8" s="153"/>
      <c r="D8" s="153"/>
      <c r="E8" s="153"/>
      <c r="F8" s="228"/>
      <c r="G8" s="228"/>
      <c r="H8" s="153"/>
      <c r="I8" s="153"/>
      <c r="J8" s="153"/>
      <c r="K8" s="153"/>
    </row>
    <row r="9" spans="1:11" ht="15.75">
      <c r="A9" s="11"/>
      <c r="B9" s="138"/>
      <c r="C9" s="22"/>
      <c r="D9" s="19"/>
      <c r="E9" s="8"/>
      <c r="F9" s="139"/>
      <c r="G9" s="139"/>
      <c r="H9" s="8"/>
      <c r="I9" s="8"/>
      <c r="J9" s="8"/>
      <c r="K9" s="8"/>
    </row>
    <row r="10" spans="1:11" ht="15.75">
      <c r="A10" s="11"/>
      <c r="B10" s="138"/>
      <c r="C10" s="22"/>
      <c r="D10" s="19"/>
      <c r="E10" s="8"/>
      <c r="F10" s="139"/>
      <c r="G10" s="139"/>
      <c r="H10" s="8"/>
      <c r="I10" s="8"/>
      <c r="J10" s="8"/>
      <c r="K10" s="8"/>
    </row>
    <row r="11" spans="1:11" ht="15.75">
      <c r="A11" s="97" t="s">
        <v>237</v>
      </c>
      <c r="B11" s="229"/>
      <c r="C11" s="230"/>
      <c r="D11" s="98"/>
      <c r="E11" s="239">
        <f>SUM(E9:E10)</f>
        <v>0</v>
      </c>
      <c r="F11" s="249"/>
      <c r="G11" s="249"/>
      <c r="H11" s="239">
        <f>SUM(H9:H10)</f>
        <v>0</v>
      </c>
      <c r="I11" s="239">
        <f>SUM(I9:I10)</f>
        <v>0</v>
      </c>
      <c r="J11" s="239">
        <f>SUM(J9:J10)</f>
        <v>0</v>
      </c>
      <c r="K11" s="239">
        <f>SUM(K9:K10)</f>
        <v>0</v>
      </c>
    </row>
    <row r="12" spans="1:11" ht="15.75">
      <c r="A12" s="97" t="s">
        <v>81</v>
      </c>
      <c r="B12" s="229"/>
      <c r="C12" s="230"/>
      <c r="D12" s="98"/>
      <c r="E12" s="34"/>
      <c r="F12" s="231"/>
      <c r="G12" s="231"/>
      <c r="H12" s="34"/>
      <c r="I12" s="34"/>
      <c r="J12" s="34"/>
      <c r="K12" s="34"/>
    </row>
    <row r="13" spans="1:11" ht="15.75">
      <c r="A13" s="11"/>
      <c r="B13" s="138"/>
      <c r="C13" s="22"/>
      <c r="D13" s="19"/>
      <c r="E13" s="8"/>
      <c r="F13" s="139"/>
      <c r="G13" s="139"/>
      <c r="H13" s="8"/>
      <c r="I13" s="8"/>
      <c r="J13" s="8"/>
      <c r="K13" s="8"/>
    </row>
    <row r="14" spans="1:11" ht="15.75">
      <c r="A14" s="11"/>
      <c r="B14" s="138"/>
      <c r="C14" s="22"/>
      <c r="D14" s="19"/>
      <c r="E14" s="8"/>
      <c r="F14" s="139"/>
      <c r="G14" s="139"/>
      <c r="H14" s="8"/>
      <c r="I14" s="8"/>
      <c r="J14" s="8"/>
      <c r="K14" s="8"/>
    </row>
    <row r="15" spans="1:11" ht="15.75">
      <c r="A15" s="97" t="s">
        <v>238</v>
      </c>
      <c r="B15" s="229"/>
      <c r="C15" s="230"/>
      <c r="D15" s="98"/>
      <c r="E15" s="239">
        <f>SUM(E13:E14)</f>
        <v>0</v>
      </c>
      <c r="F15" s="231"/>
      <c r="G15" s="231"/>
      <c r="H15" s="239">
        <f>SUM(H13:H14)</f>
        <v>0</v>
      </c>
      <c r="I15" s="239">
        <f>SUM(I13:I14)</f>
        <v>0</v>
      </c>
      <c r="J15" s="239">
        <f>SUM(J13:J14)</f>
        <v>0</v>
      </c>
      <c r="K15" s="239">
        <f>SUM(K13:K14)</f>
        <v>0</v>
      </c>
    </row>
    <row r="16" spans="1:11" ht="15.75">
      <c r="A16" s="84" t="s">
        <v>149</v>
      </c>
      <c r="B16" s="85"/>
      <c r="C16" s="86"/>
      <c r="D16" s="87"/>
      <c r="E16" s="238">
        <f>SUM(E11+E15)</f>
        <v>0</v>
      </c>
      <c r="F16" s="85"/>
      <c r="G16" s="88"/>
      <c r="H16" s="238">
        <f>SUM(H11+H15)</f>
        <v>0</v>
      </c>
      <c r="I16" s="238">
        <f>SUM(I11+I15)</f>
        <v>0</v>
      </c>
      <c r="J16" s="238">
        <f>SUM(J11+J15)</f>
        <v>0</v>
      </c>
      <c r="K16" s="238">
        <f>SUM(K11+K15)</f>
        <v>0</v>
      </c>
    </row>
    <row r="17" spans="1:24" ht="15.75">
      <c r="A17" s="36"/>
      <c r="B17" s="36"/>
      <c r="C17" s="52"/>
      <c r="D17" s="52"/>
      <c r="E17" s="52"/>
      <c r="F17" s="52"/>
      <c r="G17" s="52"/>
      <c r="H17" s="52"/>
      <c r="I17" s="52"/>
      <c r="J17" s="52"/>
      <c r="K17" s="52"/>
      <c r="L17" s="1"/>
      <c r="M17" s="1"/>
      <c r="N17" s="1"/>
      <c r="O17" s="1"/>
      <c r="P17" s="1"/>
      <c r="Q17" s="1"/>
      <c r="R17" s="1"/>
      <c r="S17" s="1"/>
      <c r="T17" s="1"/>
      <c r="U17" s="1"/>
      <c r="V17" s="1"/>
      <c r="W17" s="1"/>
      <c r="X17" s="1"/>
    </row>
    <row r="18" spans="1:11" s="23" customFormat="1" ht="15.75">
      <c r="A18" s="70" t="s">
        <v>146</v>
      </c>
      <c r="B18" s="80"/>
      <c r="C18" s="80"/>
      <c r="D18" s="80"/>
      <c r="E18" s="57"/>
      <c r="F18" s="80"/>
      <c r="G18" s="80"/>
      <c r="H18" s="80"/>
      <c r="I18" s="80"/>
      <c r="J18" s="80"/>
      <c r="K18" s="81"/>
    </row>
    <row r="19" spans="1:11" s="23" customFormat="1" ht="15.75">
      <c r="A19" s="52"/>
      <c r="B19" s="89"/>
      <c r="C19" s="89"/>
      <c r="D19" s="89"/>
      <c r="E19" s="89"/>
      <c r="F19" s="89"/>
      <c r="G19" s="89"/>
      <c r="H19" s="89"/>
      <c r="I19" s="82"/>
      <c r="J19" s="82"/>
      <c r="K19" s="81"/>
    </row>
    <row r="20" spans="1:11" s="23" customFormat="1" ht="15.75">
      <c r="A20" s="90"/>
      <c r="B20" s="90"/>
      <c r="C20" s="60" t="s">
        <v>129</v>
      </c>
      <c r="D20" s="90"/>
      <c r="E20" s="60" t="s">
        <v>38</v>
      </c>
      <c r="F20" s="90"/>
      <c r="G20" s="90"/>
      <c r="H20" s="90"/>
      <c r="I20" s="91"/>
      <c r="J20" s="83"/>
      <c r="K20" s="81"/>
    </row>
    <row r="21" spans="1:11" s="23" customFormat="1" ht="15.75">
      <c r="A21" s="92"/>
      <c r="B21" s="74"/>
      <c r="C21" s="74" t="s">
        <v>124</v>
      </c>
      <c r="D21" s="74" t="s">
        <v>130</v>
      </c>
      <c r="E21" s="74" t="s">
        <v>63</v>
      </c>
      <c r="F21" s="74" t="s">
        <v>131</v>
      </c>
      <c r="G21" s="74" t="s">
        <v>132</v>
      </c>
      <c r="H21" s="74" t="s">
        <v>132</v>
      </c>
      <c r="I21" s="81"/>
      <c r="J21" s="81"/>
      <c r="K21" s="81"/>
    </row>
    <row r="22" spans="1:11" s="23" customFormat="1" ht="15.75">
      <c r="A22" s="92"/>
      <c r="B22" s="74" t="s">
        <v>133</v>
      </c>
      <c r="C22" s="74" t="s">
        <v>134</v>
      </c>
      <c r="D22" s="74" t="s">
        <v>62</v>
      </c>
      <c r="E22" s="74" t="s">
        <v>135</v>
      </c>
      <c r="F22" s="74" t="s">
        <v>180</v>
      </c>
      <c r="G22" s="74" t="s">
        <v>136</v>
      </c>
      <c r="H22" s="74" t="s">
        <v>136</v>
      </c>
      <c r="I22" s="81"/>
      <c r="J22" s="81"/>
      <c r="K22" s="81"/>
    </row>
    <row r="23" spans="1:11" s="23" customFormat="1" ht="15.75">
      <c r="A23" s="93" t="s">
        <v>137</v>
      </c>
      <c r="B23" s="62" t="s">
        <v>122</v>
      </c>
      <c r="C23" s="137" t="s">
        <v>138</v>
      </c>
      <c r="D23" s="62" t="s">
        <v>92</v>
      </c>
      <c r="E23" s="137" t="s">
        <v>199</v>
      </c>
      <c r="F23" s="78" t="str">
        <f>CONCATENATE("Jan 1,",K1-1,"")</f>
        <v>Jan 1,2012</v>
      </c>
      <c r="G23" s="62">
        <f>K1-1</f>
        <v>2012</v>
      </c>
      <c r="H23" s="62">
        <f>K1</f>
        <v>2013</v>
      </c>
      <c r="I23" s="81"/>
      <c r="J23" s="81"/>
      <c r="K23" s="81"/>
    </row>
    <row r="24" spans="1:11" s="23" customFormat="1" ht="15.75">
      <c r="A24" s="11"/>
      <c r="B24" s="138"/>
      <c r="C24" s="24"/>
      <c r="D24" s="22"/>
      <c r="E24" s="19"/>
      <c r="F24" s="19"/>
      <c r="G24" s="19"/>
      <c r="H24" s="19"/>
      <c r="I24" s="81"/>
      <c r="J24" s="81"/>
      <c r="K24" s="81"/>
    </row>
    <row r="25" spans="1:11" s="23" customFormat="1" ht="15.75">
      <c r="A25" s="11"/>
      <c r="B25" s="138"/>
      <c r="C25" s="24"/>
      <c r="D25" s="22"/>
      <c r="E25" s="19"/>
      <c r="F25" s="19"/>
      <c r="G25" s="19"/>
      <c r="H25" s="19"/>
      <c r="I25" s="81"/>
      <c r="J25" s="81"/>
      <c r="K25" s="81"/>
    </row>
    <row r="26" spans="1:11" s="23" customFormat="1" ht="15.75">
      <c r="A26" s="11"/>
      <c r="B26" s="138"/>
      <c r="C26" s="24"/>
      <c r="D26" s="22"/>
      <c r="E26" s="19"/>
      <c r="F26" s="19"/>
      <c r="G26" s="19"/>
      <c r="H26" s="19"/>
      <c r="I26" s="81"/>
      <c r="J26" s="81"/>
      <c r="K26" s="81"/>
    </row>
    <row r="27" spans="1:11" s="23" customFormat="1" ht="15.75">
      <c r="A27" s="11"/>
      <c r="B27" s="138"/>
      <c r="C27" s="24"/>
      <c r="D27" s="22"/>
      <c r="E27" s="19"/>
      <c r="F27" s="19"/>
      <c r="G27" s="19"/>
      <c r="H27" s="19"/>
      <c r="I27" s="81"/>
      <c r="J27" s="81"/>
      <c r="K27" s="81"/>
    </row>
    <row r="28" spans="1:11" s="23" customFormat="1" ht="15.75">
      <c r="A28" s="11"/>
      <c r="B28" s="138"/>
      <c r="C28" s="24"/>
      <c r="D28" s="22"/>
      <c r="E28" s="19"/>
      <c r="F28" s="19"/>
      <c r="G28" s="19"/>
      <c r="H28" s="19"/>
      <c r="I28" s="81"/>
      <c r="J28" s="81"/>
      <c r="K28" s="81"/>
    </row>
    <row r="29" spans="1:11" s="23" customFormat="1" ht="15.75">
      <c r="A29" s="11"/>
      <c r="B29" s="138"/>
      <c r="C29" s="24"/>
      <c r="D29" s="22"/>
      <c r="E29" s="19"/>
      <c r="F29" s="19"/>
      <c r="G29" s="19"/>
      <c r="H29" s="19"/>
      <c r="I29" s="81"/>
      <c r="J29" s="81"/>
      <c r="K29" s="81"/>
    </row>
    <row r="30" spans="1:11" s="23" customFormat="1" ht="15.75">
      <c r="A30" s="11"/>
      <c r="B30" s="138"/>
      <c r="C30" s="24"/>
      <c r="D30" s="22"/>
      <c r="E30" s="19"/>
      <c r="F30" s="19"/>
      <c r="G30" s="19"/>
      <c r="H30" s="19"/>
      <c r="I30" s="81"/>
      <c r="J30" s="81"/>
      <c r="K30" s="81"/>
    </row>
    <row r="31" spans="1:11" s="23" customFormat="1" ht="15.75">
      <c r="A31" s="11"/>
      <c r="B31" s="138"/>
      <c r="C31" s="24"/>
      <c r="D31" s="22"/>
      <c r="E31" s="19"/>
      <c r="F31" s="19"/>
      <c r="G31" s="19"/>
      <c r="H31" s="19"/>
      <c r="I31" s="81"/>
      <c r="J31" s="81"/>
      <c r="K31" s="81"/>
    </row>
    <row r="32" spans="1:11" s="23" customFormat="1" ht="15.75">
      <c r="A32" s="11"/>
      <c r="B32" s="138"/>
      <c r="C32" s="24"/>
      <c r="D32" s="22"/>
      <c r="E32" s="19"/>
      <c r="F32" s="19"/>
      <c r="G32" s="19"/>
      <c r="H32" s="19"/>
      <c r="I32" s="81"/>
      <c r="J32" s="81"/>
      <c r="K32" s="81"/>
    </row>
    <row r="33" spans="1:11" s="23" customFormat="1" ht="15.75">
      <c r="A33" s="11"/>
      <c r="B33" s="138"/>
      <c r="C33" s="24"/>
      <c r="D33" s="22"/>
      <c r="E33" s="19"/>
      <c r="F33" s="19"/>
      <c r="G33" s="19"/>
      <c r="H33" s="19"/>
      <c r="I33" s="81"/>
      <c r="J33" s="81"/>
      <c r="K33" s="81"/>
    </row>
    <row r="34" spans="1:11" s="23" customFormat="1" ht="15.75">
      <c r="A34" s="11"/>
      <c r="B34" s="138"/>
      <c r="C34" s="24"/>
      <c r="D34" s="22"/>
      <c r="E34" s="19"/>
      <c r="F34" s="19"/>
      <c r="G34" s="19"/>
      <c r="H34" s="19"/>
      <c r="I34" s="81"/>
      <c r="J34" s="81"/>
      <c r="K34" s="81"/>
    </row>
    <row r="35" spans="1:11" s="23" customFormat="1" ht="15.75">
      <c r="A35" s="11"/>
      <c r="B35" s="138"/>
      <c r="C35" s="24"/>
      <c r="D35" s="22"/>
      <c r="E35" s="19"/>
      <c r="F35" s="19"/>
      <c r="G35" s="19"/>
      <c r="H35" s="19"/>
      <c r="I35" s="81"/>
      <c r="J35" s="81"/>
      <c r="K35" s="81"/>
    </row>
    <row r="36" spans="1:11" ht="15.75">
      <c r="A36" s="84" t="s">
        <v>149</v>
      </c>
      <c r="B36" s="85"/>
      <c r="C36" s="86"/>
      <c r="D36" s="95"/>
      <c r="E36" s="88"/>
      <c r="F36" s="238">
        <f>SUM(F24:F35)</f>
        <v>0</v>
      </c>
      <c r="G36" s="238">
        <f>SUM(G24:G35)</f>
        <v>0</v>
      </c>
      <c r="H36" s="238">
        <f>SUM(H24:H35)</f>
        <v>0</v>
      </c>
      <c r="I36" s="69"/>
      <c r="J36" s="69"/>
      <c r="K36" s="94"/>
    </row>
    <row r="37" spans="1:11" ht="15.75">
      <c r="A37" s="69"/>
      <c r="B37" s="69"/>
      <c r="C37" s="69"/>
      <c r="D37" s="69"/>
      <c r="E37" s="69"/>
      <c r="F37" s="69"/>
      <c r="G37" s="69"/>
      <c r="H37" s="69"/>
      <c r="I37" s="69"/>
      <c r="J37" s="69"/>
      <c r="K37" s="69"/>
    </row>
    <row r="38" spans="1:11" ht="15.75">
      <c r="A38" s="336" t="s">
        <v>363</v>
      </c>
      <c r="B38" s="336"/>
      <c r="C38" s="336"/>
      <c r="D38" s="336"/>
      <c r="E38" s="336"/>
      <c r="F38" s="336"/>
      <c r="G38" s="336"/>
      <c r="H38" s="69"/>
      <c r="I38" s="69"/>
      <c r="J38" s="69"/>
      <c r="K38" s="69"/>
    </row>
    <row r="39" ht="15.75">
      <c r="A39" s="30"/>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2012-10-17T18:58:42Z</cp:lastPrinted>
  <dcterms:created xsi:type="dcterms:W3CDTF">1998-08-26T16:30:41Z</dcterms:created>
  <dcterms:modified xsi:type="dcterms:W3CDTF">2012-10-17T18:58:50Z</dcterms:modified>
  <cp:category/>
  <cp:version/>
  <cp:contentType/>
  <cp:contentStatus/>
</cp:coreProperties>
</file>