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7"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Not Used" sheetId="13" r:id="rId13"/>
    <sheet name="road" sheetId="14" r:id="rId14"/>
    <sheet name="Noxious" sheetId="15" r:id="rId15"/>
    <sheet name="Cemetery" sheetId="16" r:id="rId16"/>
    <sheet name="Neal Lights" sheetId="17" r:id="rId17"/>
    <sheet name="summ" sheetId="18" r:id="rId18"/>
    <sheet name="No Use" sheetId="19" r:id="rId19"/>
    <sheet name="nolevypage13" sheetId="20" r:id="rId20"/>
    <sheet name="nolevypage14"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5">'Cemetery'!$A$1:$E$90</definedName>
    <definedName name="_xlnm.Print_Area" localSheetId="11">'gen'!$B$1:$E$61</definedName>
    <definedName name="_xlnm.Print_Area" localSheetId="1">'inputPrYr'!$A$1:$E$93</definedName>
    <definedName name="_xlnm.Print_Area" localSheetId="10">'Library Grant'!$A$1:$J$40</definedName>
    <definedName name="_xlnm.Print_Area" localSheetId="16">'Neal Lights'!$A$1:$E$90</definedName>
    <definedName name="_xlnm.Print_Area" localSheetId="18">'No Use'!$A$1:$E$90</definedName>
    <definedName name="_xlnm.Print_Area" localSheetId="12">'Not Used'!$B$1:$E$83</definedName>
    <definedName name="_xlnm.Print_Area" localSheetId="14">'Noxious'!$A$1:$E$90</definedName>
    <definedName name="_xlnm.Print_Area" localSheetId="13">'road'!$B$1:$E$67</definedName>
    <definedName name="_xlnm.Print_Area" localSheetId="17">'summ'!$A$2:$H$54</definedName>
  </definedNames>
  <calcPr fullCalcOnLoad="1"/>
</workbook>
</file>

<file path=xl/sharedStrings.xml><?xml version="1.0" encoding="utf-8"?>
<sst xmlns="http://schemas.openxmlformats.org/spreadsheetml/2006/main" count="1708" uniqueCount="975">
  <si>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</si>
  <si>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</si>
  <si>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</si>
  <si>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</si>
  <si>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</si>
  <si>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</si>
  <si>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</si>
  <si>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</si>
  <si>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</si>
  <si>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</si>
  <si>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</si>
  <si>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</si>
  <si>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</si>
  <si>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</si>
  <si>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</si>
  <si>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</si>
  <si>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</si>
  <si>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</si>
  <si>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</si>
  <si>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</si>
  <si>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</si>
  <si>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</si>
  <si>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</si>
  <si>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</si>
  <si>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</si>
  <si>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</si>
  <si>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</si>
  <si>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</si>
  <si>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</si>
  <si>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</si>
  <si>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</si>
  <si>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</si>
  <si>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</si>
  <si>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</si>
  <si>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</si>
  <si>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</si>
  <si>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</si>
  <si>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</si>
  <si>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</si>
  <si>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</si>
  <si>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</si>
  <si>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</si>
  <si>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</si>
  <si>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</si>
  <si>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</si>
  <si>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</si>
  <si>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</si>
  <si>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</si>
  <si>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</si>
  <si>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</si>
  <si>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</si>
  <si>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</si>
  <si>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</si>
  <si>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</si>
  <si>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</si>
  <si>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</si>
  <si>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</si>
  <si>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</si>
  <si>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</si>
  <si>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</si>
  <si>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</si>
  <si>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</si>
  <si>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</si>
  <si>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</si>
  <si>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</si>
  <si>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</si>
  <si>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</si>
  <si>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</si>
  <si>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</si>
  <si>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</si>
  <si>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</si>
  <si>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</si>
  <si>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</si>
  <si>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</si>
  <si>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</si>
  <si>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</si>
  <si>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</si>
  <si>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</si>
  <si>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</si>
  <si>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</si>
  <si>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</si>
  <si>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</si>
  <si>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</si>
  <si>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</si>
  <si>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</si>
  <si>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</si>
  <si>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</si>
  <si>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</si>
  <si>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</si>
  <si>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</si>
  <si>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</si>
  <si>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</si>
  <si>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</si>
  <si>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</si>
  <si>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</si>
  <si>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</si>
  <si>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</si>
  <si>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</si>
  <si>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</si>
  <si>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</si>
  <si>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</si>
  <si>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</si>
  <si>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</si>
  <si>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</si>
  <si>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</si>
  <si>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</si>
  <si>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</si>
  <si>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</si>
  <si>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</si>
  <si>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</si>
  <si>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</si>
  <si>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</si>
  <si>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</si>
  <si>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</si>
  <si>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</si>
  <si>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</si>
  <si>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</si>
  <si>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</si>
  <si>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</si>
  <si>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</si>
  <si>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</si>
  <si>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</si>
  <si>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</si>
  <si>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</si>
  <si>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</si>
  <si>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</si>
  <si>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</si>
  <si>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</si>
  <si>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</si>
  <si>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</si>
  <si>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</si>
  <si>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</si>
  <si>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</si>
  <si>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</si>
  <si>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</si>
  <si>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</si>
  <si>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</si>
  <si>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</si>
  <si>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</si>
  <si>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</si>
  <si>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</si>
  <si>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</si>
  <si>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</si>
  <si>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</si>
  <si>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</si>
  <si>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</si>
  <si>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</si>
  <si>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</si>
  <si>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</si>
  <si>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</si>
  <si>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</si>
  <si>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</si>
  <si>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</si>
  <si>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</si>
  <si>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</si>
  <si>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</si>
  <si>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</si>
  <si>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</si>
  <si>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</si>
  <si>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</si>
  <si>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</si>
  <si>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</si>
  <si>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</si>
  <si>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</si>
  <si>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</si>
  <si>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</si>
  <si>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</si>
  <si>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</si>
  <si>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</si>
  <si>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</si>
  <si>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</si>
  <si>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</si>
  <si>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</si>
  <si>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</si>
  <si>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</si>
  <si>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</si>
  <si>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</si>
  <si>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</si>
  <si>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</si>
  <si>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</si>
  <si>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</si>
  <si>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</si>
  <si>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</si>
  <si>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</si>
  <si>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</si>
  <si>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</si>
  <si>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</si>
  <si>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</si>
  <si>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</si>
  <si>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</si>
  <si>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</si>
  <si>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</si>
  <si>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</si>
  <si>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</si>
  <si>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</si>
  <si>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</si>
  <si>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</si>
  <si>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</si>
  <si>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</si>
  <si>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</si>
  <si>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</si>
  <si>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</si>
  <si>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</si>
  <si>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</si>
  <si>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</si>
  <si>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</si>
  <si>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</si>
  <si>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</si>
  <si>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</si>
  <si>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</si>
  <si>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</si>
  <si>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</si>
  <si>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</si>
  <si>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</si>
  <si>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</si>
  <si>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</si>
  <si>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</si>
  <si>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</si>
  <si>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</si>
  <si>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</si>
  <si>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</si>
  <si>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</si>
  <si>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</si>
  <si>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</si>
  <si>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</si>
  <si>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</si>
  <si>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</si>
  <si>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</si>
  <si>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</si>
  <si>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</si>
  <si>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</si>
  <si>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</si>
  <si>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</si>
  <si>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</si>
  <si>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</si>
  <si>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</si>
  <si>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</si>
  <si>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</si>
  <si>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</si>
  <si>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</si>
  <si>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</si>
  <si>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</si>
  <si>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</si>
  <si>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</si>
  <si>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</si>
  <si>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</si>
  <si>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</si>
  <si>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</si>
  <si>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</si>
  <si>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</si>
  <si>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</si>
  <si>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</si>
  <si>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</si>
  <si>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</si>
  <si>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</si>
  <si>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</si>
  <si>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</si>
  <si>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</si>
  <si>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</si>
  <si>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</si>
  <si>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</si>
  <si>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</si>
  <si>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</si>
  <si>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</si>
  <si>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</si>
  <si>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</si>
  <si>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</si>
  <si>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</si>
  <si>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</si>
  <si>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</si>
  <si>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</si>
  <si>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</si>
  <si>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</si>
  <si>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</si>
  <si>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</si>
  <si>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</si>
  <si>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</si>
  <si>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</si>
  <si>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</si>
  <si>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</si>
  <si>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</si>
  <si>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</si>
  <si>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</si>
  <si>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</si>
  <si>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</si>
  <si>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</si>
  <si>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</si>
  <si>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</si>
  <si>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</si>
  <si>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</si>
  <si>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</si>
  <si>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</si>
  <si>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</si>
  <si>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</si>
  <si>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</si>
  <si>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</si>
  <si>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</si>
  <si>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</si>
  <si>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</si>
  <si>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</si>
  <si>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</si>
  <si>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</si>
  <si>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</si>
  <si>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</si>
  <si>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</si>
  <si>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</si>
  <si>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</si>
  <si>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</si>
  <si>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</si>
  <si>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</si>
  <si>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</si>
  <si>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</si>
  <si>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</si>
  <si>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</si>
  <si>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</si>
  <si>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</si>
  <si>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</si>
  <si>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</si>
  <si>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</si>
  <si>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</si>
  <si>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</si>
  <si>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</si>
  <si>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</si>
  <si>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</si>
  <si>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</si>
  <si>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</si>
  <si>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</si>
  <si>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</si>
  <si>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</si>
  <si>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</si>
  <si>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</si>
  <si>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</si>
  <si>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</si>
  <si>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</si>
  <si>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</si>
  <si>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</si>
  <si>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</si>
  <si>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</si>
  <si>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</si>
  <si>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</si>
  <si>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</si>
  <si>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</si>
  <si>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</si>
  <si>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</si>
  <si>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</si>
  <si>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</si>
  <si>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</si>
  <si>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</si>
  <si>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</si>
  <si>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</si>
  <si>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</si>
  <si>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</si>
  <si>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</si>
  <si>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</si>
  <si>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</si>
  <si>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</si>
  <si>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</si>
  <si>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</si>
  <si>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</si>
  <si>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</si>
  <si>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</si>
  <si>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</si>
  <si>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</si>
  <si>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</si>
  <si>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</si>
  <si>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</si>
  <si>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</si>
  <si>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</si>
  <si>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</si>
  <si>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</si>
  <si>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</si>
  <si>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</si>
  <si>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</si>
  <si>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</si>
  <si>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</si>
  <si>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</si>
  <si>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</si>
  <si>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</si>
  <si>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</si>
  <si>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</si>
  <si>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</si>
  <si>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</si>
  <si>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</si>
  <si>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</si>
  <si>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</si>
  <si>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</si>
  <si>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</si>
  <si>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</si>
  <si>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</si>
  <si>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</si>
  <si>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</si>
  <si>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</si>
  <si>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</si>
  <si>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</si>
  <si>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</si>
  <si>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</si>
  <si>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</si>
  <si>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</si>
  <si>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</si>
  <si>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</si>
  <si>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</si>
  <si>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</si>
  <si>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</si>
  <si>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</si>
  <si>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</si>
  <si>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</si>
  <si>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</si>
  <si>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</si>
  <si>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</si>
  <si>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</si>
  <si>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</si>
  <si>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</si>
  <si>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</si>
  <si>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</si>
  <si>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</si>
  <si>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</si>
  <si>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</si>
  <si>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</si>
  <si>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</si>
  <si>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</si>
  <si>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</si>
  <si>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</si>
  <si>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</si>
  <si>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</si>
  <si>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</si>
  <si>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</si>
  <si>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</si>
  <si>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</si>
  <si>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</si>
  <si>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</si>
  <si>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</si>
  <si>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</si>
  <si>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</si>
  <si>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</si>
  <si>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</si>
  <si>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</si>
  <si>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</si>
  <si>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</si>
  <si>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</si>
  <si>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</si>
  <si>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</si>
  <si>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</si>
  <si>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</si>
  <si>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</si>
  <si>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</si>
  <si>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</si>
  <si>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</si>
  <si>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</si>
  <si>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</si>
  <si>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</si>
  <si>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</si>
  <si>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</si>
  <si>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</si>
  <si>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</si>
  <si>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</si>
  <si>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</si>
  <si>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</si>
  <si>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</si>
  <si>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</si>
  <si>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</si>
  <si>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</si>
  <si>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</si>
  <si>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</si>
  <si>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</si>
  <si>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</si>
  <si>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</si>
  <si>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</si>
  <si>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</si>
  <si>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</si>
  <si>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</si>
  <si>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</si>
  <si>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</si>
  <si>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</si>
  <si>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</si>
  <si>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</si>
  <si>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</si>
  <si>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</si>
  <si>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</si>
  <si>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</si>
  <si>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</si>
  <si>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</si>
  <si>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</si>
  <si>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</si>
  <si>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</si>
  <si>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</si>
  <si>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</si>
  <si>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</si>
  <si>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</si>
  <si>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</si>
  <si>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</si>
  <si>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</si>
  <si>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</si>
  <si>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</si>
  <si>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</si>
  <si>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</si>
  <si>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</si>
  <si>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</si>
  <si>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</si>
  <si>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</si>
  <si>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</si>
  <si>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</si>
  <si>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</si>
  <si>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</si>
  <si>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</si>
  <si>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</si>
  <si>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</si>
  <si>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</si>
  <si>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</si>
  <si>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</si>
  <si>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</si>
  <si>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</si>
  <si>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</si>
  <si>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</si>
  <si>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</si>
  <si>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</si>
  <si>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</si>
  <si>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</si>
  <si>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</si>
  <si>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</si>
  <si>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</si>
  <si>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</si>
  <si>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</si>
  <si>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</si>
  <si>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</si>
  <si>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</si>
  <si>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</si>
  <si>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</si>
  <si>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</si>
  <si>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</si>
  <si>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</si>
  <si>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</si>
  <si>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</si>
  <si>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</si>
  <si>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</si>
  <si>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</si>
  <si>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</si>
  <si>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</si>
  <si>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</si>
  <si>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</si>
  <si>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</si>
  <si>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</si>
  <si>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</si>
  <si>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</si>
  <si>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</si>
  <si>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</si>
  <si>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</si>
  <si>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</si>
  <si>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</si>
  <si>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</si>
  <si>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</si>
  <si>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</si>
  <si>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</si>
  <si>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</si>
  <si>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</si>
  <si>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</si>
  <si>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</si>
  <si>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</si>
  <si>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</si>
  <si>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</si>
  <si>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</si>
  <si>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</si>
  <si>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</si>
  <si>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</si>
  <si>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</si>
  <si>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</si>
  <si>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</si>
  <si>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</si>
  <si>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</si>
  <si>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</si>
  <si>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</si>
  <si>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</si>
  <si>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</si>
  <si>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</si>
  <si>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</si>
  <si>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</si>
  <si>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</si>
  <si>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</si>
  <si>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</si>
  <si>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</si>
  <si>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</si>
  <si>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</si>
  <si>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</si>
  <si>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</si>
  <si>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</si>
  <si>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</si>
  <si>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</si>
  <si>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</si>
  <si>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</si>
  <si>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</si>
  <si>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</si>
  <si>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</si>
  <si>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</si>
  <si>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</si>
  <si>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</si>
  <si>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</si>
  <si>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</si>
  <si>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</si>
  <si>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</si>
  <si>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</si>
  <si>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</si>
  <si>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</si>
  <si>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</si>
  <si>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</si>
  <si>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</si>
  <si>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</si>
  <si>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</si>
  <si>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</si>
  <si>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</si>
  <si>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</si>
  <si>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</si>
  <si>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</si>
  <si>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</si>
  <si>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</si>
  <si>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</si>
  <si>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</si>
  <si>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</si>
  <si>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</si>
  <si>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</si>
  <si>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</si>
  <si>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</si>
  <si>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</si>
  <si>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</si>
  <si>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</si>
  <si>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</si>
  <si>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</si>
  <si>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</si>
  <si>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</si>
  <si>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</si>
  <si>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</si>
  <si>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</si>
  <si>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</si>
  <si>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</si>
  <si>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</si>
  <si>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</si>
  <si>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</si>
  <si>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</si>
  <si>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</si>
  <si>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</si>
  <si>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</si>
  <si>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</si>
  <si>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</si>
  <si>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</si>
  <si>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</si>
  <si>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</si>
  <si>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</si>
  <si>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</si>
  <si>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</si>
  <si>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</si>
  <si>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</si>
  <si>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</si>
  <si>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</si>
  <si>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</si>
  <si>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</si>
  <si>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</si>
  <si>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</si>
  <si>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</si>
  <si>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</si>
  <si>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</si>
  <si>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</si>
  <si>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</si>
  <si>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</si>
  <si>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</si>
  <si>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</si>
  <si>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</si>
  <si>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</si>
  <si>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</si>
  <si>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</si>
  <si>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</si>
  <si>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</si>
  <si>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</si>
  <si>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</si>
  <si>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</si>
  <si>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</si>
  <si>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</si>
  <si>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</si>
  <si>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</si>
  <si>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</si>
  <si>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</si>
  <si>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</si>
  <si>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</si>
  <si>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</si>
  <si>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</si>
  <si>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</si>
  <si>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</si>
  <si>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</si>
  <si>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</si>
  <si>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</si>
  <si>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</si>
  <si>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</si>
  <si>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</si>
  <si>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</si>
  <si>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</si>
  <si>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</si>
  <si>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</si>
  <si>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</si>
  <si>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</si>
  <si>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</si>
  <si>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</si>
  <si>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</si>
  <si>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</si>
  <si>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</si>
  <si>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</si>
  <si>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</si>
  <si>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</si>
  <si>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</si>
  <si>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</si>
  <si>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</si>
  <si>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</si>
  <si>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</si>
  <si>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</si>
  <si>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</si>
  <si>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</si>
  <si>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</si>
  <si>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</si>
  <si>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</si>
  <si>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</si>
  <si>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</si>
  <si>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</si>
  <si>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</si>
  <si>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</si>
  <si>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</si>
  <si>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</si>
  <si>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</si>
  <si>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</si>
  <si>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</si>
  <si>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</si>
  <si>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</si>
  <si>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</si>
  <si>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</si>
  <si>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</si>
  <si>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</si>
  <si>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</si>
  <si>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</si>
  <si>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</si>
  <si>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</si>
  <si>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</si>
  <si>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</si>
  <si>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</si>
  <si>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</si>
  <si>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</si>
  <si>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</si>
  <si>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</si>
  <si>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</si>
  <si>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</si>
  <si>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</si>
  <si>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</si>
  <si>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</si>
  <si>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</si>
  <si>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</si>
  <si>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</si>
  <si>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</si>
  <si>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</si>
  <si>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</si>
  <si>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</si>
  <si>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</si>
  <si>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</si>
  <si>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</si>
  <si>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</si>
  <si>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</si>
  <si>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</si>
  <si>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</si>
  <si>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</si>
  <si>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</si>
  <si>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</si>
  <si>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</si>
  <si>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</si>
  <si>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</si>
  <si>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</si>
  <si>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</si>
  <si>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</si>
  <si>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</si>
  <si>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</si>
  <si>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</si>
  <si>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</si>
  <si>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</si>
  <si>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</si>
  <si>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</si>
  <si>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</si>
  <si>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</si>
  <si>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</si>
  <si>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</si>
  <si>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</si>
  <si>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</si>
  <si>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</si>
  <si>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</si>
  <si>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</si>
  <si>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</si>
  <si>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</si>
  <si>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</si>
  <si>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</si>
  <si>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</si>
  <si>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</si>
  <si>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</si>
  <si>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</si>
  <si>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</si>
  <si>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</si>
  <si>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</si>
  <si>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</si>
  <si>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</si>
  <si>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</si>
  <si>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</si>
  <si>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</si>
  <si>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</si>
  <si>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</si>
  <si>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</si>
  <si>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</si>
  <si>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</si>
  <si>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</si>
  <si>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</si>
  <si>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</si>
  <si>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</si>
  <si>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</si>
  <si>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</si>
  <si>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</si>
  <si>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</si>
  <si>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</si>
  <si>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</si>
  <si>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</si>
  <si>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</si>
  <si>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</si>
  <si>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</si>
  <si>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</si>
  <si>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</si>
  <si>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</si>
  <si>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</si>
  <si>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</si>
  <si>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</si>
  <si>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</si>
  <si>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</si>
  <si>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</si>
  <si>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</si>
  <si>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</si>
  <si>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</si>
  <si>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</si>
  <si>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</si>
  <si>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</si>
  <si>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</si>
  <si>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</si>
  <si>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</si>
  <si>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</si>
  <si>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</si>
  <si>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</si>
  <si>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</si>
  <si>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</si>
  <si>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</si>
  <si>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</si>
  <si>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</si>
  <si>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</si>
  <si>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</si>
  <si>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</si>
  <si>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</si>
  <si>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</si>
  <si>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</si>
  <si>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</si>
  <si>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</si>
  <si>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</si>
  <si>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</si>
  <si>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</si>
  <si>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</si>
  <si>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</si>
  <si>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</si>
  <si>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</si>
  <si>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</si>
  <si>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</si>
  <si>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</si>
  <si>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</si>
  <si>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</si>
  <si>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</si>
  <si>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</si>
  <si>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</si>
  <si>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</si>
  <si>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</si>
  <si>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</si>
  <si>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</si>
  <si>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</si>
  <si>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</si>
  <si>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</si>
  <si>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</si>
  <si>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</si>
  <si>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</si>
  <si>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</si>
  <si>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</si>
  <si>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</si>
  <si>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</si>
  <si>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</si>
  <si>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</si>
  <si>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</si>
  <si>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</si>
  <si>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</si>
  <si>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</si>
  <si>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</si>
  <si>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</si>
  <si>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</si>
  <si>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</si>
  <si>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</si>
  <si>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</si>
  <si>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</si>
  <si>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</si>
  <si>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</si>
  <si>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</si>
  <si>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</si>
  <si>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</si>
  <si>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</si>
  <si>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</si>
  <si>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</si>
  <si>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</si>
  <si>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</si>
  <si>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</si>
  <si>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</si>
  <si>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</si>
  <si>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</si>
  <si>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</si>
  <si>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</si>
  <si>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</si>
  <si>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</si>
  <si>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</si>
  <si>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</si>
  <si>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</si>
  <si>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</si>
  <si>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</si>
  <si>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</si>
  <si>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</si>
  <si>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</si>
  <si>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</si>
  <si>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</si>
  <si>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</si>
  <si>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</si>
  <si>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</si>
  <si>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</si>
  <si>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</si>
  <si>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</si>
  <si>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</si>
  <si>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</si>
  <si>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</si>
  <si>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</si>
  <si>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</si>
  <si>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</si>
  <si>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</si>
  <si>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</si>
  <si>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</si>
  <si>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</si>
  <si>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</si>
  <si>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</si>
  <si>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</si>
  <si>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</si>
  <si>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</si>
  <si>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</si>
  <si>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</si>
  <si>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</si>
  <si>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</si>
  <si>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QUINCY TOWNSHIP</t>
  </si>
  <si>
    <t>GREENWOOD COUNTY</t>
  </si>
  <si>
    <t>NEAL STREET LIGHTS</t>
  </si>
  <si>
    <t>Cemetery</t>
  </si>
  <si>
    <t>Neal Street Lights</t>
  </si>
  <si>
    <t>.</t>
  </si>
  <si>
    <t>Accounting</t>
  </si>
  <si>
    <t>Publication</t>
  </si>
  <si>
    <t>Reimbursements</t>
  </si>
  <si>
    <t>Chemical</t>
  </si>
  <si>
    <t>Contract Maintenance</t>
  </si>
  <si>
    <t xml:space="preserve">Mowing </t>
  </si>
  <si>
    <t>Stone Maintenance</t>
  </si>
  <si>
    <t>Reimbursements on Stone Repairs</t>
  </si>
  <si>
    <t>General Maintenace</t>
  </si>
  <si>
    <t>Maintenance</t>
  </si>
  <si>
    <t>Westar Electric</t>
  </si>
  <si>
    <t>Deanna M. Smith, EA</t>
  </si>
  <si>
    <t>Deanna Smith Accounting</t>
  </si>
  <si>
    <t>PO Box 427</t>
  </si>
  <si>
    <t>Madison,  KS  66860</t>
  </si>
  <si>
    <t>dee_acc@Yahoo.com</t>
  </si>
  <si>
    <t>8:00 am</t>
  </si>
  <si>
    <t>Citizens State Bank - Madison, Kansas</t>
  </si>
  <si>
    <t>August 16, 2012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</si>
</sst>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brazier\Local%20Settings\Temporary%20Internet%20Files\Content.Outlook\E07EEMCB\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QUINCY TOWNSHIP</v>
      </c>
      <c r="C1" s="276"/>
      <c r="D1" s="276"/>
      <c r="E1" s="276"/>
      <c r="F1" s="276"/>
      <c r="G1" s="276"/>
      <c r="H1" s="276"/>
      <c r="I1" s="276"/>
      <c r="J1" s="65"/>
      <c r="K1" s="65"/>
      <c r="L1" s="226">
        <f>inputPrYr!D9</f>
        <v>2013</v>
      </c>
    </row>
    <row r="2" spans="1:12" ht="15.75">
      <c r="A2" s="300"/>
      <c r="B2" s="275" t="str">
        <f>inputPrYr!$D$4</f>
        <v>GREENWOOD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J19" sqref="J19"/>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QUINCY TOWNSHIP</v>
      </c>
      <c r="C7" s="601"/>
      <c r="D7" s="601"/>
      <c r="E7" s="601"/>
      <c r="F7" s="601"/>
      <c r="G7" s="601"/>
      <c r="H7" s="601"/>
      <c r="I7" s="601"/>
    </row>
    <row r="8" spans="2:9" ht="15.75">
      <c r="B8" s="602" t="str">
        <f>inputPrYr!D4</f>
        <v>GREENWOOD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'Not Used'!B48</f>
        <v>Ad Valorem Tax</v>
      </c>
      <c r="C15" s="601"/>
      <c r="D15" s="601"/>
      <c r="E15" s="606">
        <f>'Not Used'!D48</f>
        <v>0</v>
      </c>
      <c r="F15" s="601"/>
      <c r="G15" s="606">
        <f>'Not Used'!E40</f>
        <v>0</v>
      </c>
      <c r="H15" s="601"/>
      <c r="I15" s="601"/>
    </row>
    <row r="16" spans="2:9" ht="15.75">
      <c r="B16" s="602" t="str">
        <f>'Not Used'!B49</f>
        <v>Delinquent Tax</v>
      </c>
      <c r="C16" s="601"/>
      <c r="D16" s="601"/>
      <c r="E16" s="606">
        <f>'Not Used'!D49</f>
        <v>0</v>
      </c>
      <c r="F16" s="601"/>
      <c r="G16" s="606">
        <f>'Not Used'!E49</f>
        <v>0</v>
      </c>
      <c r="H16" s="601"/>
      <c r="I16" s="601"/>
    </row>
    <row r="17" spans="2:9" ht="15.75">
      <c r="B17" s="602" t="str">
        <f>'Not Used'!B50</f>
        <v>Motor Vehicle Tax</v>
      </c>
      <c r="C17" s="601"/>
      <c r="D17" s="601"/>
      <c r="E17" s="606">
        <f>'Not Used'!D50</f>
        <v>0</v>
      </c>
      <c r="F17" s="601"/>
      <c r="G17" s="606">
        <f>'Not Used'!E50</f>
        <v>0</v>
      </c>
      <c r="H17" s="601"/>
      <c r="I17" s="601"/>
    </row>
    <row r="18" spans="2:9" ht="15.75">
      <c r="B18" s="602" t="str">
        <f>'Not Used'!B51</f>
        <v>Recreational Vehicle Tax</v>
      </c>
      <c r="C18" s="601"/>
      <c r="D18" s="601"/>
      <c r="E18" s="606">
        <f>'Not Used'!D51</f>
        <v>0</v>
      </c>
      <c r="F18" s="601"/>
      <c r="G18" s="606">
        <f>'Not Used'!E51</f>
        <v>0</v>
      </c>
      <c r="H18" s="601"/>
      <c r="I18" s="601"/>
    </row>
    <row r="19" spans="2:9" ht="15.75">
      <c r="B19" s="602" t="str">
        <f>'Not Used'!B52</f>
        <v>16/20M Vehicle Tax</v>
      </c>
      <c r="C19" s="601"/>
      <c r="D19" s="601"/>
      <c r="E19" s="606">
        <f>'Not Used'!D52</f>
        <v>0</v>
      </c>
      <c r="F19" s="601"/>
      <c r="G19" s="606">
        <f>'Not Used'!E52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1617889</v>
      </c>
      <c r="F27" s="601"/>
      <c r="G27" s="606">
        <f>summ!F40</f>
        <v>1685761</v>
      </c>
      <c r="H27" s="601"/>
      <c r="I27" s="601"/>
    </row>
    <row r="28" spans="2:9" ht="15.75">
      <c r="B28" s="601" t="s">
        <v>824</v>
      </c>
      <c r="C28" s="601"/>
      <c r="D28" s="601"/>
      <c r="E28" s="611" t="str">
        <f>IF(G27-E27&gt;0,"No","Yes")</f>
        <v>No</v>
      </c>
      <c r="F28" s="601"/>
      <c r="G28" s="601"/>
      <c r="H28" s="601"/>
      <c r="I28" s="601"/>
    </row>
    <row r="29" spans="2:9" ht="15.75">
      <c r="B29" s="601" t="s">
        <v>825</v>
      </c>
      <c r="C29" s="601"/>
      <c r="D29" s="601"/>
      <c r="E29" s="612" t="str">
        <f>summ!E20</f>
        <v>  </v>
      </c>
      <c r="F29" s="601"/>
      <c r="G29" s="612" t="str">
        <f>summ!H20</f>
        <v> </v>
      </c>
      <c r="H29" s="601"/>
      <c r="I29" s="601"/>
    </row>
    <row r="30" spans="2:9" ht="15.75">
      <c r="B30" s="601" t="s">
        <v>826</v>
      </c>
      <c r="C30" s="601"/>
      <c r="D30" s="601"/>
      <c r="E30" s="613" t="e">
        <f>G29-E29</f>
        <v>#VALUE!</v>
      </c>
      <c r="F30" s="601"/>
      <c r="G30" s="601"/>
      <c r="H30" s="601"/>
      <c r="I30" s="601"/>
    </row>
    <row r="31" spans="2:9" ht="15.75">
      <c r="B31" s="601" t="s">
        <v>821</v>
      </c>
      <c r="C31" s="601"/>
      <c r="D31" s="614" t="e">
        <f>IF(E30&gt;=0,"Qualify","Not Qualify")</f>
        <v>#VALUE!</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e">
        <f>IF(D24="Not Qualify",IF(D31="Not Qualify",IF(D31="Not Qualify","Not Qualify","Qualify"),"Qualify"),"Qualify")</f>
        <v>#VALUE!</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
      <c r="B52" s="619"/>
      <c r="C52" s="619"/>
      <c r="D52" s="619"/>
      <c r="E52" s="619"/>
      <c r="F52" s="619"/>
      <c r="G52" s="619"/>
      <c r="H52" s="619"/>
      <c r="I52" s="619"/>
    </row>
    <row r="53" spans="2:9" ht="15.75">
      <c r="B53" s="620" t="s">
        <v>835</v>
      </c>
      <c r="C53" s="619"/>
      <c r="D53" s="619"/>
      <c r="E53" s="619"/>
      <c r="F53" s="619"/>
      <c r="G53" s="619"/>
      <c r="H53" s="619"/>
      <c r="I53" s="619"/>
    </row>
    <row r="54" spans="2:9" ht="1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
      <c r="B70" s="621"/>
      <c r="C70" s="621"/>
      <c r="D70" s="621"/>
      <c r="E70" s="621"/>
      <c r="F70" s="621"/>
      <c r="G70" s="619"/>
      <c r="H70" s="619"/>
      <c r="I70" s="619"/>
    </row>
    <row r="71" spans="2:9" ht="15.75">
      <c r="B71" s="620" t="s">
        <v>847</v>
      </c>
      <c r="C71" s="621"/>
      <c r="D71" s="621"/>
      <c r="E71" s="621"/>
      <c r="F71" s="621"/>
      <c r="G71" s="619"/>
      <c r="H71" s="619"/>
      <c r="I71" s="619"/>
    </row>
    <row r="72" spans="2:9" ht="1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
      <c r="B75" s="621"/>
      <c r="C75" s="621"/>
      <c r="D75" s="621"/>
      <c r="E75" s="621"/>
      <c r="F75" s="621"/>
      <c r="G75" s="619"/>
      <c r="H75" s="619"/>
      <c r="I75" s="619"/>
    </row>
    <row r="76" spans="2:9" ht="15.75">
      <c r="B76" s="620" t="s">
        <v>850</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
      <c r="B95" s="621"/>
      <c r="C95" s="621"/>
      <c r="D95" s="621"/>
      <c r="E95" s="621"/>
      <c r="F95" s="621"/>
      <c r="G95" s="619"/>
      <c r="H95" s="619"/>
      <c r="I95" s="619"/>
    </row>
    <row r="96" spans="2:9" ht="15.75">
      <c r="B96" s="620" t="s">
        <v>859</v>
      </c>
      <c r="C96" s="621"/>
      <c r="D96" s="621"/>
      <c r="E96" s="621"/>
      <c r="F96" s="621"/>
      <c r="G96" s="619"/>
      <c r="H96" s="619"/>
      <c r="I96" s="619"/>
    </row>
    <row r="97" spans="2:9" ht="1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3">
      <selection activeCell="E34" sqref="E3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QUINCY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299</v>
      </c>
      <c r="D6" s="395">
        <f>C51</f>
        <v>1649</v>
      </c>
      <c r="E6" s="262">
        <f>D51</f>
        <v>1228</v>
      </c>
    </row>
    <row r="7" spans="2:5" ht="15.75">
      <c r="B7" s="80" t="s">
        <v>72</v>
      </c>
      <c r="C7" s="395"/>
      <c r="D7" s="395"/>
      <c r="E7" s="316"/>
    </row>
    <row r="8" spans="2:5" ht="15.75">
      <c r="B8" s="80" t="s">
        <v>280</v>
      </c>
      <c r="C8" s="314">
        <v>1785</v>
      </c>
      <c r="D8" s="395">
        <f>IF(inputPrYr!H19&gt;0,inputPrYr!G20,inputPrYr!E20)</f>
        <v>1262</v>
      </c>
      <c r="E8" s="316" t="s">
        <v>259</v>
      </c>
    </row>
    <row r="9" spans="2:5" ht="15.75">
      <c r="B9" s="80" t="s">
        <v>281</v>
      </c>
      <c r="C9" s="314"/>
      <c r="D9" s="314"/>
      <c r="E9" s="171"/>
    </row>
    <row r="10" spans="2:5" ht="15.75">
      <c r="B10" s="80" t="s">
        <v>282</v>
      </c>
      <c r="C10" s="314"/>
      <c r="D10" s="314">
        <v>100</v>
      </c>
      <c r="E10" s="262">
        <f>mvalloc!G11</f>
        <v>139</v>
      </c>
    </row>
    <row r="11" spans="2:5" ht="15.75">
      <c r="B11" s="80" t="s">
        <v>283</v>
      </c>
      <c r="C11" s="314"/>
      <c r="D11" s="314">
        <v>3</v>
      </c>
      <c r="E11" s="262">
        <f>mvalloc!I11</f>
        <v>2</v>
      </c>
    </row>
    <row r="12" spans="2:5" ht="15.75">
      <c r="B12" s="317" t="s">
        <v>21</v>
      </c>
      <c r="C12" s="314"/>
      <c r="D12" s="314">
        <v>14</v>
      </c>
      <c r="E12" s="262">
        <f>mvalloc!J11</f>
        <v>13</v>
      </c>
    </row>
    <row r="13" spans="2:5" ht="15.75">
      <c r="B13" s="317" t="s">
        <v>113</v>
      </c>
      <c r="C13" s="314"/>
      <c r="D13" s="314"/>
      <c r="E13" s="262">
        <f>inputOth!E71</f>
        <v>0</v>
      </c>
    </row>
    <row r="14" spans="2:5" ht="15.75">
      <c r="B14" s="80" t="s">
        <v>284</v>
      </c>
      <c r="C14" s="314"/>
      <c r="D14" s="314"/>
      <c r="E14" s="262">
        <f>inputOth!E32</f>
        <v>0</v>
      </c>
    </row>
    <row r="15" spans="2:5" ht="15.75">
      <c r="B15" s="319" t="s">
        <v>958</v>
      </c>
      <c r="C15" s="314"/>
      <c r="D15" s="314"/>
      <c r="E15" s="171">
        <v>500</v>
      </c>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v>9</v>
      </c>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1794</v>
      </c>
      <c r="D26" s="398">
        <f>SUM(D8:D24)</f>
        <v>1379</v>
      </c>
      <c r="E26" s="323">
        <f>SUM(E8:E24)</f>
        <v>654</v>
      </c>
    </row>
    <row r="27" spans="2:5" ht="15.75">
      <c r="B27" s="98" t="s">
        <v>288</v>
      </c>
      <c r="C27" s="398">
        <f>C26+C6</f>
        <v>2093</v>
      </c>
      <c r="D27" s="398">
        <f>D26+D6</f>
        <v>3028</v>
      </c>
      <c r="E27" s="323">
        <f>E26+E6</f>
        <v>1882</v>
      </c>
    </row>
    <row r="28" spans="2:5" ht="15.75">
      <c r="B28" s="80" t="s">
        <v>289</v>
      </c>
      <c r="C28" s="395"/>
      <c r="D28" s="395"/>
      <c r="E28" s="262"/>
    </row>
    <row r="29" spans="2:5" ht="15.75">
      <c r="B29" s="318"/>
      <c r="C29" s="314"/>
      <c r="D29" s="314"/>
      <c r="E29" s="171"/>
    </row>
    <row r="30" spans="2:5" ht="15.75">
      <c r="B30" s="319" t="s">
        <v>53</v>
      </c>
      <c r="C30" s="314"/>
      <c r="D30" s="314"/>
      <c r="E30" s="171"/>
    </row>
    <row r="31" spans="2:5" ht="15.75">
      <c r="B31" s="319" t="s">
        <v>77</v>
      </c>
      <c r="C31" s="314"/>
      <c r="D31" s="314"/>
      <c r="E31" s="171"/>
    </row>
    <row r="32" spans="2:5" ht="15.75">
      <c r="B32" s="319" t="s">
        <v>54</v>
      </c>
      <c r="C32" s="314"/>
      <c r="D32" s="314"/>
      <c r="E32" s="171"/>
    </row>
    <row r="33" spans="2:5" ht="15.75">
      <c r="B33" s="319" t="s">
        <v>300</v>
      </c>
      <c r="C33" s="314">
        <v>90</v>
      </c>
      <c r="D33" s="314">
        <v>300</v>
      </c>
      <c r="E33" s="171">
        <v>550</v>
      </c>
    </row>
    <row r="34" spans="2:5" ht="15.75">
      <c r="B34" s="318" t="s">
        <v>55</v>
      </c>
      <c r="C34" s="314"/>
      <c r="D34" s="314">
        <v>500</v>
      </c>
      <c r="E34" s="171">
        <v>1200</v>
      </c>
    </row>
    <row r="35" spans="2:5" ht="15.75">
      <c r="B35" s="318" t="s">
        <v>78</v>
      </c>
      <c r="C35" s="314"/>
      <c r="D35" s="314">
        <v>100</v>
      </c>
      <c r="E35" s="171">
        <v>200</v>
      </c>
    </row>
    <row r="36" spans="2:5" ht="15.75">
      <c r="B36" s="319" t="s">
        <v>80</v>
      </c>
      <c r="C36" s="314">
        <v>100</v>
      </c>
      <c r="D36" s="314">
        <v>500</v>
      </c>
      <c r="E36" s="171">
        <v>800</v>
      </c>
    </row>
    <row r="37" spans="2:5" ht="15.75">
      <c r="B37" s="319" t="s">
        <v>956</v>
      </c>
      <c r="C37" s="314">
        <v>100</v>
      </c>
      <c r="D37" s="314">
        <v>200</v>
      </c>
      <c r="E37" s="171">
        <v>300</v>
      </c>
    </row>
    <row r="38" spans="2:5" ht="15.75">
      <c r="B38" s="319" t="s">
        <v>957</v>
      </c>
      <c r="C38" s="314">
        <v>144</v>
      </c>
      <c r="D38" s="314">
        <v>200</v>
      </c>
      <c r="E38" s="171">
        <v>300</v>
      </c>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780</v>
      </c>
      <c r="C46" s="397">
        <f>IF(C27*0.25&lt;C45,"Exceeds 25%","")</f>
      </c>
      <c r="D46" s="397">
        <f>IF(D27*0.25&lt;D45,"Exceeds 25%","")</f>
      </c>
      <c r="E46" s="324">
        <f>IF(E27*0.25+E57&lt;E45,"Exceeds 25%","")</f>
      </c>
      <c r="G46" s="733" t="s">
        <v>870</v>
      </c>
      <c r="H46" s="734"/>
      <c r="I46" s="734"/>
      <c r="J46" s="735">
        <f>IF(J43&gt;0,J45-E54,0)</f>
        <v>0</v>
      </c>
    </row>
    <row r="47" spans="2:5" ht="15.75">
      <c r="B47" s="317" t="s">
        <v>234</v>
      </c>
      <c r="C47" s="314"/>
      <c r="D47" s="314"/>
      <c r="E47" s="182">
        <f>nhood!E6</f>
      </c>
    </row>
    <row r="48" spans="2:10" ht="15.75">
      <c r="B48" s="317" t="s">
        <v>232</v>
      </c>
      <c r="C48" s="314">
        <v>10</v>
      </c>
      <c r="D48" s="314"/>
      <c r="E48" s="171"/>
      <c r="G48" s="824" t="str">
        <f>CONCATENATE("Projected Carryover Into ",E1+1,"")</f>
        <v>Projected Carryover Into 2014</v>
      </c>
      <c r="H48" s="825"/>
      <c r="I48" s="825"/>
      <c r="J48" s="826"/>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444</v>
      </c>
      <c r="D50" s="398">
        <f>SUM(D29:D43,D45,D47:D48)</f>
        <v>1800</v>
      </c>
      <c r="E50" s="323">
        <f>SUM(E29:E43,E47:E48,E45)</f>
        <v>3350</v>
      </c>
      <c r="G50" s="556">
        <f>D51</f>
        <v>1228</v>
      </c>
      <c r="H50" s="557" t="str">
        <f>CONCATENATE("",E1-1," Ending Cash Balance (est.)")</f>
        <v>2012 Ending Cash Balance (est.)</v>
      </c>
      <c r="I50" s="558"/>
      <c r="J50" s="555"/>
    </row>
    <row r="51" spans="2:10" ht="15.75">
      <c r="B51" s="80" t="s">
        <v>71</v>
      </c>
      <c r="C51" s="399">
        <f>C27-C50</f>
        <v>1649</v>
      </c>
      <c r="D51" s="399">
        <f>D27-D50</f>
        <v>1228</v>
      </c>
      <c r="E51" s="316" t="s">
        <v>259</v>
      </c>
      <c r="G51" s="556">
        <f>E26</f>
        <v>654</v>
      </c>
      <c r="H51" s="559" t="str">
        <f>CONCATENATE("",E1," Non-AV Receipts (est.)")</f>
        <v>2013 Non-AV Receipts (est.)</v>
      </c>
      <c r="I51" s="558"/>
      <c r="J51" s="555"/>
    </row>
    <row r="52" spans="2:11" ht="15.75">
      <c r="B52" s="117" t="str">
        <f>CONCATENATE("",E1-2,"/",E1-1," Budget Authority Amount:")</f>
        <v>2011/2012 Budget Authority Amount:</v>
      </c>
      <c r="C52" s="339">
        <f>inputOth!B83</f>
        <v>1800</v>
      </c>
      <c r="D52" s="68">
        <f>inputPrYr!D20</f>
        <v>1800</v>
      </c>
      <c r="E52" s="316" t="s">
        <v>259</v>
      </c>
      <c r="F52" s="325"/>
      <c r="G52" s="560">
        <f>IF(D56&gt;0,E55,E57)</f>
        <v>1468</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3350</v>
      </c>
      <c r="H53" s="559" t="str">
        <f>CONCATENATE("Total ",E1," Resources Available")</f>
        <v>Total 2013 Resources Available</v>
      </c>
      <c r="I53" s="558"/>
      <c r="J53" s="555"/>
    </row>
    <row r="54" spans="2:10" ht="15.75">
      <c r="B54" s="504" t="str">
        <f>CONCATENATE(C74,"      ",D74)</f>
        <v>      </v>
      </c>
      <c r="C54" s="820" t="s">
        <v>732</v>
      </c>
      <c r="D54" s="821"/>
      <c r="E54" s="262">
        <f>E50+E53</f>
        <v>3350</v>
      </c>
      <c r="G54" s="561"/>
      <c r="H54" s="559"/>
      <c r="I54" s="559"/>
      <c r="J54" s="555"/>
    </row>
    <row r="55" spans="2:10" ht="15.75">
      <c r="B55" s="504" t="str">
        <f>CONCATENATE(C75,"       ",D75)</f>
        <v>       </v>
      </c>
      <c r="C55" s="507"/>
      <c r="D55" s="506" t="s">
        <v>292</v>
      </c>
      <c r="E55" s="182">
        <f>IF(E54-E27&gt;0,E54-E27,0)</f>
        <v>1468</v>
      </c>
      <c r="G55" s="560">
        <f>ROUND(C50*0.05+C50,0)</f>
        <v>466</v>
      </c>
      <c r="H55" s="559" t="str">
        <f>CONCATENATE("Less ",E1-2," Expenditures + 5%")</f>
        <v>Less 2011 Expenditures + 5%</v>
      </c>
      <c r="I55" s="558"/>
      <c r="J55" s="555"/>
    </row>
    <row r="56" spans="2:10" ht="15.75">
      <c r="B56" s="211"/>
      <c r="C56" s="505" t="s">
        <v>733</v>
      </c>
      <c r="D56" s="729">
        <f>inputOth!$E$77</f>
        <v>0</v>
      </c>
      <c r="E56" s="262">
        <f>ROUND(IF(D56&gt;0,(E55*D56),0),0)</f>
        <v>0</v>
      </c>
      <c r="G56" s="562">
        <f>G53-G55</f>
        <v>2884</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1468</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0.871</v>
      </c>
      <c r="H60" s="557" t="str">
        <f>CONCATENATE("",E1," Fund Mill Rate")</f>
        <v>2013 Fund Mill Rate</v>
      </c>
      <c r="I60" s="728"/>
      <c r="J60" s="738"/>
      <c r="K60" s="156"/>
    </row>
    <row r="61" spans="2:10" ht="15.75">
      <c r="B61" s="211" t="s">
        <v>273</v>
      </c>
      <c r="C61" s="376"/>
      <c r="D61" s="65"/>
      <c r="E61" s="65"/>
      <c r="G61" s="740">
        <f>summ!E18</f>
        <v>0.823</v>
      </c>
      <c r="H61" s="557" t="str">
        <f>CONCATENATE("",E1-1," Fund Mill Rate")</f>
        <v>2012 Fund Mill Rate</v>
      </c>
      <c r="I61" s="728"/>
      <c r="J61" s="738"/>
    </row>
    <row r="62" spans="7:10" ht="15.75">
      <c r="G62" s="741">
        <f>summ!H36</f>
        <v>22.896</v>
      </c>
      <c r="H62" s="557" t="str">
        <f>CONCATENATE("Total ",E1," Mill Rate")</f>
        <v>Total 2013 Mill Rate</v>
      </c>
      <c r="I62" s="728"/>
      <c r="J62" s="738"/>
    </row>
    <row r="63" spans="2:10" ht="15.75">
      <c r="B63" s="109"/>
      <c r="G63" s="740">
        <f>summ!E36</f>
        <v>21.648000000000003</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2">
      <selection activeCell="F80" sqref="F80"/>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QUINCY TOWNSHIP</v>
      </c>
      <c r="C1" s="623"/>
      <c r="D1" s="624"/>
      <c r="E1" s="625">
        <f>inputPrYr!D9</f>
        <v>2013</v>
      </c>
    </row>
    <row r="2" spans="2:5" ht="15.75">
      <c r="B2" s="624"/>
      <c r="C2" s="624"/>
      <c r="D2" s="624"/>
      <c r="E2" s="627"/>
    </row>
    <row r="3" spans="2:5" ht="15.75">
      <c r="B3" s="628" t="s">
        <v>774</v>
      </c>
      <c r="C3" s="628"/>
      <c r="D3" s="629"/>
      <c r="E3" s="630"/>
    </row>
    <row r="4" spans="2:5" ht="15.75">
      <c r="B4" s="631" t="s">
        <v>274</v>
      </c>
      <c r="C4" s="632" t="s">
        <v>866</v>
      </c>
      <c r="D4" s="633" t="s">
        <v>867</v>
      </c>
      <c r="E4" s="634" t="s">
        <v>868</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869</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737</v>
      </c>
      <c r="H26" s="660"/>
      <c r="I26" s="660"/>
      <c r="J26" s="663">
        <v>0</v>
      </c>
    </row>
    <row r="27" spans="2:10" ht="15.75">
      <c r="B27" s="649"/>
      <c r="C27" s="644"/>
      <c r="D27" s="646"/>
      <c r="E27" s="647"/>
      <c r="G27" s="658" t="s">
        <v>738</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870</v>
      </c>
      <c r="H29" s="670"/>
      <c r="I29" s="670"/>
      <c r="J29" s="671">
        <f>IF(J26&gt;0,J28-E37,0)</f>
        <v>0</v>
      </c>
    </row>
    <row r="30" spans="2:5" ht="15.7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75">
      <c r="B32" s="672" t="s">
        <v>734</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22.896</v>
      </c>
      <c r="H45" s="677" t="str">
        <f>CONCATENATE("Total ",E1," Mill Rate")</f>
        <v>Total 2013 Mill Rate</v>
      </c>
      <c r="I45" s="701"/>
      <c r="J45" s="702"/>
    </row>
    <row r="46" spans="2:10" ht="15.75">
      <c r="B46" s="639" t="s">
        <v>96</v>
      </c>
      <c r="C46" s="644">
        <v>0</v>
      </c>
      <c r="D46" s="641">
        <f>C74</f>
        <v>0</v>
      </c>
      <c r="E46" s="642">
        <f>D74</f>
        <v>0</v>
      </c>
      <c r="F46" s="680"/>
      <c r="G46" s="704">
        <f>summ!E36</f>
        <v>21.648000000000003</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869</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737</v>
      </c>
      <c r="H66" s="660"/>
      <c r="I66" s="660"/>
      <c r="J66" s="663">
        <v>0</v>
      </c>
    </row>
    <row r="67" spans="2:10" ht="15.75">
      <c r="B67" s="649"/>
      <c r="C67" s="644"/>
      <c r="D67" s="646"/>
      <c r="E67" s="647"/>
      <c r="G67" s="658" t="s">
        <v>738</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e">
        <f>IF('Library Grant'!F33="","",IF('Library Grant'!F33="Qualify","Qualifies for State Library Grant","See 'Library Grant' tab"))</f>
        <v>#VALUE!</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22.896</v>
      </c>
      <c r="H85" s="677" t="str">
        <f>CONCATENATE("Total ",E1," Mill Rate")</f>
        <v>Total 2013 Mill Rate</v>
      </c>
      <c r="I85" s="701"/>
      <c r="J85" s="702"/>
    </row>
    <row r="86" spans="7:10" ht="15.75">
      <c r="G86" s="704">
        <f>summ!E36</f>
        <v>21.648000000000003</v>
      </c>
      <c r="H86" s="707" t="str">
        <f>CONCATENATE("Total ",E1-1," Mill Rate")</f>
        <v>Total 2012 Mill Rate</v>
      </c>
      <c r="I86" s="708"/>
      <c r="J86" s="709"/>
    </row>
    <row r="87" spans="7:10" ht="15.75">
      <c r="G87" s="723"/>
      <c r="H87" s="723"/>
      <c r="I87" s="723"/>
      <c r="J87" s="723"/>
    </row>
    <row r="88" spans="3:4" ht="15.75">
      <c r="C88" s="724" t="s">
        <v>872</v>
      </c>
      <c r="D88" s="724" t="s">
        <v>872</v>
      </c>
    </row>
    <row r="89" spans="3:4" ht="15.75">
      <c r="C89" s="724" t="s">
        <v>872</v>
      </c>
      <c r="D89" s="724" t="s">
        <v>872</v>
      </c>
    </row>
    <row r="91" spans="3:4" ht="15.75">
      <c r="C91" s="724" t="s">
        <v>872</v>
      </c>
      <c r="D91" s="724" t="s">
        <v>872</v>
      </c>
    </row>
    <row r="92" spans="3:4" ht="15.75">
      <c r="C92" s="724" t="s">
        <v>872</v>
      </c>
      <c r="D92" s="724" t="s">
        <v>872</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D40">
      <selection activeCell="G53" sqref="G5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QUINCY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v>19322</v>
      </c>
      <c r="D6" s="395">
        <f>C44</f>
        <v>25218</v>
      </c>
      <c r="E6" s="262">
        <f>D44</f>
        <v>13168</v>
      </c>
    </row>
    <row r="7" spans="2:5" ht="15.75">
      <c r="B7" s="80" t="s">
        <v>72</v>
      </c>
      <c r="C7" s="395"/>
      <c r="D7" s="395"/>
      <c r="E7" s="316"/>
    </row>
    <row r="8" spans="2:5" ht="15.75">
      <c r="B8" s="80" t="s">
        <v>280</v>
      </c>
      <c r="C8" s="314">
        <v>23721</v>
      </c>
      <c r="D8" s="395">
        <f>IF(inputPrYr!H19&gt;0,inputPrYr!G23,inputPrYr!E23)</f>
        <v>19042</v>
      </c>
      <c r="E8" s="316" t="s">
        <v>259</v>
      </c>
    </row>
    <row r="9" spans="2:5" ht="15.75">
      <c r="B9" s="80" t="s">
        <v>281</v>
      </c>
      <c r="C9" s="314"/>
      <c r="D9" s="314"/>
      <c r="E9" s="171"/>
    </row>
    <row r="10" spans="2:5" ht="15.75">
      <c r="B10" s="80" t="s">
        <v>282</v>
      </c>
      <c r="C10" s="314"/>
      <c r="D10" s="314">
        <v>2126</v>
      </c>
      <c r="E10" s="262">
        <f>mvalloc!G14</f>
        <v>2086</v>
      </c>
    </row>
    <row r="11" spans="2:5" ht="15.75">
      <c r="B11" s="80" t="s">
        <v>283</v>
      </c>
      <c r="C11" s="314"/>
      <c r="D11" s="314">
        <v>49</v>
      </c>
      <c r="E11" s="262">
        <f>mvalloc!I14</f>
        <v>34</v>
      </c>
    </row>
    <row r="12" spans="2:5" ht="15.75">
      <c r="B12" s="80" t="s">
        <v>51</v>
      </c>
      <c r="C12" s="314"/>
      <c r="D12" s="314">
        <v>253</v>
      </c>
      <c r="E12" s="262">
        <f>mvalloc!J14</f>
        <v>194</v>
      </c>
    </row>
    <row r="13" spans="2:5" ht="15.75">
      <c r="B13" s="80" t="s">
        <v>52</v>
      </c>
      <c r="C13" s="314"/>
      <c r="D13" s="314">
        <v>1950</v>
      </c>
      <c r="E13" s="262">
        <f>inputOth!E72</f>
        <v>0</v>
      </c>
    </row>
    <row r="14" spans="2:5" ht="15.75">
      <c r="B14" s="319" t="s">
        <v>958</v>
      </c>
      <c r="C14" s="314"/>
      <c r="D14" s="314"/>
      <c r="E14" s="171">
        <v>10000</v>
      </c>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v>32</v>
      </c>
      <c r="D20" s="314">
        <v>30</v>
      </c>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23753</v>
      </c>
      <c r="D23" s="398">
        <f>SUM(D8:D21)</f>
        <v>23450</v>
      </c>
      <c r="E23" s="323">
        <f>SUM(E8:E21)</f>
        <v>12314</v>
      </c>
    </row>
    <row r="24" spans="2:5" ht="15.75">
      <c r="B24" s="98" t="s">
        <v>288</v>
      </c>
      <c r="C24" s="398">
        <f>C23+C6</f>
        <v>43075</v>
      </c>
      <c r="D24" s="398">
        <f>D23+D6</f>
        <v>48668</v>
      </c>
      <c r="E24" s="323">
        <f>E23+E6</f>
        <v>25482</v>
      </c>
    </row>
    <row r="25" spans="2:5" ht="15.75">
      <c r="B25" s="80" t="s">
        <v>289</v>
      </c>
      <c r="C25" s="395"/>
      <c r="D25" s="395"/>
      <c r="E25" s="262"/>
    </row>
    <row r="26" spans="2:5" ht="15.75">
      <c r="B26" s="319"/>
      <c r="C26" s="314"/>
      <c r="D26" s="314"/>
      <c r="E26" s="171"/>
    </row>
    <row r="27" spans="2:5" ht="15.75">
      <c r="B27" s="319" t="s">
        <v>53</v>
      </c>
      <c r="C27" s="314">
        <v>600</v>
      </c>
      <c r="D27" s="314">
        <v>600</v>
      </c>
      <c r="E27" s="171">
        <v>1000</v>
      </c>
    </row>
    <row r="28" spans="2:5" ht="15.75">
      <c r="B28" s="319" t="s">
        <v>77</v>
      </c>
      <c r="C28" s="314"/>
      <c r="D28" s="314"/>
      <c r="E28" s="171"/>
    </row>
    <row r="29" spans="2:5" ht="15.75">
      <c r="B29" s="318" t="s">
        <v>54</v>
      </c>
      <c r="C29" s="314"/>
      <c r="D29" s="314"/>
      <c r="E29" s="171"/>
    </row>
    <row r="30" spans="2:5" ht="15.75">
      <c r="B30" s="319" t="s">
        <v>79</v>
      </c>
      <c r="C30" s="314">
        <v>11217</v>
      </c>
      <c r="D30" s="314">
        <v>15000</v>
      </c>
      <c r="E30" s="171">
        <v>20000</v>
      </c>
    </row>
    <row r="31" spans="2:5" ht="15.75">
      <c r="B31" s="319" t="s">
        <v>57</v>
      </c>
      <c r="C31" s="314">
        <v>5000</v>
      </c>
      <c r="D31" s="314">
        <v>5000</v>
      </c>
      <c r="E31" s="171">
        <v>10000</v>
      </c>
    </row>
    <row r="32" spans="2:5" ht="15.75">
      <c r="B32" s="319" t="s">
        <v>55</v>
      </c>
      <c r="C32" s="314"/>
      <c r="D32" s="314">
        <v>4025</v>
      </c>
      <c r="E32" s="171">
        <v>14000</v>
      </c>
    </row>
    <row r="33" spans="2:5" ht="15.75">
      <c r="B33" s="319" t="s">
        <v>80</v>
      </c>
      <c r="C33" s="314">
        <v>1040</v>
      </c>
      <c r="D33" s="314">
        <v>2000</v>
      </c>
      <c r="E33" s="171">
        <v>2000</v>
      </c>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0">
        <f>IF(J36=0,"",ROUND((J36+E50-G49)/inputOth!E11*1000,3)-G54)</f>
      </c>
    </row>
    <row r="38" spans="2:10" ht="15.75">
      <c r="B38" s="80" t="s">
        <v>56</v>
      </c>
      <c r="C38" s="314"/>
      <c r="D38" s="314">
        <v>8875</v>
      </c>
      <c r="E38" s="171"/>
      <c r="G38" s="731" t="str">
        <f>CONCATENATE("",E1," Tot Exp/Non-Appr Must Be:")</f>
        <v>2013 Tot Exp/Non-Appr Must Be:</v>
      </c>
      <c r="H38" s="549"/>
      <c r="I38" s="727"/>
      <c r="J38" s="732">
        <f>IF(J36&gt;0,IF(E47&lt;E24,IF(J36=G49,E47,((J36-G49)*(1-D49))+E24),E47+(J36-G49)),0)</f>
        <v>0</v>
      </c>
    </row>
    <row r="39" spans="2:10" ht="15.75">
      <c r="B39" s="80" t="s">
        <v>739</v>
      </c>
      <c r="C39" s="397">
        <f>IF(C24*0.25&lt;C38,"Exceeds 25%","")</f>
      </c>
      <c r="D39" s="397">
        <f>IF(D24*0.25&lt;D38,"Exceeds 25%","")</f>
      </c>
      <c r="E39" s="324">
        <f>IF(E24*0.25+E50&lt;E38,"Exceeds 25%","")</f>
      </c>
      <c r="G39" s="733" t="s">
        <v>870</v>
      </c>
      <c r="H39" s="734"/>
      <c r="I39" s="734"/>
      <c r="J39" s="735">
        <f>IF(J36&gt;0,J38-E47,0)</f>
        <v>0</v>
      </c>
    </row>
    <row r="40" spans="2:5" ht="15.7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17857</v>
      </c>
      <c r="D43" s="398">
        <f>SUM(D26:D41)</f>
        <v>35500</v>
      </c>
      <c r="E43" s="323">
        <f>SUM(E26:E38,E41)</f>
        <v>47000</v>
      </c>
      <c r="G43" s="556">
        <f>D44</f>
        <v>13168</v>
      </c>
      <c r="H43" s="557" t="str">
        <f>CONCATENATE("",E1-1," Ending Cash Balance (est.)")</f>
        <v>2012 Ending Cash Balance (est.)</v>
      </c>
      <c r="I43" s="558"/>
      <c r="J43" s="555"/>
    </row>
    <row r="44" spans="2:10" ht="15.75">
      <c r="B44" s="80" t="s">
        <v>71</v>
      </c>
      <c r="C44" s="399">
        <f>C24-C43</f>
        <v>25218</v>
      </c>
      <c r="D44" s="399">
        <f>D24-D43</f>
        <v>13168</v>
      </c>
      <c r="E44" s="316" t="s">
        <v>259</v>
      </c>
      <c r="G44" s="556">
        <f>E23</f>
        <v>12314</v>
      </c>
      <c r="H44" s="559" t="str">
        <f>CONCATENATE("",E1," Non-AV Receipts (est.)")</f>
        <v>2013 Non-AV Receipts (est.)</v>
      </c>
      <c r="I44" s="558"/>
      <c r="J44" s="555"/>
    </row>
    <row r="45" spans="2:11" ht="15.75">
      <c r="B45" s="117" t="str">
        <f>CONCATENATE("",$E$1-2,"/",$E$1-1," Budget Authority Amount:")</f>
        <v>2011/2012 Budget Authority Amount:</v>
      </c>
      <c r="C45" s="339">
        <f>inputOth!B86</f>
        <v>32000</v>
      </c>
      <c r="D45" s="83">
        <f>inputPrYr!D23</f>
        <v>35500</v>
      </c>
      <c r="E45" s="316" t="s">
        <v>259</v>
      </c>
      <c r="F45" s="325"/>
      <c r="G45" s="560">
        <f>IF(D49&gt;0,E48,E50)</f>
        <v>21518</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47000</v>
      </c>
      <c r="H46" s="559" t="str">
        <f>CONCATENATE("Total ",E1," Resources Available")</f>
        <v>Total 2013 Resources Available</v>
      </c>
      <c r="I46" s="558"/>
      <c r="J46" s="555"/>
    </row>
    <row r="47" spans="2:10" ht="15.75">
      <c r="B47" s="504" t="str">
        <f>CONCATENATE(C72,"     ",D72)</f>
        <v>     </v>
      </c>
      <c r="C47" s="820" t="s">
        <v>732</v>
      </c>
      <c r="D47" s="821"/>
      <c r="E47" s="262">
        <f>E43+E46</f>
        <v>47000</v>
      </c>
      <c r="G47" s="561"/>
      <c r="H47" s="559"/>
      <c r="I47" s="559"/>
      <c r="J47" s="555"/>
    </row>
    <row r="48" spans="2:10" ht="15.75">
      <c r="B48" s="504" t="str">
        <f>CONCATENATE(C73,"     ",D73)</f>
        <v>     </v>
      </c>
      <c r="C48" s="507"/>
      <c r="D48" s="506" t="s">
        <v>292</v>
      </c>
      <c r="E48" s="182">
        <f>IF(E47-E24&gt;0,E47-E24,0)</f>
        <v>21518</v>
      </c>
      <c r="G48" s="560">
        <f>ROUND(C43*0.05+C43,0)</f>
        <v>18750</v>
      </c>
      <c r="H48" s="559" t="str">
        <f>CONCATENATE("Less ",E1-2," Expenditures + 5%")</f>
        <v>Less 2011 Expenditures + 5%</v>
      </c>
      <c r="I48" s="558"/>
      <c r="J48" s="555"/>
    </row>
    <row r="49" spans="2:10" ht="15.75">
      <c r="B49" s="211"/>
      <c r="C49" s="505" t="s">
        <v>733</v>
      </c>
      <c r="D49" s="729">
        <f>inputOth!$E$77</f>
        <v>0</v>
      </c>
      <c r="E49" s="262">
        <f>ROUND(IF(D49&gt;0,(E48*D49),0),0)</f>
        <v>0</v>
      </c>
      <c r="G49" s="562">
        <f>G46-G48</f>
        <v>28250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21518</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f>summ!H21</f>
        <v>12.765</v>
      </c>
      <c r="H53" s="557" t="str">
        <f>CONCATENATE("",E1," Fund Mill Rate")</f>
        <v>2013 Fund Mill Rate</v>
      </c>
      <c r="I53" s="728"/>
      <c r="J53" s="738"/>
    </row>
    <row r="54" spans="2:10" ht="15.75">
      <c r="B54" s="77" t="s">
        <v>295</v>
      </c>
      <c r="C54" s="79" t="s">
        <v>296</v>
      </c>
      <c r="D54" s="65"/>
      <c r="E54" s="65"/>
      <c r="G54" s="740">
        <f>summ!E21</f>
        <v>12.412</v>
      </c>
      <c r="H54" s="557" t="str">
        <f>CONCATENATE("",E1-1," Fund Mill Rate")</f>
        <v>2012 Fund Mill Rate</v>
      </c>
      <c r="I54" s="728"/>
      <c r="J54" s="738"/>
    </row>
    <row r="55" spans="2:10" ht="15.75">
      <c r="B55" s="105" t="s">
        <v>278</v>
      </c>
      <c r="C55" s="503">
        <v>0</v>
      </c>
      <c r="D55" s="65"/>
      <c r="E55" s="65"/>
      <c r="G55" s="741">
        <f>summ!H36</f>
        <v>22.896</v>
      </c>
      <c r="H55" s="557" t="str">
        <f>CONCATENATE("Total ",E1," Mill Rate")</f>
        <v>Total 2013 Mill Rate</v>
      </c>
      <c r="I55" s="728"/>
      <c r="J55" s="738"/>
    </row>
    <row r="56" spans="2:10" ht="15.75">
      <c r="B56" s="105" t="s">
        <v>297</v>
      </c>
      <c r="C56" s="339"/>
      <c r="D56" s="65"/>
      <c r="E56" s="65"/>
      <c r="G56" s="740">
        <f>summ!E36</f>
        <v>21.648000000000003</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B5" sqref="B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QUINCY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22.896</v>
      </c>
      <c r="H45" s="677" t="str">
        <f>CONCATENATE("Total ",E1," Mill Rate")</f>
        <v>Total 2013 Mill Rate</v>
      </c>
      <c r="I45" s="701"/>
      <c r="J45" s="702"/>
      <c r="K45" s="626"/>
    </row>
    <row r="46" spans="2:11" ht="15.75">
      <c r="B46" s="80" t="s">
        <v>70</v>
      </c>
      <c r="C46" s="314">
        <v>60</v>
      </c>
      <c r="D46" s="395">
        <f>C74</f>
        <v>1998</v>
      </c>
      <c r="E46" s="262">
        <f>D74</f>
        <v>1954</v>
      </c>
      <c r="G46" s="704">
        <f>summ!E36</f>
        <v>21.648000000000003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v>1938</v>
      </c>
      <c r="D48" s="395">
        <f>IF(inputPrYr!H19&gt;0,inputPrYr!G25,inputPrYr!E25)</f>
        <v>1737</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v>192</v>
      </c>
      <c r="E50" s="262">
        <f>mvalloc!G16</f>
        <v>190</v>
      </c>
      <c r="G50" s="626"/>
      <c r="H50" s="626"/>
      <c r="I50" s="626"/>
      <c r="J50" s="626"/>
      <c r="K50" s="626"/>
    </row>
    <row r="51" spans="2:11" ht="15.75">
      <c r="B51" s="80" t="s">
        <v>283</v>
      </c>
      <c r="C51" s="314"/>
      <c r="D51" s="314">
        <v>4</v>
      </c>
      <c r="E51" s="262">
        <f>mvalloc!I16</f>
        <v>3</v>
      </c>
      <c r="G51" s="626"/>
      <c r="H51" s="626"/>
      <c r="I51" s="626"/>
      <c r="J51" s="626"/>
      <c r="K51" s="626"/>
    </row>
    <row r="52" spans="2:11" ht="15.75">
      <c r="B52" s="80" t="s">
        <v>51</v>
      </c>
      <c r="C52" s="314"/>
      <c r="D52" s="314">
        <v>23</v>
      </c>
      <c r="E52" s="262">
        <f>mvalloc!J16</f>
        <v>18</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1938</v>
      </c>
      <c r="D60" s="398">
        <f>SUM(D48:D58)</f>
        <v>1956</v>
      </c>
      <c r="E60" s="323">
        <f>SUM(E48:E58)</f>
        <v>211</v>
      </c>
      <c r="G60" s="626"/>
      <c r="H60" s="626"/>
      <c r="I60" s="626"/>
      <c r="J60" s="626"/>
      <c r="K60" s="626"/>
    </row>
    <row r="61" spans="2:11" ht="15.75">
      <c r="B61" s="98" t="s">
        <v>288</v>
      </c>
      <c r="C61" s="398">
        <f>C60+C46</f>
        <v>1998</v>
      </c>
      <c r="D61" s="398">
        <f>D60+D46</f>
        <v>3954</v>
      </c>
      <c r="E61" s="323">
        <f>E60+E46</f>
        <v>2165</v>
      </c>
      <c r="G61" s="626"/>
      <c r="H61" s="626"/>
      <c r="I61" s="626"/>
      <c r="J61" s="626"/>
      <c r="K61" s="626"/>
    </row>
    <row r="62" spans="2:11" ht="15.75">
      <c r="B62" s="80" t="s">
        <v>289</v>
      </c>
      <c r="C62" s="395"/>
      <c r="D62" s="395"/>
      <c r="E62" s="262"/>
      <c r="G62" s="626"/>
      <c r="H62" s="626"/>
      <c r="I62" s="626"/>
      <c r="J62" s="626"/>
      <c r="K62" s="626"/>
    </row>
    <row r="63" spans="2:11" ht="15.75">
      <c r="B63" s="319" t="s">
        <v>959</v>
      </c>
      <c r="C63" s="314"/>
      <c r="D63" s="314">
        <v>1000</v>
      </c>
      <c r="E63" s="171">
        <v>2000</v>
      </c>
      <c r="G63" s="626"/>
      <c r="H63" s="626"/>
      <c r="I63" s="626"/>
      <c r="J63" s="626"/>
      <c r="K63" s="626"/>
    </row>
    <row r="64" spans="2:11" ht="15.75">
      <c r="B64" s="319" t="s">
        <v>960</v>
      </c>
      <c r="C64" s="314"/>
      <c r="D64" s="314">
        <v>1000</v>
      </c>
      <c r="E64" s="171">
        <v>2075</v>
      </c>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2000</v>
      </c>
      <c r="E73" s="323">
        <f>SUM(E63:E71)</f>
        <v>4075</v>
      </c>
      <c r="G73" s="676">
        <f>D74</f>
        <v>1954</v>
      </c>
      <c r="H73" s="677" t="str">
        <f>CONCATENATE("",E1-1," Ending Cash Balance (est.)")</f>
        <v>2012 Ending Cash Balance (est.)</v>
      </c>
      <c r="I73" s="678"/>
      <c r="J73" s="713"/>
      <c r="K73" s="626"/>
    </row>
    <row r="74" spans="2:11" ht="15.75">
      <c r="B74" s="80" t="s">
        <v>71</v>
      </c>
      <c r="C74" s="399">
        <f>C61-C73</f>
        <v>1998</v>
      </c>
      <c r="D74" s="399">
        <f>D61-D73</f>
        <v>1954</v>
      </c>
      <c r="E74" s="316" t="s">
        <v>259</v>
      </c>
      <c r="G74" s="676">
        <f>E60</f>
        <v>211</v>
      </c>
      <c r="H74" s="660" t="str">
        <f>CONCATENATE("",E1," Non-AV Receipts (est.)")</f>
        <v>2013 Non-AV Receipts (est.)</v>
      </c>
      <c r="I74" s="678"/>
      <c r="J74" s="713"/>
      <c r="K74" s="626"/>
    </row>
    <row r="75" spans="2:11" ht="15.75">
      <c r="B75" s="117" t="str">
        <f>CONCATENATE("",$E$1-2,"/",$E$1-1," Budget Authority Amount:")</f>
        <v>2011/2012 Budget Authority Amount:</v>
      </c>
      <c r="C75" s="339">
        <f>inputOth!$B88</f>
        <v>2000</v>
      </c>
      <c r="D75" s="83">
        <f>inputPrYr!$D25</f>
        <v>2000</v>
      </c>
      <c r="E75" s="316" t="s">
        <v>259</v>
      </c>
      <c r="F75" s="325"/>
      <c r="G75" s="685">
        <f>IF(E79&gt;0,E78,E80)</f>
        <v>1910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4075</v>
      </c>
      <c r="H76" s="660" t="str">
        <f>CONCATENATE("Total ",E1," Resources Available")</f>
        <v>Total 2013 Resources Available</v>
      </c>
      <c r="I76" s="716"/>
      <c r="J76" s="713"/>
      <c r="K76" s="626"/>
    </row>
    <row r="77" spans="2:11" ht="15.75">
      <c r="B77" s="504" t="str">
        <f>CONCATENATE(C87,"     ",D87)</f>
        <v>     </v>
      </c>
      <c r="C77" s="820" t="s">
        <v>732</v>
      </c>
      <c r="D77" s="821"/>
      <c r="E77" s="262">
        <f>E73+E76</f>
        <v>4075</v>
      </c>
      <c r="G77" s="717"/>
      <c r="H77" s="718"/>
      <c r="I77" s="659"/>
      <c r="J77" s="713"/>
      <c r="K77" s="626"/>
    </row>
    <row r="78" spans="2:11" ht="15.75">
      <c r="B78" s="504" t="str">
        <f>CONCATENATE(C88,"     ",D88)</f>
        <v>     </v>
      </c>
      <c r="C78" s="507"/>
      <c r="D78" s="506" t="s">
        <v>292</v>
      </c>
      <c r="E78" s="182">
        <f>IF(E77-E61&gt;0,E77-E61,0)</f>
        <v>1910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4075</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1910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f>summ!H23</f>
        <v>1.133</v>
      </c>
      <c r="H83" s="677" t="str">
        <f>CONCATENATE("",E1," Fund Mill Rate")</f>
        <v>2013 Fund Mill Rate</v>
      </c>
      <c r="I83" s="701"/>
      <c r="J83" s="702"/>
      <c r="K83" s="626"/>
    </row>
    <row r="84" spans="7:11" ht="15.75">
      <c r="G84" s="704">
        <f>summ!E23</f>
        <v>1.132</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22.896</v>
      </c>
      <c r="H89" s="677" t="str">
        <f>CONCATENATE("Total ",E1," Mill Rate")</f>
        <v>Total 2013 Mill Rate</v>
      </c>
      <c r="I89" s="701"/>
      <c r="J89" s="702"/>
    </row>
    <row r="90" spans="7:10" ht="15.75">
      <c r="G90" s="704">
        <f>summ!E36</f>
        <v>21.648000000000003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65">
      <selection activeCell="A1" sqref="A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QUINCY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t="str">
        <f>inputPrYr!B27</f>
        <v>Cemetery</v>
      </c>
      <c r="C45" s="394" t="str">
        <f>C5</f>
        <v>Actual for 2011</v>
      </c>
      <c r="D45" s="394" t="str">
        <f>D5</f>
        <v>Estimate for 2012</v>
      </c>
      <c r="E45" s="79" t="str">
        <f>E5</f>
        <v>Year for 2013</v>
      </c>
      <c r="G45" s="706">
        <f>summ!H36</f>
        <v>22.896</v>
      </c>
      <c r="H45" s="677" t="str">
        <f>CONCATENATE("Total ",E1," Mill Rate")</f>
        <v>Total 2013 Mill Rate</v>
      </c>
      <c r="I45" s="701"/>
      <c r="J45" s="702"/>
      <c r="K45" s="626"/>
    </row>
    <row r="46" spans="2:11" ht="15.75">
      <c r="B46" s="80" t="s">
        <v>70</v>
      </c>
      <c r="C46" s="314">
        <v>495</v>
      </c>
      <c r="D46" s="395">
        <f>C74</f>
        <v>2085</v>
      </c>
      <c r="E46" s="262">
        <f>D74</f>
        <v>2053</v>
      </c>
      <c r="G46" s="704">
        <f>summ!E36</f>
        <v>21.648000000000003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v>1990</v>
      </c>
      <c r="D48" s="395">
        <f>IF(inputPrYr!H19&gt;0,inputPrYr!G27,inputPrYr!E27)</f>
        <v>2250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v>191</v>
      </c>
      <c r="E50" s="262">
        <f>mvalloc!G18</f>
        <v>247</v>
      </c>
      <c r="G50" s="626"/>
      <c r="H50" s="626"/>
      <c r="I50" s="626"/>
      <c r="J50" s="626"/>
      <c r="K50" s="626"/>
    </row>
    <row r="51" spans="2:11" ht="15.75">
      <c r="B51" s="80" t="s">
        <v>283</v>
      </c>
      <c r="C51" s="314"/>
      <c r="D51" s="314">
        <v>4</v>
      </c>
      <c r="E51" s="262">
        <f>mvalloc!I18</f>
        <v>4</v>
      </c>
      <c r="G51" s="626"/>
      <c r="H51" s="626"/>
      <c r="I51" s="626"/>
      <c r="J51" s="626"/>
      <c r="K51" s="626"/>
    </row>
    <row r="52" spans="2:11" ht="15.75">
      <c r="B52" s="80" t="s">
        <v>51</v>
      </c>
      <c r="C52" s="314"/>
      <c r="D52" s="314">
        <v>23</v>
      </c>
      <c r="E52" s="262">
        <f>mvalloc!J18</f>
        <v>23</v>
      </c>
      <c r="G52" s="626"/>
      <c r="H52" s="626"/>
      <c r="I52" s="626"/>
      <c r="J52" s="626"/>
      <c r="K52" s="626"/>
    </row>
    <row r="53" spans="2:11" ht="15.75">
      <c r="B53" s="319" t="s">
        <v>963</v>
      </c>
      <c r="C53" s="314"/>
      <c r="D53" s="314"/>
      <c r="E53" s="171">
        <v>2000</v>
      </c>
      <c r="G53" s="626"/>
      <c r="H53" s="626"/>
      <c r="I53" s="626"/>
      <c r="J53" s="626"/>
      <c r="K53" s="626"/>
    </row>
    <row r="54" spans="2:11" ht="15.75">
      <c r="B54" s="319"/>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1990</v>
      </c>
      <c r="D60" s="398">
        <f>SUM(D48:D58)</f>
        <v>2468</v>
      </c>
      <c r="E60" s="323">
        <f>SUM(E48:E58)</f>
        <v>2274</v>
      </c>
      <c r="G60" s="626"/>
      <c r="H60" s="626"/>
      <c r="I60" s="626"/>
      <c r="J60" s="626"/>
      <c r="K60" s="626"/>
    </row>
    <row r="61" spans="2:11" ht="15.75">
      <c r="B61" s="98" t="s">
        <v>288</v>
      </c>
      <c r="C61" s="398">
        <f>C60+C46</f>
        <v>2485</v>
      </c>
      <c r="D61" s="398">
        <f>D60+D46</f>
        <v>4553</v>
      </c>
      <c r="E61" s="323">
        <f>E60+E46</f>
        <v>4327</v>
      </c>
      <c r="G61" s="626"/>
      <c r="H61" s="626"/>
      <c r="I61" s="626"/>
      <c r="J61" s="626"/>
      <c r="K61" s="626"/>
    </row>
    <row r="62" spans="2:11" ht="15.75">
      <c r="B62" s="80" t="s">
        <v>289</v>
      </c>
      <c r="C62" s="395"/>
      <c r="D62" s="395"/>
      <c r="E62" s="262"/>
      <c r="G62" s="626"/>
      <c r="H62" s="626"/>
      <c r="I62" s="626"/>
      <c r="J62" s="626"/>
      <c r="K62" s="626"/>
    </row>
    <row r="63" spans="2:11" ht="15.75">
      <c r="B63" s="319" t="s">
        <v>961</v>
      </c>
      <c r="C63" s="314">
        <v>400</v>
      </c>
      <c r="D63" s="314">
        <v>2500</v>
      </c>
      <c r="E63" s="171">
        <v>2500</v>
      </c>
      <c r="G63" s="626"/>
      <c r="H63" s="626"/>
      <c r="I63" s="626"/>
      <c r="J63" s="626"/>
      <c r="K63" s="626"/>
    </row>
    <row r="64" spans="2:11" ht="15.75">
      <c r="B64" s="319" t="s">
        <v>962</v>
      </c>
      <c r="C64" s="314"/>
      <c r="D64" s="314"/>
      <c r="E64" s="171">
        <v>2000</v>
      </c>
      <c r="G64" s="830" t="str">
        <f>CONCATENATE("Desired Carryover Into ",E1+1,"")</f>
        <v>Desired Carryover Into 2014</v>
      </c>
      <c r="H64" s="831"/>
      <c r="I64" s="831"/>
      <c r="J64" s="832"/>
      <c r="K64" s="626"/>
    </row>
    <row r="65" spans="2:11" ht="15.75">
      <c r="B65" s="319" t="s">
        <v>964</v>
      </c>
      <c r="C65" s="314"/>
      <c r="D65" s="314"/>
      <c r="E65" s="171">
        <v>2350</v>
      </c>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400</v>
      </c>
      <c r="D73" s="398">
        <f>SUM(D63:D71)</f>
        <v>2500</v>
      </c>
      <c r="E73" s="323">
        <f>SUM(E63:E71)</f>
        <v>6850</v>
      </c>
      <c r="G73" s="676">
        <f>D74</f>
        <v>2053</v>
      </c>
      <c r="H73" s="677" t="str">
        <f>CONCATENATE("",E1-1," Ending Cash Balance (est.)")</f>
        <v>2012 Ending Cash Balance (est.)</v>
      </c>
      <c r="I73" s="678"/>
      <c r="J73" s="713"/>
      <c r="K73" s="626"/>
    </row>
    <row r="74" spans="2:11" ht="15.75">
      <c r="B74" s="80" t="s">
        <v>71</v>
      </c>
      <c r="C74" s="399">
        <f>C61-C73</f>
        <v>2085</v>
      </c>
      <c r="D74" s="399">
        <f>D61-D73</f>
        <v>2053</v>
      </c>
      <c r="E74" s="316" t="s">
        <v>259</v>
      </c>
      <c r="G74" s="676">
        <f>E60</f>
        <v>2274</v>
      </c>
      <c r="H74" s="660" t="str">
        <f>CONCATENATE("",E1," Non-AV Receipts (est.)")</f>
        <v>2013 Non-AV Receipts (est.)</v>
      </c>
      <c r="I74" s="678"/>
      <c r="J74" s="713"/>
      <c r="K74" s="626"/>
    </row>
    <row r="75" spans="2:11" ht="15.75">
      <c r="B75" s="117" t="str">
        <f>CONCATENATE("",$E$1-2,"/",$E$1-1," Budget Authority Amount:")</f>
        <v>2011/2012 Budget Authority Amount:</v>
      </c>
      <c r="C75" s="339">
        <f>inputOth!$B90</f>
        <v>2500</v>
      </c>
      <c r="D75" s="83">
        <f>inputPrYr!$D27</f>
        <v>2500</v>
      </c>
      <c r="E75" s="316" t="s">
        <v>259</v>
      </c>
      <c r="F75" s="325"/>
      <c r="G75" s="685">
        <f>IF(E79&gt;0,E78,E80)</f>
        <v>2523</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6850</v>
      </c>
      <c r="H76" s="660" t="str">
        <f>CONCATENATE("Total ",E1," Resources Available")</f>
        <v>Total 2013 Resources Available</v>
      </c>
      <c r="I76" s="716"/>
      <c r="J76" s="713"/>
      <c r="K76" s="626"/>
    </row>
    <row r="77" spans="2:11" ht="15.75">
      <c r="B77" s="504" t="str">
        <f>CONCATENATE(C87,"     ",D87)</f>
        <v>     </v>
      </c>
      <c r="C77" s="820" t="s">
        <v>732</v>
      </c>
      <c r="D77" s="821"/>
      <c r="E77" s="262">
        <f>E73+E76</f>
        <v>6850</v>
      </c>
      <c r="G77" s="717"/>
      <c r="H77" s="718"/>
      <c r="I77" s="659"/>
      <c r="J77" s="713"/>
      <c r="K77" s="626"/>
    </row>
    <row r="78" spans="2:11" ht="15.75">
      <c r="B78" s="504" t="str">
        <f>CONCATENATE(C88,"     ",D88)</f>
        <v>     </v>
      </c>
      <c r="C78" s="507"/>
      <c r="D78" s="506" t="s">
        <v>292</v>
      </c>
      <c r="E78" s="182">
        <f>IF(E77-E61&gt;0,E77-E61,0)</f>
        <v>2523</v>
      </c>
      <c r="G78" s="685">
        <f>ROUND(C73*0.05+C73,0)</f>
        <v>420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6430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2523</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f>summ!H25</f>
        <v>1.497</v>
      </c>
      <c r="H83" s="677" t="str">
        <f>CONCATENATE("",E1," Fund Mill Rate")</f>
        <v>2013 Fund Mill Rate</v>
      </c>
      <c r="I83" s="701"/>
      <c r="J83" s="702"/>
      <c r="K83" s="626"/>
    </row>
    <row r="84" spans="7:11" ht="15.75">
      <c r="G84" s="704">
        <f>summ!E25</f>
        <v>1.467</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22.896</v>
      </c>
      <c r="H89" s="677" t="str">
        <f>CONCATENATE("Total ",E1," Mill Rate")</f>
        <v>Total 2013 Mill Rate</v>
      </c>
      <c r="I89" s="701"/>
      <c r="J89" s="702"/>
    </row>
    <row r="90" spans="7:10" ht="15.75">
      <c r="G90" s="704">
        <f>summ!E36</f>
        <v>21.648000000000003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2">
      <selection activeCell="E24" sqref="E2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QUINCY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t="str">
        <f>inputPrYr!B28</f>
        <v>Neal Street Lights</v>
      </c>
      <c r="C5" s="394" t="str">
        <f>gen!C5</f>
        <v>Actual for 2011</v>
      </c>
      <c r="D5" s="394" t="str">
        <f>gen!D5</f>
        <v>Estimate for 2012</v>
      </c>
      <c r="E5" s="79" t="str">
        <f>gen!E5</f>
        <v>Year for 2013</v>
      </c>
    </row>
    <row r="6" spans="2:5" ht="15.75">
      <c r="B6" s="80" t="s">
        <v>70</v>
      </c>
      <c r="C6" s="314">
        <v>93</v>
      </c>
      <c r="D6" s="395">
        <f>C34</f>
        <v>146</v>
      </c>
      <c r="E6" s="262">
        <f>D34</f>
        <v>47</v>
      </c>
    </row>
    <row r="7" spans="2:5" ht="15.75">
      <c r="B7" s="80" t="s">
        <v>72</v>
      </c>
      <c r="C7" s="395"/>
      <c r="D7" s="395"/>
      <c r="E7" s="316"/>
    </row>
    <row r="8" spans="2:5" ht="15.75">
      <c r="B8" s="80" t="s">
        <v>280</v>
      </c>
      <c r="C8" s="314">
        <v>626</v>
      </c>
      <c r="D8" s="395">
        <f>IF(inputPrYr!H19&gt;0,inputPrYr!G28,inputPrYr!E28)</f>
        <v>487</v>
      </c>
      <c r="E8" s="316" t="s">
        <v>259</v>
      </c>
    </row>
    <row r="9" spans="2:5" ht="15.75">
      <c r="B9" s="80" t="s">
        <v>281</v>
      </c>
      <c r="C9" s="314"/>
      <c r="D9" s="314"/>
      <c r="E9" s="171"/>
    </row>
    <row r="10" spans="2:5" ht="15.75">
      <c r="B10" s="80" t="s">
        <v>282</v>
      </c>
      <c r="C10" s="314"/>
      <c r="D10" s="314">
        <v>56</v>
      </c>
      <c r="E10" s="262">
        <f>mvalloc!G19</f>
        <v>53</v>
      </c>
    </row>
    <row r="11" spans="2:5" ht="15.75">
      <c r="B11" s="80" t="s">
        <v>283</v>
      </c>
      <c r="C11" s="314"/>
      <c r="D11" s="314">
        <v>1</v>
      </c>
      <c r="E11" s="262">
        <f>mvalloc!I19</f>
        <v>1</v>
      </c>
    </row>
    <row r="12" spans="2:5" ht="15.75">
      <c r="B12" s="80" t="s">
        <v>51</v>
      </c>
      <c r="C12" s="314"/>
      <c r="D12" s="314">
        <v>7</v>
      </c>
      <c r="E12" s="262">
        <f>mvalloc!J19</f>
        <v>5</v>
      </c>
    </row>
    <row r="13" spans="2:5" ht="15.75">
      <c r="B13" s="319" t="s">
        <v>958</v>
      </c>
      <c r="C13" s="314"/>
      <c r="D13" s="314"/>
      <c r="E13" s="171">
        <v>500</v>
      </c>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626</v>
      </c>
      <c r="D20" s="398">
        <f>SUM(D8:D18)</f>
        <v>551</v>
      </c>
      <c r="E20" s="323">
        <f>SUM(E8:E18)</f>
        <v>559</v>
      </c>
    </row>
    <row r="21" spans="2:5" ht="15.75">
      <c r="B21" s="98" t="s">
        <v>288</v>
      </c>
      <c r="C21" s="398">
        <f>C20+C6</f>
        <v>719</v>
      </c>
      <c r="D21" s="398">
        <f>D20+D6</f>
        <v>697</v>
      </c>
      <c r="E21" s="323">
        <f>E20+E6</f>
        <v>606</v>
      </c>
    </row>
    <row r="22" spans="2:5" ht="15.75">
      <c r="B22" s="80" t="s">
        <v>289</v>
      </c>
      <c r="C22" s="395"/>
      <c r="D22" s="395"/>
      <c r="E22" s="262"/>
    </row>
    <row r="23" spans="2:5" ht="15.75">
      <c r="B23" s="319" t="s">
        <v>966</v>
      </c>
      <c r="C23" s="314">
        <v>573</v>
      </c>
      <c r="D23" s="314">
        <v>650</v>
      </c>
      <c r="E23" s="171">
        <v>650</v>
      </c>
    </row>
    <row r="24" spans="2:11" ht="15.75">
      <c r="B24" s="319" t="s">
        <v>965</v>
      </c>
      <c r="C24" s="314"/>
      <c r="D24" s="314"/>
      <c r="E24" s="171">
        <v>500</v>
      </c>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573</v>
      </c>
      <c r="D33" s="398">
        <f>SUM(D23:D31)</f>
        <v>650</v>
      </c>
      <c r="E33" s="323">
        <f>SUM(E23:E31)</f>
        <v>1150</v>
      </c>
      <c r="G33" s="676">
        <f>D34</f>
        <v>47</v>
      </c>
      <c r="H33" s="677" t="str">
        <f>CONCATENATE("",E1-1," Ending Cash Balance (est.)")</f>
        <v>2012 Ending Cash Balance (est.)</v>
      </c>
      <c r="I33" s="678"/>
      <c r="J33" s="673"/>
      <c r="K33" s="626"/>
    </row>
    <row r="34" spans="2:11" ht="15.75">
      <c r="B34" s="80" t="s">
        <v>71</v>
      </c>
      <c r="C34" s="399">
        <f>C21-C33</f>
        <v>146</v>
      </c>
      <c r="D34" s="399">
        <f>D21-D33</f>
        <v>47</v>
      </c>
      <c r="E34" s="316" t="s">
        <v>259</v>
      </c>
      <c r="G34" s="676">
        <f>E20</f>
        <v>559</v>
      </c>
      <c r="H34" s="660" t="str">
        <f>CONCATENATE("",E1," Non-AV Receipts (est.)")</f>
        <v>2013 Non-AV Receipts (est.)</v>
      </c>
      <c r="I34" s="678"/>
      <c r="J34" s="673"/>
      <c r="K34" s="626"/>
    </row>
    <row r="35" spans="2:11" ht="15.75">
      <c r="B35" s="117" t="str">
        <f>CONCATENATE("",$E$1-2,"/",$E$1-1," Budget Authority Amount:")</f>
        <v>2011/2012 Budget Authority Amount:</v>
      </c>
      <c r="C35" s="339">
        <f>inputOth!$B91</f>
        <v>550</v>
      </c>
      <c r="D35" s="83">
        <f>inputPrYr!$D28</f>
        <v>650</v>
      </c>
      <c r="E35" s="316" t="s">
        <v>259</v>
      </c>
      <c r="F35" s="325"/>
      <c r="G35" s="685">
        <f>IF(E39&gt;0,E38,E40)</f>
        <v>544</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1150</v>
      </c>
      <c r="H36" s="660" t="str">
        <f>CONCATENATE("Total ",E1," Resources Available")</f>
        <v>Total 2013 Resources Available</v>
      </c>
      <c r="I36" s="678"/>
      <c r="J36" s="673"/>
      <c r="K36" s="626"/>
    </row>
    <row r="37" spans="2:11" ht="15.75">
      <c r="B37" s="504" t="str">
        <f>CONCATENATE(C85,"     ",D85)</f>
        <v>See Tab A     </v>
      </c>
      <c r="C37" s="820" t="s">
        <v>732</v>
      </c>
      <c r="D37" s="821"/>
      <c r="E37" s="262">
        <f>E33+E36</f>
        <v>1150</v>
      </c>
      <c r="G37" s="689"/>
      <c r="H37" s="660"/>
      <c r="I37" s="660"/>
      <c r="J37" s="673"/>
      <c r="K37" s="626"/>
    </row>
    <row r="38" spans="2:11" ht="15.75">
      <c r="B38" s="504" t="str">
        <f>CONCATENATE(C86,"     ",D86)</f>
        <v>     </v>
      </c>
      <c r="C38" s="507"/>
      <c r="D38" s="506" t="s">
        <v>292</v>
      </c>
      <c r="E38" s="182">
        <f>IF(E37-E21&gt;0,E37-E21,0)</f>
        <v>544</v>
      </c>
      <c r="G38" s="685">
        <f>C33*0.05+C33</f>
        <v>601.65</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548.35</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544</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f>summ!H26</f>
        <v>6.63</v>
      </c>
      <c r="H43" s="677" t="str">
        <f>CONCATENATE("",E1," Fund Mill Rate")</f>
        <v>2013 Fund Mill Rate</v>
      </c>
      <c r="I43" s="701"/>
      <c r="J43" s="702"/>
      <c r="K43" s="626"/>
    </row>
    <row r="44" spans="2:11" ht="15.75">
      <c r="B44" s="65"/>
      <c r="C44" s="393" t="s">
        <v>275</v>
      </c>
      <c r="D44" s="396" t="s">
        <v>276</v>
      </c>
      <c r="E44" s="74" t="s">
        <v>277</v>
      </c>
      <c r="G44" s="704">
        <f>summ!E26</f>
        <v>5.814</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22.896</v>
      </c>
      <c r="H45" s="677" t="str">
        <f>CONCATENATE("Total ",E1," Mill Rate")</f>
        <v>Total 2013 Mill Rate</v>
      </c>
      <c r="I45" s="701"/>
      <c r="J45" s="702"/>
      <c r="K45" s="626"/>
    </row>
    <row r="46" spans="2:11" ht="15.75">
      <c r="B46" s="80" t="s">
        <v>70</v>
      </c>
      <c r="C46" s="314"/>
      <c r="D46" s="395">
        <f>C74</f>
        <v>0</v>
      </c>
      <c r="E46" s="262">
        <f>D74</f>
        <v>0</v>
      </c>
      <c r="G46" s="704">
        <f>summ!E36</f>
        <v>21.648000000000003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t="str">
        <f>inputOth!$B92</f>
        <v>.</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t="str">
        <f>IF(C33&gt;C35,"See Tab A","")</f>
        <v>See Tab A</v>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22.896</v>
      </c>
      <c r="H89" s="677" t="str">
        <f>CONCATENATE("Total ",E1," Mill Rate")</f>
        <v>Total 2013 Mill Rate</v>
      </c>
      <c r="I89" s="701"/>
      <c r="J89" s="702"/>
    </row>
    <row r="90" spans="7:10" ht="15.75">
      <c r="G90" s="704">
        <f>summ!E36</f>
        <v>21.648000000000003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113"/>
  <sheetViews>
    <sheetView zoomScale="75" zoomScaleNormal="75" zoomScalePageLayoutView="0" workbookViewId="0" topLeftCell="A37">
      <selection activeCell="H21" sqref="H2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301</v>
      </c>
      <c r="G3" s="72" t="s">
        <v>302</v>
      </c>
      <c r="H3" s="65"/>
    </row>
    <row r="4" spans="1:8" ht="15.75">
      <c r="A4" s="799" t="s">
        <v>303</v>
      </c>
      <c r="B4" s="799"/>
      <c r="C4" s="799"/>
      <c r="D4" s="799"/>
      <c r="E4" s="799"/>
      <c r="F4" s="799"/>
      <c r="G4" s="799"/>
      <c r="H4" s="799"/>
    </row>
    <row r="5" spans="1:8" ht="15.75">
      <c r="A5" s="802" t="str">
        <f>inputPrYr!D3</f>
        <v>QUINCY TOWNSHIP</v>
      </c>
      <c r="B5" s="802"/>
      <c r="C5" s="802"/>
      <c r="D5" s="802"/>
      <c r="E5" s="802"/>
      <c r="F5" s="802"/>
      <c r="G5" s="802"/>
      <c r="H5" s="802"/>
    </row>
    <row r="6" spans="1:8" ht="15.75">
      <c r="A6" s="802" t="str">
        <f>inputPrYr!D4</f>
        <v>GREENWOOD COUNTY</v>
      </c>
      <c r="B6" s="802"/>
      <c r="C6" s="802"/>
      <c r="D6" s="802"/>
      <c r="E6" s="802"/>
      <c r="F6" s="802"/>
      <c r="G6" s="802"/>
      <c r="H6" s="802"/>
    </row>
    <row r="7" spans="1:8" ht="15.75">
      <c r="A7" s="855" t="str">
        <f>CONCATENATE("will meet on ",inputBudSum!B8," at ",inputBudSum!B10," at ",inputBudSum!B12," for the purpose of hearing and")</f>
        <v>will meet on August 16, 2012 at 8:00 am at Citizens State Bank - Madison, Kansas for the purpose of hearing and</v>
      </c>
      <c r="B7" s="855"/>
      <c r="C7" s="855"/>
      <c r="D7" s="855"/>
      <c r="E7" s="855"/>
      <c r="F7" s="855"/>
      <c r="G7" s="855"/>
      <c r="H7" s="855"/>
    </row>
    <row r="8" spans="1:8" ht="15.75">
      <c r="A8" s="799" t="s">
        <v>412</v>
      </c>
      <c r="B8" s="801"/>
      <c r="C8" s="801"/>
      <c r="D8" s="801"/>
      <c r="E8" s="801"/>
      <c r="F8" s="801"/>
      <c r="G8" s="801"/>
      <c r="H8" s="801"/>
    </row>
    <row r="9" spans="1:8" ht="15.75">
      <c r="A9" s="797" t="str">
        <f>CONCATENATE("Detailed budget information is available at ",inputBudSum!B15," and will be available at this hearing.")</f>
        <v>Detailed budget information is available at Citizens State Bank - Madison, Kansas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75">
      <c r="A16" s="75"/>
      <c r="B16" s="76"/>
      <c r="C16" s="76" t="s">
        <v>305</v>
      </c>
      <c r="D16" s="76"/>
      <c r="E16" s="76" t="s">
        <v>305</v>
      </c>
      <c r="F16" s="500" t="s">
        <v>177</v>
      </c>
      <c r="G16" s="853"/>
      <c r="H16" s="76" t="s">
        <v>305</v>
      </c>
      <c r="I16" s="199"/>
    </row>
    <row r="17" spans="1:10" ht="15.75">
      <c r="A17" s="79" t="s">
        <v>255</v>
      </c>
      <c r="B17" s="79" t="s">
        <v>306</v>
      </c>
      <c r="C17" s="79" t="s">
        <v>307</v>
      </c>
      <c r="D17" s="79" t="s">
        <v>306</v>
      </c>
      <c r="E17" s="79" t="s">
        <v>307</v>
      </c>
      <c r="F17" s="499" t="s">
        <v>730</v>
      </c>
      <c r="G17" s="854"/>
      <c r="H17" s="79" t="s">
        <v>307</v>
      </c>
      <c r="I17" s="199"/>
      <c r="J17" s="532"/>
    </row>
    <row r="18" spans="1:10" ht="15.75">
      <c r="A18" s="90" t="str">
        <f>inputPrYr!B20</f>
        <v>General</v>
      </c>
      <c r="B18" s="90">
        <f>IF(gen!$C$50&lt;&gt;0,gen!$C$50,"  ")</f>
        <v>444</v>
      </c>
      <c r="C18" s="93">
        <f>IF(inputPrYr!D49&gt;0,inputPrYr!D49,"  ")</f>
        <v>1.086</v>
      </c>
      <c r="D18" s="90">
        <f>IF(gen!$D$50&lt;&gt;0,gen!$D$50,"  ")</f>
        <v>1800</v>
      </c>
      <c r="E18" s="93">
        <f>IF(inputOth!D37&gt;0,inputOth!D37,"  ")</f>
        <v>0.823</v>
      </c>
      <c r="F18" s="90">
        <f>IF(gen!$E$50&lt;&gt;0,gen!$E$50,"  ")</f>
        <v>3350</v>
      </c>
      <c r="G18" s="90">
        <f>IF(gen!$E$57&lt;&gt;0,gen!$E$57,"")</f>
        <v>1468</v>
      </c>
      <c r="H18" s="93">
        <f>IF(gen!E57&gt;0,ROUND(G18/F40*1000,3)," ")</f>
        <v>0.871</v>
      </c>
      <c r="I18" s="199"/>
      <c r="J18" s="532"/>
    </row>
    <row r="19" spans="1:9" ht="15.75">
      <c r="A19" s="90" t="s">
        <v>314</v>
      </c>
      <c r="B19" s="90" t="str">
        <f>IF('Not Used'!C33&lt;&gt;0,'Not Used'!C33,"  ")</f>
        <v>  </v>
      </c>
      <c r="C19" s="93" t="str">
        <f>IF(inputPrYr!D50&gt;0,inputPrYr!D50,"  ")</f>
        <v>  </v>
      </c>
      <c r="D19" s="90" t="str">
        <f>IF('Not Used'!D33&lt;&gt;0,'Not Used'!D33,"  ")</f>
        <v>  </v>
      </c>
      <c r="E19" s="93" t="str">
        <f>IF(inputOth!D38&gt;0,inputOth!D38,"  ")</f>
        <v>  </v>
      </c>
      <c r="F19" s="90" t="str">
        <f>IF('Not Used'!E33&lt;&gt;0,'Not Used'!E33,"  ")</f>
        <v>  </v>
      </c>
      <c r="G19" s="90" t="str">
        <f>IF('Not Used'!E40&lt;&gt;0,'Not Used'!E40," ")</f>
        <v> </v>
      </c>
      <c r="H19" s="93" t="str">
        <f>IF('Not Used'!E40&gt;0,ROUND(G19/F40*1000,3)," ")</f>
        <v> </v>
      </c>
      <c r="I19" s="199"/>
    </row>
    <row r="20" spans="1:9" ht="15.75">
      <c r="A20" s="90" t="str">
        <f>IF(inputPrYr!$B22&gt;"  ",inputPrYr!$B22,"  ")</f>
        <v>Library</v>
      </c>
      <c r="B20" s="90" t="str">
        <f>IF('Not Used'!C73&lt;&gt;0,'Not Used'!C73,"  ")</f>
        <v>  </v>
      </c>
      <c r="C20" s="93" t="str">
        <f>IF(inputPrYr!D51&gt;0,inputPrYr!D51,"  ")</f>
        <v>  </v>
      </c>
      <c r="D20" s="90" t="str">
        <f>IF('Not Used'!D73&lt;&gt;0,'Not Used'!D73,"  ")</f>
        <v>  </v>
      </c>
      <c r="E20" s="93" t="str">
        <f>IF(inputOth!D39&gt;0,inputOth!D39,"  ")</f>
        <v>  </v>
      </c>
      <c r="F20" s="90" t="str">
        <f>IF('Not Used'!E73&lt;&gt;0,'Not Used'!E73,"  ")</f>
        <v>  </v>
      </c>
      <c r="G20" s="90" t="str">
        <f>IF('Not Used'!E80&lt;&gt;0,'Not Used'!E80," ")</f>
        <v> </v>
      </c>
      <c r="H20" s="93" t="str">
        <f>IF('Not Used'!E80&gt;0,ROUND(G20/F40*1000,3)," ")</f>
        <v> </v>
      </c>
      <c r="I20" s="199"/>
    </row>
    <row r="21" spans="1:8" ht="15.75">
      <c r="A21" s="90" t="str">
        <f>IF(inputPrYr!$B23&gt;"  ",inputPrYr!$B23,"  ")</f>
        <v>Road</v>
      </c>
      <c r="B21" s="90">
        <f>IF(road!$C$43&lt;&gt;0,road!$C$43,"  ")</f>
        <v>17857</v>
      </c>
      <c r="C21" s="93">
        <f>IF(inputPrYr!D52&gt;0,inputPrYr!D52,"  ")</f>
        <v>12.799</v>
      </c>
      <c r="D21" s="90">
        <f>IF(road!$D$43&lt;&gt;0,road!$D$43,"  ")</f>
        <v>35500</v>
      </c>
      <c r="E21" s="93">
        <f>IF(inputOth!D40&gt;0,inputOth!D40,"  ")</f>
        <v>12.412</v>
      </c>
      <c r="F21" s="90">
        <f>IF(road!$E$43&lt;&gt;0,road!$E$43,"  ")</f>
        <v>47000</v>
      </c>
      <c r="G21" s="90">
        <f>IF(road!$E$50&lt;&gt;0,road!$E$50,"  ")</f>
        <v>21518</v>
      </c>
      <c r="H21" s="93">
        <f>IF(road!E50&gt;0,ROUND(G21/F40*1000,3)," ")</f>
        <v>12.765</v>
      </c>
    </row>
    <row r="22" spans="1:8" ht="15.75">
      <c r="A22" s="90" t="str">
        <f>IF(inputPrYr!$B24&gt;"  ",inputPrYr!$B24,"  ")</f>
        <v>Special Road</v>
      </c>
      <c r="B22" s="90" t="str">
        <f>IF(Noxious!$C$33&lt;&gt;0,Noxious!$C$33,"  ")</f>
        <v>  </v>
      </c>
      <c r="C22" s="93" t="str">
        <f>IF(inputPrYr!D53&gt;0,inputPrYr!D53,"  ")</f>
        <v>  </v>
      </c>
      <c r="D22" s="90" t="str">
        <f>IF(Noxious!$D$33&lt;&gt;0,Noxious!$D$33,"  ")</f>
        <v>  </v>
      </c>
      <c r="E22" s="93" t="str">
        <f>IF(inputOth!D41&gt;0,inputOth!D41,"  ")</f>
        <v>  </v>
      </c>
      <c r="F22" s="90" t="str">
        <f>IF(Noxious!$E$33&lt;&gt;0,Noxious!$E$33,"  ")</f>
        <v>  </v>
      </c>
      <c r="G22" s="90" t="str">
        <f>IF(Noxious!$E$40&lt;&gt;0,Noxious!$E$40,"  ")</f>
        <v>  </v>
      </c>
      <c r="H22" s="93" t="str">
        <f>IF(Noxious!E40&gt;0,ROUND(G22/F41*1000,3)," ")</f>
        <v> </v>
      </c>
    </row>
    <row r="23" spans="1:8" ht="15.75">
      <c r="A23" s="90" t="str">
        <f>IF(inputPrYr!$B25&gt;"  ",inputPrYr!$B25,"  ")</f>
        <v>Noxious Weed</v>
      </c>
      <c r="B23" s="90" t="str">
        <f>IF(Noxious!$C$73&lt;&gt;0,Noxious!$C$73,"  ")</f>
        <v>  </v>
      </c>
      <c r="C23" s="93">
        <f>IF(inputPrYr!D54&gt;0,inputPrYr!D54,"  ")</f>
        <v>1.156</v>
      </c>
      <c r="D23" s="90">
        <f>IF(Noxious!$D$73&lt;&gt;0,Noxious!$D$73,"  ")</f>
        <v>2000</v>
      </c>
      <c r="E23" s="93">
        <f>IF(inputOth!D42&gt;0,inputOth!D42,"  ")</f>
        <v>1.132</v>
      </c>
      <c r="F23" s="90">
        <f>IF(Noxious!$E$73&lt;&gt;0,Noxious!$E$73,"  ")</f>
        <v>4075</v>
      </c>
      <c r="G23" s="90">
        <f>IF(Noxious!$E$80&lt;&gt;0,Noxious!$E$80,"  ")</f>
        <v>1910</v>
      </c>
      <c r="H23" s="93">
        <f>IF(Noxious!E80&gt;0,ROUND(G23/F40*1000,3)," ")</f>
        <v>1.133</v>
      </c>
    </row>
    <row r="24" spans="1:13" ht="15.75">
      <c r="A24" s="90" t="str">
        <f>IF(inputPrYr!$B26&gt;"  ",inputPrYr!$B26,"  ")</f>
        <v>Fire Protection</v>
      </c>
      <c r="B24" s="90" t="str">
        <f>IF(Cemetery!$C$33&lt;&gt;0,Cemetery!$C$33,"  ")</f>
        <v>  </v>
      </c>
      <c r="C24" s="93" t="str">
        <f>IF(inputPrYr!D55&gt;0,inputPrYr!D55,"  ")</f>
        <v>  </v>
      </c>
      <c r="D24" s="90" t="str">
        <f>IF(Cemetery!$D$33&lt;&gt;0,Cemetery!$D$33,"  ")</f>
        <v>  </v>
      </c>
      <c r="E24" s="93" t="str">
        <f>IF(inputOth!D43&gt;0,inputOth!D43,"  ")</f>
        <v>  </v>
      </c>
      <c r="F24" s="90" t="str">
        <f>IF(Cemetery!$E$33&lt;&gt;0,Cemetery!$E$33,"  ")</f>
        <v>  </v>
      </c>
      <c r="G24" s="90" t="str">
        <f>IF(Cemetery!$E$40&lt;&gt;0,Cemetery!$E$40,"  ")</f>
        <v>  </v>
      </c>
      <c r="H24" s="93" t="str">
        <f>IF(Cemetery!E40&gt;0,ROUND(G24/F41*1000,3)," ")</f>
        <v> </v>
      </c>
      <c r="J24" s="845" t="str">
        <f>CONCATENATE("Estimated Value Of One Mill For ",H1,"")</f>
        <v>Estimated Value Of One Mill For 2013</v>
      </c>
      <c r="K24" s="850"/>
      <c r="L24" s="850"/>
      <c r="M24" s="851"/>
    </row>
    <row r="25" spans="1:13" ht="15.75">
      <c r="A25" s="90" t="str">
        <f>IF(inputPrYr!$B27&gt;"  ",inputPrYr!$B27,"  ")</f>
        <v>Cemetery</v>
      </c>
      <c r="B25" s="90">
        <f>IF(Cemetery!$C$73&lt;&gt;0,Cemetery!$C$73,"  ")</f>
        <v>400</v>
      </c>
      <c r="C25" s="93">
        <f>IF(inputPrYr!D56&gt;0,inputPrYr!D56,"  ")</f>
        <v>1.152</v>
      </c>
      <c r="D25" s="90">
        <f>IF(Cemetery!$D$73&lt;&gt;0,Cemetery!$D$73,"  ")</f>
        <v>2500</v>
      </c>
      <c r="E25" s="93">
        <f>IF(inputOth!D44&gt;0,inputOth!D44,"  ")</f>
        <v>1.467</v>
      </c>
      <c r="F25" s="90">
        <f>IF(Cemetery!$E$73&lt;&gt;0,Cemetery!$E$73,"  ")</f>
        <v>6850</v>
      </c>
      <c r="G25" s="90">
        <f>IF(Cemetery!$E$80&lt;&gt;0,Cemetery!$E$80,"  ")</f>
        <v>2523</v>
      </c>
      <c r="H25" s="93">
        <f>IF(Cemetery!E80&gt;0,ROUND(G25/F40*1000,3)," ")</f>
        <v>1.497</v>
      </c>
      <c r="J25" s="531"/>
      <c r="K25" s="530"/>
      <c r="L25" s="530"/>
      <c r="M25" s="529"/>
    </row>
    <row r="26" spans="1:13" ht="15.75">
      <c r="A26" s="90" t="str">
        <f>IF(inputPrYr!$B28&gt;"  ",inputPrYr!$B28,"  ")</f>
        <v>Neal Street Lights</v>
      </c>
      <c r="B26" s="90">
        <f>IF('Neal Lights'!$C$33&lt;&gt;0,'Neal Lights'!$C$33,"  ")</f>
        <v>573</v>
      </c>
      <c r="C26" s="93">
        <f>IF(inputPrYr!D57&gt;0,inputPrYr!D57,"  ")</f>
        <v>5.74</v>
      </c>
      <c r="D26" s="90">
        <f>IF('Neal Lights'!$D$33&lt;&gt;0,'Neal Lights'!$D$33,"  ")</f>
        <v>650</v>
      </c>
      <c r="E26" s="93">
        <f>IF(inputOth!D45&gt;0,inputOth!D45,"  ")</f>
        <v>5.814</v>
      </c>
      <c r="F26" s="90">
        <f>IF('Neal Lights'!$E$33&lt;&gt;0,'Neal Lights'!$E$33,"  ")</f>
        <v>1150</v>
      </c>
      <c r="G26" s="90">
        <f>IF('Neal Lights'!$E$40&lt;&gt;0,'Neal Lights'!$E$40,"  ")</f>
        <v>544</v>
      </c>
      <c r="H26" s="93">
        <f>IF('Neal Lights'!E40&gt;0,ROUND(G26/F41*1000,3)," ")</f>
        <v>6.63</v>
      </c>
      <c r="J26" s="510" t="s">
        <v>742</v>
      </c>
      <c r="K26" s="71"/>
      <c r="L26" s="71"/>
      <c r="M26" s="526">
        <f>ROUND(F40/1000,0)</f>
        <v>1686</v>
      </c>
    </row>
    <row r="27" spans="1:13" ht="15.75">
      <c r="A27" s="90" t="str">
        <f>IF(inputPrYr!$B29&gt;"  ",inputPrYr!$B29,"  ")</f>
        <v>  </v>
      </c>
      <c r="B27" s="90" t="str">
        <f>IF('Neal Lights'!$C$73&lt;&gt;0,'Neal Lights'!$C$73,"  ")</f>
        <v>  </v>
      </c>
      <c r="C27" s="93" t="str">
        <f>IF(inputPrYr!D58&gt;0,inputPrYr!D58,"  ")</f>
        <v>  </v>
      </c>
      <c r="D27" s="90" t="str">
        <f>IF('Neal Lights'!$D$73&lt;&gt;0,'Neal Lights'!$D$73,"  ")</f>
        <v>  </v>
      </c>
      <c r="E27" s="93" t="str">
        <f>IF(inputOth!D46&gt;0,inputOth!D46,"  ")</f>
        <v>  </v>
      </c>
      <c r="F27" s="90" t="str">
        <f>IF('Neal Lights'!$E$73&lt;&gt;0,'Neal Lights'!$E$73,"  ")</f>
        <v>  </v>
      </c>
      <c r="G27" s="90" t="str">
        <f>IF('Neal Lights'!$E$80&lt;&gt;0,'Neal Lights'!$E$80,"  ")</f>
        <v>  </v>
      </c>
      <c r="H27" s="93" t="str">
        <f>IF('Neal Lights'!E80&gt;0,ROUND(G27/F40*1000,3)," ")</f>
        <v> </v>
      </c>
      <c r="J27" s="528" t="s">
        <v>743</v>
      </c>
      <c r="K27" s="527"/>
      <c r="L27" s="527"/>
      <c r="M27" s="526">
        <f>ROUND(F41/1000,0)</f>
        <v>82</v>
      </c>
    </row>
    <row r="28" spans="1:8" ht="15.75">
      <c r="A28" s="90" t="str">
        <f>IF(inputPrYr!$B30&gt;"  ",inputPrYr!$B30,"  ")</f>
        <v>  </v>
      </c>
      <c r="B28" s="90" t="str">
        <f>IF('No Use'!$C$33&lt;&gt;0,'No Use'!$C$33,"  ")</f>
        <v>  </v>
      </c>
      <c r="C28" s="93" t="str">
        <f>IF(inputPrYr!D59&gt;0,inputPrYr!D59,"  ")</f>
        <v>  </v>
      </c>
      <c r="D28" s="90" t="str">
        <f>IF('No Use'!$D$33&lt;&gt;0,'No Use'!$D$33,"  ")</f>
        <v>  </v>
      </c>
      <c r="E28" s="93" t="str">
        <f>IF(inputOth!D47&gt;0,inputOth!D47,"  ")</f>
        <v>  </v>
      </c>
      <c r="F28" s="90" t="str">
        <f>IF('No Use'!$E$33&lt;&gt;0,'No Use'!$E$33,"  ")</f>
        <v>  </v>
      </c>
      <c r="G28" s="90" t="str">
        <f>IF('No Use'!$E$40&lt;&gt;0,'No Use'!$E$40,"  ")</f>
        <v>  </v>
      </c>
      <c r="H28" s="93" t="str">
        <f>IF('No Use'!E40&gt;0,ROUND(G28/F40*1000,3)," ")</f>
        <v> </v>
      </c>
    </row>
    <row r="29" spans="1:13" ht="15.75">
      <c r="A29" s="90" t="str">
        <f>IF(inputPrYr!$B31&gt;"  ",inputPrYr!$B31,"  ")</f>
        <v>  </v>
      </c>
      <c r="B29" s="90" t="str">
        <f>IF('No Use'!$C$73&lt;&gt;0,'No Use'!$C$73,"  ")</f>
        <v>  </v>
      </c>
      <c r="C29" s="93" t="str">
        <f>IF(inputPrYr!D60&gt;0,inputPrYr!D60,"  ")</f>
        <v>  </v>
      </c>
      <c r="D29" s="90" t="str">
        <f>IF('No Use'!$D$73&lt;&gt;0,'No Use'!$D$73,"  ")</f>
        <v>  </v>
      </c>
      <c r="E29" s="93" t="str">
        <f>IF(inputOth!D48&gt;0,inputOth!D48,"  ")</f>
        <v>  </v>
      </c>
      <c r="F29" s="90" t="str">
        <f>IF('No Use'!$E$73&lt;&gt;0,'No Use'!$E$73,"  ")</f>
        <v>  </v>
      </c>
      <c r="G29" s="90" t="str">
        <f>IF('No Use'!$E$80&lt;&gt;0,'No Use'!$E$80,"  ")</f>
        <v>  </v>
      </c>
      <c r="H29" s="93" t="str">
        <f>IF('No Use'!E80&gt;0,ROUND(G29/F40*1000,3)," ")</f>
        <v> </v>
      </c>
      <c r="I29" s="532"/>
      <c r="J29" s="845" t="str">
        <f>CONCATENATE("Want The Mill Rate The Same As For ",H1-1,"?")</f>
        <v>Want The Mill Rate The Same As For 2012?</v>
      </c>
      <c r="K29" s="846"/>
      <c r="L29" s="846"/>
      <c r="M29" s="847"/>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21.648000000000003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-22317</v>
      </c>
    </row>
    <row r="34" spans="1:13" ht="15.75">
      <c r="A34" s="90" t="str">
        <f>IF((inputPrYr!$B41&gt;"  "),(nonbud!$A3),"  ")</f>
        <v>  </v>
      </c>
      <c r="B34" s="746" t="str">
        <f>IF((nonbud!$K$28)&lt;&gt;0,(nonbud!$K$28),"  ")</f>
        <v>  </v>
      </c>
      <c r="C34" s="339"/>
      <c r="D34" s="90"/>
      <c r="E34" s="93"/>
      <c r="F34" s="90"/>
      <c r="G34" s="90"/>
      <c r="H34" s="93"/>
      <c r="J34" s="519" t="s">
        <v>750</v>
      </c>
      <c r="K34" s="516"/>
      <c r="L34" s="516"/>
      <c r="M34" s="518">
        <f>M46*-1</f>
        <v>9126</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19274</v>
      </c>
      <c r="C36" s="481">
        <f t="shared" si="0"/>
        <v>21.933</v>
      </c>
      <c r="D36" s="480">
        <f t="shared" si="0"/>
        <v>42450</v>
      </c>
      <c r="E36" s="481">
        <f t="shared" si="0"/>
        <v>21.648000000000003</v>
      </c>
      <c r="F36" s="480">
        <f t="shared" si="0"/>
        <v>62425</v>
      </c>
      <c r="G36" s="480">
        <f t="shared" si="0"/>
        <v>27963</v>
      </c>
      <c r="H36" s="481">
        <f t="shared" si="0"/>
        <v>22.896</v>
      </c>
      <c r="J36" s="845" t="str">
        <f>CONCATENATE("Impact On Keeping The Same Mill Rate As For ",H1-1,"")</f>
        <v>Impact On Keeping The Same Mill Rate As For 2012</v>
      </c>
      <c r="K36" s="848"/>
      <c r="L36" s="848"/>
      <c r="M36" s="849"/>
    </row>
    <row r="37" spans="1:13" ht="15.75">
      <c r="A37" s="105" t="s">
        <v>308</v>
      </c>
      <c r="B37" s="90">
        <f>transfer!C29</f>
        <v>0</v>
      </c>
      <c r="C37" s="65"/>
      <c r="D37" s="90">
        <f>transfer!D29</f>
        <v>8875</v>
      </c>
      <c r="E37" s="208"/>
      <c r="F37" s="90">
        <f>transfer!E29</f>
        <v>0</v>
      </c>
      <c r="G37" s="65"/>
      <c r="H37" s="65"/>
      <c r="J37" s="525"/>
      <c r="K37" s="530"/>
      <c r="L37" s="530"/>
      <c r="M37" s="524"/>
    </row>
    <row r="38" spans="1:13" ht="16.5" thickBot="1">
      <c r="A38" s="105" t="s">
        <v>309</v>
      </c>
      <c r="B38" s="484">
        <f>B36-B37</f>
        <v>19274</v>
      </c>
      <c r="C38" s="65"/>
      <c r="D38" s="484">
        <f>D36-D37</f>
        <v>33575</v>
      </c>
      <c r="E38" s="65"/>
      <c r="F38" s="484">
        <f>F36-F37</f>
        <v>62425</v>
      </c>
      <c r="G38" s="65"/>
      <c r="H38" s="65"/>
      <c r="J38" s="525" t="str">
        <f>CONCATENATE("",H1," Ad Valorem Tax Rev(Township Only):")</f>
        <v>2013 Ad Valorem Tax Rev(Township Only):</v>
      </c>
      <c r="K38" s="530"/>
      <c r="L38" s="530"/>
      <c r="M38" s="529">
        <f>SUM(G21:G24)</f>
        <v>23428</v>
      </c>
    </row>
    <row r="39" spans="1:13" ht="16.5" thickTop="1">
      <c r="A39" s="105" t="s">
        <v>0</v>
      </c>
      <c r="B39" s="231">
        <f>inputPrYr!E63</f>
        <v>24629</v>
      </c>
      <c r="C39" s="208"/>
      <c r="D39" s="231">
        <f>inputPrYr!E32</f>
        <v>24778</v>
      </c>
      <c r="E39" s="65"/>
      <c r="F39" s="485" t="s">
        <v>259</v>
      </c>
      <c r="G39" s="65"/>
      <c r="H39" s="65"/>
      <c r="J39" s="525" t="str">
        <f>CONCATENATE("",H1," Ad Valorem Tax Rev(Township Tot):")</f>
        <v>2013 Ad Valorem Tax Rev(Township Tot):</v>
      </c>
      <c r="K39" s="530"/>
      <c r="L39" s="530"/>
      <c r="M39" s="543">
        <f>SUM(G18,G19,G20,G25,G26,G27,G28,G29)</f>
        <v>4535</v>
      </c>
    </row>
    <row r="40" spans="1:13" ht="15.75">
      <c r="A40" s="105" t="s">
        <v>184</v>
      </c>
      <c r="B40" s="90">
        <f>inputPrYr!E64</f>
        <v>1490133</v>
      </c>
      <c r="C40" s="208"/>
      <c r="D40" s="90">
        <f>inputOth!E55</f>
        <v>1617889</v>
      </c>
      <c r="E40" s="208"/>
      <c r="F40" s="90">
        <f>inputOth!E11</f>
        <v>1685761</v>
      </c>
      <c r="G40" s="65"/>
      <c r="H40" s="65"/>
      <c r="J40" s="525" t="str">
        <f>CONCATENATE("Total ",H1," Ad Valorem Tax Revenue:")</f>
        <v>Total 2013 Ad Valorem Tax Revenue:</v>
      </c>
      <c r="K40" s="511"/>
      <c r="L40" s="511"/>
      <c r="M40" s="544">
        <f>M38+M39</f>
        <v>27963</v>
      </c>
    </row>
    <row r="41" spans="1:14" ht="15.75">
      <c r="A41" s="80" t="s">
        <v>239</v>
      </c>
      <c r="B41" s="209"/>
      <c r="C41" s="65"/>
      <c r="D41" s="178"/>
      <c r="E41" s="65"/>
      <c r="F41" s="90">
        <v>82056</v>
      </c>
      <c r="G41" s="65"/>
      <c r="H41" s="65"/>
      <c r="J41" s="525" t="str">
        <f>CONCATENATE("",H1-1," Ad Valorem Tax Rev(Township Only):")</f>
        <v>2012 Ad Valorem Tax Rev(Township Only):</v>
      </c>
      <c r="K41" s="530"/>
      <c r="L41" s="530"/>
      <c r="M41" s="545">
        <f>ROUND(SUM(E21:E24)*F41/1000,0)</f>
        <v>1111</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13661</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14772</v>
      </c>
      <c r="O43" s="537"/>
    </row>
    <row r="44" spans="1:13" ht="15.75">
      <c r="A44" s="72" t="s">
        <v>2</v>
      </c>
      <c r="B44" s="210">
        <f>H1-3</f>
        <v>2010</v>
      </c>
      <c r="C44" s="65"/>
      <c r="D44" s="210">
        <f>H1-2</f>
        <v>2011</v>
      </c>
      <c r="E44" s="65"/>
      <c r="F44" s="210">
        <f>H1-1</f>
        <v>2012</v>
      </c>
      <c r="G44" s="65"/>
      <c r="H44" s="65"/>
      <c r="J44" s="522" t="s">
        <v>740</v>
      </c>
      <c r="K44" s="521"/>
      <c r="L44" s="521"/>
      <c r="M44" s="520">
        <f>M40-M43</f>
        <v>13191</v>
      </c>
    </row>
    <row r="45" spans="1:13" ht="15.75">
      <c r="A45" s="72" t="s">
        <v>3</v>
      </c>
      <c r="B45" s="83">
        <f>inputPrYr!D67</f>
        <v>0</v>
      </c>
      <c r="C45" s="69"/>
      <c r="D45" s="83">
        <f>inputPrYr!E67</f>
        <v>0</v>
      </c>
      <c r="E45" s="69"/>
      <c r="F45" s="83">
        <f>debt!F11</f>
        <v>0</v>
      </c>
      <c r="G45" s="65"/>
      <c r="H45" s="65"/>
      <c r="J45" s="548" t="s">
        <v>745</v>
      </c>
      <c r="K45" s="549"/>
      <c r="L45" s="549"/>
      <c r="M45" s="544">
        <f>M38-M41</f>
        <v>22317</v>
      </c>
    </row>
    <row r="46" spans="1:13" ht="15.75">
      <c r="A46" s="72" t="s">
        <v>285</v>
      </c>
      <c r="B46" s="83">
        <f>inputPrYr!D68</f>
        <v>0</v>
      </c>
      <c r="C46" s="69"/>
      <c r="D46" s="83">
        <f>inputPrYr!E68</f>
        <v>0</v>
      </c>
      <c r="E46" s="69"/>
      <c r="F46" s="83">
        <f>debt!F15</f>
        <v>0</v>
      </c>
      <c r="G46" s="65"/>
      <c r="H46" s="367"/>
      <c r="J46" s="519" t="s">
        <v>744</v>
      </c>
      <c r="K46" s="516"/>
      <c r="L46" s="516"/>
      <c r="M46" s="518">
        <f>M39-M42</f>
        <v>-9126</v>
      </c>
    </row>
    <row r="47" spans="1:8" ht="15.7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5" t="s">
        <v>741</v>
      </c>
      <c r="K48" s="846"/>
      <c r="L48" s="846"/>
      <c r="M48" s="847"/>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2">
        <f>inputBudSum!B4</f>
        <v>0</v>
      </c>
      <c r="B51" s="852"/>
      <c r="C51" s="65"/>
      <c r="D51" s="65"/>
      <c r="E51" s="65"/>
      <c r="F51" s="65"/>
      <c r="G51" s="65"/>
      <c r="H51" s="65"/>
      <c r="J51" s="525" t="str">
        <f>CONCATENATE("Current ",$H$1," Estimated Mill Rate:")</f>
        <v>Current 2013 Estimated Mill Rate:</v>
      </c>
      <c r="K51" s="530"/>
      <c r="L51" s="530"/>
      <c r="M51" s="540">
        <f>IF(M50=0,0,$H$36)</f>
        <v>22.896</v>
      </c>
    </row>
    <row r="52" spans="1:13" ht="15.75">
      <c r="A52" s="843">
        <f>inputBudSum!B6</f>
        <v>0</v>
      </c>
      <c r="B52" s="844"/>
      <c r="C52" s="65"/>
      <c r="D52" s="65"/>
      <c r="E52" s="65"/>
      <c r="F52" s="65"/>
      <c r="G52" s="65"/>
      <c r="H52" s="65"/>
      <c r="J52" s="525" t="s">
        <v>746</v>
      </c>
      <c r="K52" s="530"/>
      <c r="L52" s="530"/>
      <c r="M52" s="541">
        <f>M50-M51</f>
        <v>-10.896</v>
      </c>
    </row>
    <row r="53" spans="1:13" ht="15.75">
      <c r="A53" s="65"/>
      <c r="B53" s="65"/>
      <c r="C53" s="65"/>
      <c r="D53" s="65"/>
      <c r="E53" s="65"/>
      <c r="F53" s="65"/>
      <c r="G53" s="65"/>
      <c r="H53" s="65"/>
      <c r="J53" s="510" t="s">
        <v>747</v>
      </c>
      <c r="K53" s="71"/>
      <c r="L53" s="71"/>
      <c r="M53" s="538">
        <f>IF(M50=0,0,ROUND(SUM(H21:H24)/M51,2))</f>
        <v>0.61</v>
      </c>
    </row>
    <row r="54" spans="1:13" ht="15.75">
      <c r="A54" s="65"/>
      <c r="B54" s="211" t="s">
        <v>273</v>
      </c>
      <c r="C54" s="212"/>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-545</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QUINCY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22.896</v>
      </c>
      <c r="H45" s="677" t="str">
        <f>CONCATENATE("Total ",E1," Mill Rate")</f>
        <v>Total 2013 Mill Rate</v>
      </c>
      <c r="I45" s="701"/>
      <c r="J45" s="702"/>
      <c r="K45" s="626"/>
    </row>
    <row r="46" spans="2:11" ht="15.75">
      <c r="B46" s="80" t="s">
        <v>70</v>
      </c>
      <c r="C46" s="314"/>
      <c r="D46" s="395">
        <f>C74</f>
        <v>0</v>
      </c>
      <c r="E46" s="262">
        <f>D74</f>
        <v>0</v>
      </c>
      <c r="G46" s="704">
        <f>summ!E36</f>
        <v>21.648000000000003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22.896</v>
      </c>
      <c r="H89" s="677" t="str">
        <f>CONCATENATE("Total ",E1," Mill Rate")</f>
        <v>Total 2013 Mill Rate</v>
      </c>
      <c r="I89" s="701"/>
      <c r="J89" s="702"/>
    </row>
    <row r="90" spans="7:10" ht="15.75">
      <c r="G90" s="704">
        <f>summ!E36</f>
        <v>21.648000000000003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5">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950</v>
      </c>
      <c r="E3" s="71"/>
    </row>
    <row r="4" spans="1:5" ht="15.75">
      <c r="A4" s="157" t="s">
        <v>228</v>
      </c>
      <c r="B4" s="65"/>
      <c r="C4" s="65"/>
      <c r="D4" s="158" t="s">
        <v>951</v>
      </c>
      <c r="E4" s="71"/>
    </row>
    <row r="5" spans="1:5" ht="15.75">
      <c r="A5" s="65"/>
      <c r="B5" s="65"/>
      <c r="C5" s="65"/>
      <c r="D5" s="65"/>
      <c r="E5" s="65"/>
    </row>
    <row r="6" spans="1:5" ht="15.75">
      <c r="A6" s="159" t="s">
        <v>150</v>
      </c>
      <c r="B6" s="65"/>
      <c r="C6" s="65"/>
      <c r="D6" s="368" t="s">
        <v>952</v>
      </c>
      <c r="E6" s="65"/>
    </row>
    <row r="7" spans="1:5" ht="15.75">
      <c r="A7" s="159" t="s">
        <v>151</v>
      </c>
      <c r="B7" s="65"/>
      <c r="C7" s="65"/>
      <c r="D7" s="111"/>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812</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1800</v>
      </c>
      <c r="E20" s="171">
        <v>1262</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v>35500</v>
      </c>
      <c r="E23" s="171">
        <v>19042</v>
      </c>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v>2000</v>
      </c>
      <c r="E25" s="171">
        <v>1737</v>
      </c>
      <c r="G25" s="262">
        <f>IF(H19&gt;0,ROUND(E25-(E25*H19),0),0)</f>
        <v>0</v>
      </c>
    </row>
    <row r="26" spans="1:7" ht="15.75">
      <c r="A26" s="65"/>
      <c r="B26" s="207" t="s">
        <v>384</v>
      </c>
      <c r="C26" s="88" t="s">
        <v>385</v>
      </c>
      <c r="D26" s="171"/>
      <c r="E26" s="171"/>
      <c r="G26" s="262">
        <f>IF(H19&gt;0,ROUND(E26-(E26*H19),0),0)</f>
        <v>0</v>
      </c>
    </row>
    <row r="27" spans="1:7" ht="15.75">
      <c r="A27" s="65"/>
      <c r="B27" s="173" t="s">
        <v>953</v>
      </c>
      <c r="C27" s="488" t="s">
        <v>243</v>
      </c>
      <c r="D27" s="171">
        <v>2500</v>
      </c>
      <c r="E27" s="171">
        <v>2250</v>
      </c>
      <c r="G27" s="262">
        <f>IF(H19&gt;0,ROUND(E27-(E27*H19),0),0)</f>
        <v>0</v>
      </c>
    </row>
    <row r="28" spans="1:7" ht="15.75">
      <c r="A28" s="65"/>
      <c r="B28" s="173" t="s">
        <v>954</v>
      </c>
      <c r="C28" s="488"/>
      <c r="D28" s="171">
        <v>650</v>
      </c>
      <c r="E28" s="171">
        <v>487</v>
      </c>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24778</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42450</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1.086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12.799</v>
      </c>
      <c r="E52" s="65"/>
    </row>
    <row r="53" spans="1:5" ht="15.75">
      <c r="A53" s="65"/>
      <c r="B53" s="105" t="str">
        <f t="shared" si="0"/>
        <v>Special Road</v>
      </c>
      <c r="C53" s="65"/>
      <c r="D53" s="185"/>
      <c r="E53" s="65"/>
    </row>
    <row r="54" spans="1:5" ht="15.75">
      <c r="A54" s="65"/>
      <c r="B54" s="105" t="str">
        <f t="shared" si="0"/>
        <v>Noxious Weed</v>
      </c>
      <c r="C54" s="65"/>
      <c r="D54" s="185">
        <v>1.156</v>
      </c>
      <c r="E54" s="65"/>
    </row>
    <row r="55" spans="1:5" ht="15.75">
      <c r="A55" s="65"/>
      <c r="B55" s="105" t="str">
        <f t="shared" si="0"/>
        <v>Fire Protection</v>
      </c>
      <c r="C55" s="65"/>
      <c r="D55" s="185"/>
      <c r="E55" s="65"/>
    </row>
    <row r="56" spans="1:5" ht="15.75">
      <c r="A56" s="65"/>
      <c r="B56" s="105" t="str">
        <f t="shared" si="0"/>
        <v>Cemetery</v>
      </c>
      <c r="C56" s="65"/>
      <c r="D56" s="185">
        <v>1.152</v>
      </c>
      <c r="E56" s="65"/>
    </row>
    <row r="57" spans="1:5" ht="15.75">
      <c r="A57" s="65"/>
      <c r="B57" s="105" t="str">
        <f t="shared" si="0"/>
        <v>Neal Street Lights</v>
      </c>
      <c r="C57" s="65"/>
      <c r="D57" s="185">
        <v>5.74</v>
      </c>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21.933</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24629</v>
      </c>
    </row>
    <row r="64" spans="1:5" ht="15.75">
      <c r="A64" s="188" t="str">
        <f>CONCATENATE("Assessed Valuation (",D9-2," budget column):")</f>
        <v>Assessed Valuation (2011 budget column):</v>
      </c>
      <c r="B64" s="164"/>
      <c r="C64" s="65"/>
      <c r="D64" s="65"/>
      <c r="E64" s="189">
        <v>1490133</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v>0</v>
      </c>
      <c r="E67" s="181">
        <v>0</v>
      </c>
    </row>
    <row r="68" spans="1:5" ht="15.75">
      <c r="A68" s="195" t="s">
        <v>164</v>
      </c>
      <c r="B68" s="195"/>
      <c r="C68" s="196"/>
      <c r="D68" s="181">
        <v>0</v>
      </c>
      <c r="E68" s="181">
        <v>0</v>
      </c>
    </row>
    <row r="69" spans="1:5" ht="15.75">
      <c r="A69" s="195" t="s">
        <v>117</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QUINCY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QUINCY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QUINCY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56">
        <f>inputPrYr!B41</f>
        <v>0</v>
      </c>
      <c r="B5" s="857"/>
      <c r="C5" s="856">
        <f>inputPrYr!B42</f>
        <v>0</v>
      </c>
      <c r="D5" s="857"/>
      <c r="E5" s="856">
        <f>inputPrYr!B43</f>
        <v>0</v>
      </c>
      <c r="F5" s="857"/>
      <c r="G5" s="858">
        <f>inputPrYr!B44</f>
        <v>0</v>
      </c>
      <c r="H5" s="857"/>
      <c r="I5" s="858">
        <f>inputPrYr!B45</f>
        <v>0</v>
      </c>
      <c r="J5" s="857"/>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QUINCY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t="str">
        <f>IF(inputPrYr!B27&gt;0,inputPrYr!B27,"")</f>
        <v>Cemetery</v>
      </c>
      <c r="C13" s="345"/>
      <c r="D13" s="344">
        <f t="shared" si="0"/>
      </c>
      <c r="E13" s="339">
        <f t="shared" si="1"/>
      </c>
      <c r="F13" s="192"/>
    </row>
    <row r="14" spans="1:6" ht="15.75">
      <c r="A14" s="65"/>
      <c r="B14" s="105" t="str">
        <f>IF(inputPrYr!B28&gt;0,inputPrYr!B28,"")</f>
        <v>Neal Street Lights</v>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1685761</v>
      </c>
      <c r="E21" s="65"/>
      <c r="F21" s="192"/>
    </row>
    <row r="22" spans="1:6" ht="15.75">
      <c r="A22" s="65"/>
      <c r="B22" s="65"/>
      <c r="C22" s="65"/>
      <c r="D22" s="65"/>
      <c r="E22" s="65"/>
      <c r="F22" s="192"/>
    </row>
    <row r="23" spans="1:6" ht="15.75">
      <c r="A23" s="65"/>
      <c r="B23" s="861" t="s">
        <v>379</v>
      </c>
      <c r="C23" s="861"/>
      <c r="D23" s="349">
        <f>IF(D21&gt;0,(D21*0.001),"")</f>
        <v>1685.761</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QUINCY TOWNSHIP </v>
      </c>
      <c r="I6">
        <f>CONCATENATE(I7)</f>
      </c>
    </row>
    <row r="7" spans="1:7" ht="15.75">
      <c r="A7" s="864" t="str">
        <f>CONCATENATE("   with respect to financing the ",inputPrYr!D9," annual budget for ",(inputPrYr!D3)," , ",(inputPrYr!D4)," , Kansas.")</f>
        <v>   with respect to financing the 2013 annual budget for QUINCY TOWNSHIP , GREENWOOD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QUINCY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QUINCY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QUINCY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QUINCY TOWNSHIP of GREENWOOD COUNTY, Kansas that is our desire to notify the public of increased property taxes to finance the 2013 QUINCY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QUINCY TOWNSHIP Board, GREENWOOD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QUINCY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6">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QUINCY TOWNSHIP</v>
      </c>
      <c r="B1" s="30"/>
      <c r="C1" s="30"/>
      <c r="D1" s="30"/>
      <c r="E1" s="30">
        <f>inputPrYr!D9</f>
        <v>2013</v>
      </c>
    </row>
    <row r="2" spans="1:5" ht="15.75">
      <c r="A2" s="41" t="str">
        <f>inputPrYr!D4</f>
        <v>GREENWOOD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1685761</v>
      </c>
    </row>
    <row r="9" spans="1:5" ht="15.75">
      <c r="A9" s="15" t="str">
        <f>inputPrYr!$D$6</f>
        <v>NEAL STREET LIGHTS</v>
      </c>
      <c r="B9" s="16"/>
      <c r="C9" s="16"/>
      <c r="D9" s="16"/>
      <c r="E9" s="35"/>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1685761</v>
      </c>
    </row>
    <row r="12" spans="1:5" ht="15.75">
      <c r="A12" s="54" t="str">
        <f>CONCATENATE("New Improvements for ",E1-1,":")</f>
        <v>New Improvements for 2012:</v>
      </c>
      <c r="B12" s="10"/>
      <c r="C12" s="10"/>
      <c r="D12" s="10"/>
      <c r="E12" s="34"/>
    </row>
    <row r="13" spans="1:5" ht="15.75">
      <c r="A13" s="13" t="s">
        <v>159</v>
      </c>
      <c r="B13" s="14"/>
      <c r="C13" s="14"/>
      <c r="D13" s="14"/>
      <c r="E13" s="52">
        <v>3449</v>
      </c>
    </row>
    <row r="14" spans="1:5" ht="15.75">
      <c r="A14" s="15" t="str">
        <f>inputPrYr!$D$6</f>
        <v>NEAL STREET LIGHTS</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3449</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38235</v>
      </c>
    </row>
    <row r="19" spans="1:5" ht="15.75">
      <c r="A19" s="15" t="str">
        <f>inputPrYr!$D$6</f>
        <v>NEAL STREET LIGHTS</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38235</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1779</v>
      </c>
    </row>
    <row r="24" spans="1:5" ht="15.75">
      <c r="A24" s="15" t="str">
        <f>inputPrYr!$D$6</f>
        <v>NEAL STREET LIGHTS</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1779</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33538</v>
      </c>
    </row>
    <row r="29" spans="1:5" ht="15.75">
      <c r="A29" s="15" t="str">
        <f>inputPrYr!$D$6</f>
        <v>NEAL STREET LIGHTS</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33538</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0.823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12.412</v>
      </c>
      <c r="E40" s="36"/>
    </row>
    <row r="41" spans="1:5" ht="15.75">
      <c r="A41" s="13" t="str">
        <f>inputPrYr!B24</f>
        <v>Special Road</v>
      </c>
      <c r="B41" s="16"/>
      <c r="C41" s="10"/>
      <c r="D41" s="49"/>
      <c r="E41" s="36"/>
    </row>
    <row r="42" spans="1:5" ht="15.75">
      <c r="A42" s="13" t="str">
        <f>inputPrYr!B25</f>
        <v>Noxious Weed</v>
      </c>
      <c r="B42" s="16"/>
      <c r="C42" s="10"/>
      <c r="D42" s="49">
        <v>1.132</v>
      </c>
      <c r="E42" s="36"/>
    </row>
    <row r="43" spans="1:5" ht="15.75">
      <c r="A43" s="13" t="str">
        <f>inputPrYr!B26</f>
        <v>Fire Protection</v>
      </c>
      <c r="B43" s="16"/>
      <c r="C43" s="10"/>
      <c r="D43" s="50"/>
      <c r="E43" s="36"/>
    </row>
    <row r="44" spans="1:5" ht="15.75">
      <c r="A44" s="13" t="str">
        <f>inputPrYr!B27</f>
        <v>Cemetery</v>
      </c>
      <c r="B44" s="16"/>
      <c r="C44" s="10"/>
      <c r="D44" s="50">
        <v>1.467</v>
      </c>
      <c r="E44" s="36"/>
    </row>
    <row r="45" spans="1:5" ht="15.75">
      <c r="A45" s="13" t="str">
        <f>inputPrYr!B28</f>
        <v>Neal Street Lights</v>
      </c>
      <c r="B45" s="16"/>
      <c r="C45" s="10"/>
      <c r="D45" s="50">
        <v>5.814</v>
      </c>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21.648000000000003</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1534131</v>
      </c>
    </row>
    <row r="53" spans="1:5" ht="15.75">
      <c r="A53" s="16" t="str">
        <f>inputPrYr!D6</f>
        <v>NEAL STREET LIGHTS</v>
      </c>
      <c r="B53" s="16"/>
      <c r="C53" s="16"/>
      <c r="D53" s="20"/>
      <c r="E53" s="4">
        <v>83758</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1617889</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2715</v>
      </c>
    </row>
    <row r="60" spans="1:5" ht="15.75">
      <c r="A60" s="15" t="s">
        <v>246</v>
      </c>
      <c r="B60" s="16"/>
      <c r="C60" s="16"/>
      <c r="D60" s="40"/>
      <c r="E60" s="2">
        <v>44</v>
      </c>
    </row>
    <row r="61" spans="1:5" ht="15.75">
      <c r="A61" s="15" t="s">
        <v>112</v>
      </c>
      <c r="B61" s="16"/>
      <c r="C61" s="16"/>
      <c r="D61" s="40"/>
      <c r="E61" s="2">
        <v>253</v>
      </c>
    </row>
    <row r="62" spans="1:5" ht="15.75">
      <c r="A62" s="44" t="s">
        <v>156</v>
      </c>
      <c r="B62" s="45"/>
      <c r="C62" s="16"/>
      <c r="D62" s="40"/>
      <c r="E62" s="31"/>
    </row>
    <row r="63" spans="1:5" ht="15.75">
      <c r="A63" s="13" t="s">
        <v>153</v>
      </c>
      <c r="B63" s="16"/>
      <c r="C63" s="16"/>
      <c r="D63" s="40"/>
      <c r="E63" s="2">
        <v>0</v>
      </c>
    </row>
    <row r="64" spans="1:5" ht="15.75">
      <c r="A64" s="15" t="s">
        <v>154</v>
      </c>
      <c r="B64" s="16"/>
      <c r="C64" s="16"/>
      <c r="D64" s="40"/>
      <c r="E64" s="2">
        <v>0</v>
      </c>
    </row>
    <row r="65" spans="1:5" ht="15.75">
      <c r="A65" s="15" t="s">
        <v>155</v>
      </c>
      <c r="B65" s="16"/>
      <c r="C65" s="16"/>
      <c r="D65" s="40"/>
      <c r="E65" s="2">
        <v>0</v>
      </c>
    </row>
    <row r="66" spans="1:5" ht="15.75">
      <c r="A66" s="44" t="s">
        <v>157</v>
      </c>
      <c r="B66" s="45"/>
      <c r="C66" s="16"/>
      <c r="D66" s="40"/>
      <c r="E66" s="31"/>
    </row>
    <row r="67" spans="1:5" ht="15.75">
      <c r="A67" s="13" t="s">
        <v>153</v>
      </c>
      <c r="B67" s="16"/>
      <c r="C67" s="16"/>
      <c r="D67" s="40"/>
      <c r="E67" s="2">
        <v>0</v>
      </c>
    </row>
    <row r="68" spans="1:5" ht="15.75">
      <c r="A68" s="15" t="s">
        <v>154</v>
      </c>
      <c r="B68" s="16"/>
      <c r="C68" s="16"/>
      <c r="D68" s="40"/>
      <c r="E68" s="2">
        <v>0</v>
      </c>
    </row>
    <row r="69" spans="1:5" ht="15.75">
      <c r="A69" s="15" t="s">
        <v>155</v>
      </c>
      <c r="B69" s="16"/>
      <c r="C69" s="16"/>
      <c r="D69" s="40"/>
      <c r="E69" s="2">
        <v>0</v>
      </c>
    </row>
    <row r="70" spans="1:5" ht="15.75">
      <c r="A70" s="15"/>
      <c r="B70" s="16"/>
      <c r="C70" s="16"/>
      <c r="D70" s="40"/>
      <c r="E70" s="31"/>
    </row>
    <row r="71" spans="1:5" ht="15.75">
      <c r="A71" s="15" t="s">
        <v>113</v>
      </c>
      <c r="B71" s="16"/>
      <c r="C71" s="16"/>
      <c r="D71" s="40"/>
      <c r="E71" s="2">
        <v>0</v>
      </c>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0.010946</v>
      </c>
    </row>
    <row r="77" spans="1:5" ht="15.7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1800</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32000</v>
      </c>
      <c r="C86" s="33"/>
      <c r="D86" s="33"/>
      <c r="E86" s="33"/>
    </row>
    <row r="87" spans="1:5" ht="15.75">
      <c r="A87" s="61" t="str">
        <f>inputPrYr!B24</f>
        <v>Special Road</v>
      </c>
      <c r="B87" s="4"/>
      <c r="C87" s="33"/>
      <c r="D87" s="33"/>
      <c r="E87" s="33"/>
    </row>
    <row r="88" spans="1:5" ht="15.75">
      <c r="A88" s="61" t="str">
        <f>inputPrYr!B25</f>
        <v>Noxious Weed</v>
      </c>
      <c r="B88" s="4">
        <v>2000</v>
      </c>
      <c r="C88" s="33"/>
      <c r="D88" s="33"/>
      <c r="E88" s="33"/>
    </row>
    <row r="89" spans="1:5" ht="15.75">
      <c r="A89" s="61" t="str">
        <f>inputPrYr!B26</f>
        <v>Fire Protection</v>
      </c>
      <c r="B89" s="4"/>
      <c r="C89" s="33"/>
      <c r="D89" s="33"/>
      <c r="E89" s="33"/>
    </row>
    <row r="90" spans="1:5" ht="15.75">
      <c r="A90" s="61" t="str">
        <f>inputPrYr!B27</f>
        <v>Cemetery</v>
      </c>
      <c r="B90" s="4">
        <v>2500</v>
      </c>
      <c r="C90" s="33"/>
      <c r="D90" s="33"/>
      <c r="E90" s="33"/>
    </row>
    <row r="91" spans="1:5" ht="15.75">
      <c r="A91" s="61" t="str">
        <f>inputPrYr!B28</f>
        <v>Neal Street Lights</v>
      </c>
      <c r="B91" s="4">
        <v>550</v>
      </c>
      <c r="C91" s="33"/>
      <c r="D91" s="33"/>
      <c r="E91" s="33"/>
    </row>
    <row r="92" spans="1:5" ht="15.75">
      <c r="A92" s="61">
        <f>inputPrYr!B29</f>
        <v>0</v>
      </c>
      <c r="B92" s="4" t="s">
        <v>955</v>
      </c>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4.25">
      <c r="A8" s="400"/>
      <c r="B8" s="892" t="s">
        <v>663</v>
      </c>
      <c r="C8" s="892"/>
      <c r="D8" s="892"/>
      <c r="E8" s="892"/>
      <c r="F8" s="892"/>
      <c r="G8" s="892"/>
      <c r="H8" s="892"/>
      <c r="I8" s="892"/>
      <c r="J8" s="892"/>
      <c r="K8" s="892"/>
      <c r="L8" s="400"/>
    </row>
    <row r="9" spans="1:12" ht="14.25">
      <c r="A9" s="400"/>
      <c r="L9" s="400"/>
    </row>
    <row r="10" spans="1:12" ht="14.25">
      <c r="A10" s="400"/>
      <c r="B10" s="892" t="s">
        <v>664</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82">
        <v>133685008</v>
      </c>
      <c r="G23" s="882"/>
      <c r="L23" s="400"/>
    </row>
    <row r="24" spans="1:12" ht="14.25">
      <c r="A24" s="400"/>
      <c r="L24" s="400"/>
    </row>
    <row r="25" spans="1:12" ht="14.25">
      <c r="A25" s="400"/>
      <c r="C25" s="893">
        <f>F23</f>
        <v>133685008</v>
      </c>
      <c r="D25" s="893"/>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4.25">
      <c r="A31" s="400"/>
      <c r="B31" s="892" t="s">
        <v>676</v>
      </c>
      <c r="C31" s="892"/>
      <c r="D31" s="892"/>
      <c r="E31" s="892"/>
      <c r="F31" s="892"/>
      <c r="G31" s="892"/>
      <c r="H31" s="892"/>
      <c r="I31" s="892"/>
      <c r="J31" s="892"/>
      <c r="K31" s="892"/>
      <c r="L31" s="400"/>
    </row>
    <row r="32" spans="1:12" ht="14.25">
      <c r="A32" s="400"/>
      <c r="L32" s="400"/>
    </row>
    <row r="33" spans="1:12" ht="14.25">
      <c r="A33" s="400"/>
      <c r="B33" s="892" t="s">
        <v>677</v>
      </c>
      <c r="C33" s="892"/>
      <c r="D33" s="892"/>
      <c r="E33" s="892"/>
      <c r="F33" s="892"/>
      <c r="G33" s="892"/>
      <c r="H33" s="892"/>
      <c r="I33" s="892"/>
      <c r="J33" s="892"/>
      <c r="K33" s="892"/>
      <c r="L33" s="400"/>
    </row>
    <row r="34" spans="1:12" ht="14.25">
      <c r="A34" s="400"/>
      <c r="L34" s="400"/>
    </row>
    <row r="35" spans="1:12" ht="89.25" customHeight="1">
      <c r="A35" s="400"/>
      <c r="B35" s="880" t="s">
        <v>678</v>
      </c>
      <c r="C35" s="885"/>
      <c r="D35" s="885"/>
      <c r="E35" s="885"/>
      <c r="F35" s="885"/>
      <c r="G35" s="885"/>
      <c r="H35" s="885"/>
      <c r="I35" s="885"/>
      <c r="J35" s="885"/>
      <c r="K35" s="885"/>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94">
        <v>3120000</v>
      </c>
      <c r="D41" s="894"/>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82">
        <v>133685008</v>
      </c>
      <c r="C48" s="882"/>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95" t="s">
        <v>686</v>
      </c>
      <c r="H50" s="896"/>
      <c r="I50" s="412" t="s">
        <v>672</v>
      </c>
      <c r="J50" s="422">
        <f>B50/F50</f>
        <v>52.8690023342034</v>
      </c>
      <c r="K50" s="414"/>
      <c r="L50" s="400"/>
    </row>
    <row r="51" spans="1:15" ht="1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4.25">
      <c r="A53" s="400"/>
      <c r="B53" s="892" t="s">
        <v>688</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82">
        <v>133685008</v>
      </c>
      <c r="D74" s="882"/>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82">
        <v>5000</v>
      </c>
      <c r="D77" s="882"/>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82">
        <v>100000</v>
      </c>
      <c r="D80" s="882"/>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4.25">
      <c r="A86" s="400"/>
      <c r="B86" s="879" t="s">
        <v>710</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711</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82">
        <v>133685008</v>
      </c>
      <c r="D114" s="882"/>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82">
        <v>2500000</v>
      </c>
      <c r="D120" s="882"/>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4.25">
      <c r="A126" s="400"/>
      <c r="B126" s="879" t="s">
        <v>717</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718</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81" t="s">
        <v>720</v>
      </c>
      <c r="D133" s="881"/>
      <c r="E133" s="411"/>
      <c r="F133" s="412" t="s">
        <v>721</v>
      </c>
      <c r="G133" s="411"/>
      <c r="H133" s="881" t="s">
        <v>706</v>
      </c>
      <c r="I133" s="881"/>
      <c r="J133" s="411"/>
      <c r="K133" s="414"/>
      <c r="L133" s="400"/>
    </row>
    <row r="134" spans="1:12" ht="14.25">
      <c r="A134" s="400"/>
      <c r="B134" s="420" t="s">
        <v>699</v>
      </c>
      <c r="C134" s="882">
        <v>100000</v>
      </c>
      <c r="D134" s="882"/>
      <c r="E134" s="412" t="s">
        <v>259</v>
      </c>
      <c r="F134" s="412">
        <v>0.115</v>
      </c>
      <c r="G134" s="412" t="s">
        <v>672</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706</v>
      </c>
      <c r="D136" s="883"/>
      <c r="E136" s="431"/>
      <c r="F136" s="432" t="s">
        <v>722</v>
      </c>
      <c r="G136" s="432"/>
      <c r="H136" s="431"/>
      <c r="I136" s="431"/>
      <c r="J136" s="431" t="s">
        <v>723</v>
      </c>
      <c r="K136" s="433"/>
      <c r="L136" s="400"/>
    </row>
    <row r="137" spans="1:12" ht="14.2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74" t="s">
        <v>727</v>
      </c>
      <c r="D147" s="874"/>
      <c r="E147" s="412"/>
      <c r="F147" s="472" t="s">
        <v>728</v>
      </c>
      <c r="G147" s="412"/>
      <c r="H147" s="412"/>
      <c r="I147" s="412"/>
      <c r="J147" s="875" t="s">
        <v>729</v>
      </c>
      <c r="K147" s="876"/>
      <c r="L147" s="400"/>
    </row>
    <row r="148" spans="1:12" ht="14.2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A3" sqref="A3"/>
    </sheetView>
  </sheetViews>
  <sheetFormatPr defaultColWidth="8.796875" defaultRowHeight="15.75"/>
  <cols>
    <col min="1" max="1" width="72.09765625" style="113" customWidth="1"/>
    <col min="2" max="16384" width="8.796875" style="113" customWidth="1"/>
  </cols>
  <sheetData>
    <row r="1" ht="15.75">
      <c r="A1" s="570" t="s">
        <v>948</v>
      </c>
    </row>
    <row r="2" ht="15.75">
      <c r="A2" s="113" t="s">
        <v>949</v>
      </c>
    </row>
    <row r="4" ht="15.75">
      <c r="A4" s="570" t="s">
        <v>946</v>
      </c>
    </row>
    <row r="5" ht="15.75">
      <c r="A5" s="754" t="s">
        <v>947</v>
      </c>
    </row>
    <row r="7" ht="15.75">
      <c r="A7" s="570" t="s">
        <v>942</v>
      </c>
    </row>
    <row r="8" ht="15.75">
      <c r="A8" s="751" t="s">
        <v>913</v>
      </c>
    </row>
    <row r="9" ht="15.75">
      <c r="A9" s="751" t="s">
        <v>914</v>
      </c>
    </row>
    <row r="10" ht="15.75">
      <c r="A10" s="751" t="s">
        <v>915</v>
      </c>
    </row>
    <row r="11" ht="15.75">
      <c r="A11" s="751" t="s">
        <v>916</v>
      </c>
    </row>
    <row r="12" ht="15.75">
      <c r="A12" s="751" t="s">
        <v>917</v>
      </c>
    </row>
    <row r="13" ht="15.75">
      <c r="A13" s="751" t="s">
        <v>918</v>
      </c>
    </row>
    <row r="14" ht="15.75">
      <c r="A14" s="751" t="s">
        <v>919</v>
      </c>
    </row>
    <row r="15" ht="15.75">
      <c r="A15" s="751" t="s">
        <v>920</v>
      </c>
    </row>
    <row r="16" ht="15.75">
      <c r="A16" s="751" t="s">
        <v>921</v>
      </c>
    </row>
    <row r="17" ht="15.75">
      <c r="A17" s="751" t="s">
        <v>922</v>
      </c>
    </row>
    <row r="18" ht="15.75">
      <c r="A18" s="751" t="s">
        <v>923</v>
      </c>
    </row>
    <row r="19" ht="15.75">
      <c r="A19" s="751" t="s">
        <v>924</v>
      </c>
    </row>
    <row r="20" ht="15.75">
      <c r="A20" s="751" t="s">
        <v>925</v>
      </c>
    </row>
    <row r="21" ht="15.75">
      <c r="A21" s="751" t="s">
        <v>926</v>
      </c>
    </row>
    <row r="22" ht="15.75">
      <c r="A22" s="751" t="s">
        <v>927</v>
      </c>
    </row>
    <row r="23" ht="15.75">
      <c r="A23" s="751" t="s">
        <v>928</v>
      </c>
    </row>
    <row r="24" ht="15.75">
      <c r="A24" s="751" t="s">
        <v>929</v>
      </c>
    </row>
    <row r="25" ht="15.75">
      <c r="A25" s="751" t="s">
        <v>930</v>
      </c>
    </row>
    <row r="26" ht="15.75">
      <c r="A26" s="751" t="s">
        <v>931</v>
      </c>
    </row>
    <row r="27" ht="15.75">
      <c r="A27" s="751" t="s">
        <v>932</v>
      </c>
    </row>
    <row r="28" ht="15.75">
      <c r="A28" s="751" t="s">
        <v>933</v>
      </c>
    </row>
    <row r="29" ht="15.75">
      <c r="A29" s="751" t="s">
        <v>934</v>
      </c>
    </row>
    <row r="30" ht="15.75">
      <c r="A30" s="751" t="s">
        <v>935</v>
      </c>
    </row>
    <row r="31" ht="15.75">
      <c r="A31" s="751" t="s">
        <v>936</v>
      </c>
    </row>
    <row r="32" ht="15.75">
      <c r="A32" s="751" t="s">
        <v>937</v>
      </c>
    </row>
    <row r="33" ht="15.75">
      <c r="A33" s="751" t="s">
        <v>938</v>
      </c>
    </row>
    <row r="34" ht="15.75">
      <c r="A34" s="751" t="s">
        <v>939</v>
      </c>
    </row>
    <row r="35" ht="15.75">
      <c r="A35" s="751" t="s">
        <v>940</v>
      </c>
    </row>
    <row r="36" ht="15.75">
      <c r="A36" s="751" t="s">
        <v>941</v>
      </c>
    </row>
    <row r="39" ht="15.75">
      <c r="A39" s="570" t="s">
        <v>781</v>
      </c>
    </row>
    <row r="40" ht="15.75">
      <c r="A40" s="113" t="s">
        <v>782</v>
      </c>
    </row>
    <row r="41" ht="15.75">
      <c r="A41" s="113" t="s">
        <v>783</v>
      </c>
    </row>
    <row r="43" ht="15.75">
      <c r="A43" s="570" t="s">
        <v>778</v>
      </c>
    </row>
    <row r="44" ht="15.75">
      <c r="A44" s="551" t="s">
        <v>779</v>
      </c>
    </row>
    <row r="46" ht="15.75">
      <c r="A46" s="389" t="s">
        <v>751</v>
      </c>
    </row>
    <row r="47" ht="15.75">
      <c r="A47" s="551" t="s">
        <v>752</v>
      </c>
    </row>
    <row r="48" ht="15.75">
      <c r="A48" s="551" t="s">
        <v>753</v>
      </c>
    </row>
    <row r="49" ht="31.5">
      <c r="A49" s="550" t="s">
        <v>754</v>
      </c>
    </row>
    <row r="50" ht="15.75">
      <c r="A50" s="551" t="s">
        <v>755</v>
      </c>
    </row>
    <row r="51" ht="15.75">
      <c r="A51" s="551" t="s">
        <v>756</v>
      </c>
    </row>
    <row r="52" ht="15.75">
      <c r="A52" s="551" t="s">
        <v>757</v>
      </c>
    </row>
    <row r="53" ht="15.75">
      <c r="A53" s="551" t="s">
        <v>758</v>
      </c>
    </row>
    <row r="54" ht="15.75">
      <c r="A54" s="551" t="s">
        <v>759</v>
      </c>
    </row>
    <row r="55" ht="15.75">
      <c r="A55" s="551" t="s">
        <v>760</v>
      </c>
    </row>
    <row r="56" ht="15.75">
      <c r="A56" s="551" t="s">
        <v>761</v>
      </c>
    </row>
    <row r="57" ht="15.75">
      <c r="A57" s="551" t="s">
        <v>762</v>
      </c>
    </row>
    <row r="58" ht="15.75">
      <c r="A58" s="551" t="s">
        <v>763</v>
      </c>
    </row>
    <row r="59" ht="15.75">
      <c r="A59" s="551" t="s">
        <v>764</v>
      </c>
    </row>
    <row r="60" ht="15.75">
      <c r="A60" s="551" t="s">
        <v>765</v>
      </c>
    </row>
    <row r="61" ht="15.75">
      <c r="A61" s="551" t="s">
        <v>766</v>
      </c>
    </row>
    <row r="62" ht="15.75">
      <c r="A62" s="551" t="s">
        <v>767</v>
      </c>
    </row>
    <row r="63" ht="15.75">
      <c r="A63" s="551" t="s">
        <v>768</v>
      </c>
    </row>
    <row r="64" ht="15.75">
      <c r="A64" s="551" t="s">
        <v>769</v>
      </c>
    </row>
    <row r="65" ht="15.75">
      <c r="A65" s="551" t="s">
        <v>770</v>
      </c>
    </row>
    <row r="66" ht="15.75">
      <c r="A66" s="551" t="s">
        <v>771</v>
      </c>
    </row>
    <row r="67" ht="15.75">
      <c r="A67" s="551" t="s">
        <v>772</v>
      </c>
    </row>
    <row r="68" ht="15.75">
      <c r="A68" s="551" t="s">
        <v>773</v>
      </c>
    </row>
    <row r="69" ht="15.75">
      <c r="A69" s="113" t="s">
        <v>777</v>
      </c>
    </row>
    <row r="71" ht="15.75">
      <c r="A71" s="389" t="s">
        <v>638</v>
      </c>
    </row>
    <row r="72" ht="36" customHeight="1">
      <c r="A72" s="216" t="s">
        <v>639</v>
      </c>
    </row>
    <row r="74" ht="15.75">
      <c r="A74" s="389" t="s">
        <v>634</v>
      </c>
    </row>
    <row r="75" ht="15.75">
      <c r="A75" s="113" t="s">
        <v>635</v>
      </c>
    </row>
    <row r="76" ht="15.75">
      <c r="A76" s="113" t="s">
        <v>636</v>
      </c>
    </row>
    <row r="77" ht="15.75">
      <c r="A77" s="113" t="s">
        <v>637</v>
      </c>
    </row>
    <row r="79" ht="15.75">
      <c r="A79" s="389" t="s">
        <v>623</v>
      </c>
    </row>
    <row r="80" ht="15.75">
      <c r="A80" s="113" t="s">
        <v>633</v>
      </c>
    </row>
    <row r="82" ht="15.75">
      <c r="A82" s="388" t="s">
        <v>386</v>
      </c>
    </row>
    <row r="83" ht="15.75">
      <c r="A83" s="113" t="s">
        <v>387</v>
      </c>
    </row>
    <row r="84" ht="15.75">
      <c r="A84" s="113" t="s">
        <v>388</v>
      </c>
    </row>
    <row r="85" ht="15.75">
      <c r="A85" s="113" t="s">
        <v>409</v>
      </c>
    </row>
    <row r="86" ht="15.75">
      <c r="A86" s="113" t="s">
        <v>410</v>
      </c>
    </row>
    <row r="87" ht="15.75">
      <c r="A87" s="113" t="s">
        <v>411</v>
      </c>
    </row>
    <row r="88" ht="15.75">
      <c r="A88" s="113" t="s">
        <v>621</v>
      </c>
    </row>
    <row r="90" ht="15.75">
      <c r="A90" s="388" t="s">
        <v>326</v>
      </c>
    </row>
    <row r="91" ht="15.75">
      <c r="A91" s="113" t="s">
        <v>327</v>
      </c>
    </row>
    <row r="92" ht="15.75">
      <c r="A92" s="113" t="s">
        <v>328</v>
      </c>
    </row>
    <row r="93" ht="15.75">
      <c r="A93" s="113" t="s">
        <v>329</v>
      </c>
    </row>
    <row r="94" ht="15.75">
      <c r="A94" s="113" t="s">
        <v>330</v>
      </c>
    </row>
    <row r="95" ht="15.75">
      <c r="A95" s="113" t="s">
        <v>331</v>
      </c>
    </row>
    <row r="96" ht="15.75">
      <c r="A96" s="113" t="s">
        <v>332</v>
      </c>
    </row>
    <row r="97" ht="15.75">
      <c r="A97" s="113" t="s">
        <v>333</v>
      </c>
    </row>
    <row r="98" ht="15.75">
      <c r="A98" s="113" t="s">
        <v>335</v>
      </c>
    </row>
    <row r="99" ht="15.75">
      <c r="A99" s="113" t="s">
        <v>336</v>
      </c>
    </row>
    <row r="100" ht="15.75">
      <c r="A100" s="113" t="s">
        <v>352</v>
      </c>
    </row>
    <row r="101" ht="15.75">
      <c r="A101" s="113" t="s">
        <v>353</v>
      </c>
    </row>
    <row r="102" ht="15.75">
      <c r="A102" s="113" t="s">
        <v>354</v>
      </c>
    </row>
    <row r="103" ht="15.75">
      <c r="A103" s="113" t="s">
        <v>355</v>
      </c>
    </row>
    <row r="104" ht="15.75">
      <c r="A104" s="113" t="s">
        <v>369</v>
      </c>
    </row>
    <row r="105" ht="15.75">
      <c r="A105" s="113" t="s">
        <v>370</v>
      </c>
    </row>
    <row r="106" ht="15.75">
      <c r="A106" s="113" t="s">
        <v>382</v>
      </c>
    </row>
    <row r="107" ht="15.75">
      <c r="A107" s="366" t="s">
        <v>383</v>
      </c>
    </row>
    <row r="109" ht="15.75">
      <c r="A109" s="388" t="s">
        <v>321</v>
      </c>
    </row>
    <row r="110" ht="15.75">
      <c r="A110" s="113" t="s">
        <v>322</v>
      </c>
    </row>
    <row r="112" ht="15.75">
      <c r="A112" s="388" t="s">
        <v>319</v>
      </c>
    </row>
    <row r="113" ht="15.75">
      <c r="A113" s="113" t="s">
        <v>320</v>
      </c>
    </row>
    <row r="115" ht="15.75">
      <c r="A115" s="388" t="s">
        <v>315</v>
      </c>
    </row>
    <row r="116" ht="15.75">
      <c r="A116" s="113" t="s">
        <v>316</v>
      </c>
    </row>
    <row r="117" ht="15.75">
      <c r="A117" s="113" t="s">
        <v>317</v>
      </c>
    </row>
    <row r="118" ht="15.75">
      <c r="A118" s="113" t="s">
        <v>318</v>
      </c>
    </row>
    <row r="120" ht="15.75">
      <c r="A120" s="388" t="s">
        <v>311</v>
      </c>
    </row>
    <row r="121" ht="15.75">
      <c r="A121" s="113" t="s">
        <v>312</v>
      </c>
    </row>
    <row r="122" ht="15.75">
      <c r="A122" s="113" t="s">
        <v>313</v>
      </c>
    </row>
    <row r="124" ht="15.75">
      <c r="A124" s="388" t="s">
        <v>226</v>
      </c>
    </row>
    <row r="125" ht="15.75">
      <c r="A125" s="113" t="s">
        <v>198</v>
      </c>
    </row>
    <row r="126" ht="31.5">
      <c r="A126" s="216" t="s">
        <v>199</v>
      </c>
    </row>
    <row r="127" ht="15.75">
      <c r="A127" s="113" t="s">
        <v>212</v>
      </c>
    </row>
    <row r="128" ht="15.75">
      <c r="A128" s="113" t="s">
        <v>213</v>
      </c>
    </row>
    <row r="129" ht="15.75">
      <c r="A129" s="113" t="s">
        <v>214</v>
      </c>
    </row>
    <row r="130" ht="15.75">
      <c r="A130" s="113" t="s">
        <v>215</v>
      </c>
    </row>
    <row r="131" ht="31.5">
      <c r="A131" s="216" t="s">
        <v>207</v>
      </c>
    </row>
    <row r="132" ht="31.5">
      <c r="A132" s="216" t="s">
        <v>216</v>
      </c>
    </row>
    <row r="133" ht="31.5">
      <c r="A133" s="216" t="s">
        <v>217</v>
      </c>
    </row>
    <row r="134" ht="15.75">
      <c r="A134" s="216" t="s">
        <v>218</v>
      </c>
    </row>
    <row r="135" ht="31.5">
      <c r="A135" s="216" t="s">
        <v>219</v>
      </c>
    </row>
    <row r="136" ht="15.75">
      <c r="A136" s="113" t="s">
        <v>220</v>
      </c>
    </row>
    <row r="137" ht="15.75">
      <c r="A137" s="113" t="s">
        <v>221</v>
      </c>
    </row>
    <row r="138" ht="15.75">
      <c r="A138" s="113" t="s">
        <v>222</v>
      </c>
    </row>
    <row r="139" ht="15.75">
      <c r="A139" s="113" t="s">
        <v>223</v>
      </c>
    </row>
    <row r="140" ht="31.5">
      <c r="A140" s="216" t="s">
        <v>224</v>
      </c>
    </row>
    <row r="141" ht="15.75">
      <c r="A141" s="216" t="s">
        <v>200</v>
      </c>
    </row>
    <row r="142" ht="31.5">
      <c r="A142" s="216" t="s">
        <v>208</v>
      </c>
    </row>
    <row r="143" ht="15.75">
      <c r="A143" s="216" t="s">
        <v>201</v>
      </c>
    </row>
    <row r="144" ht="15.75">
      <c r="A144" s="216" t="s">
        <v>202</v>
      </c>
    </row>
    <row r="145" ht="15.75">
      <c r="A145" s="216" t="s">
        <v>203</v>
      </c>
    </row>
    <row r="146" ht="31.5">
      <c r="A146" s="216" t="s">
        <v>204</v>
      </c>
    </row>
    <row r="147" ht="31.5">
      <c r="A147" s="216" t="s">
        <v>209</v>
      </c>
    </row>
    <row r="148" ht="31.5">
      <c r="A148" s="216" t="s">
        <v>205</v>
      </c>
    </row>
    <row r="149" ht="31.5">
      <c r="A149" s="216" t="s">
        <v>210</v>
      </c>
    </row>
    <row r="150" ht="15.75">
      <c r="A150" s="216" t="s">
        <v>211</v>
      </c>
    </row>
    <row r="151" ht="15.75">
      <c r="A151" s="216"/>
    </row>
    <row r="152" ht="15.75">
      <c r="A152" s="388" t="s">
        <v>138</v>
      </c>
    </row>
    <row r="153" ht="47.25">
      <c r="A153" s="216" t="s">
        <v>169</v>
      </c>
    </row>
    <row r="154" ht="15.75">
      <c r="A154" s="113" t="s">
        <v>139</v>
      </c>
    </row>
    <row r="155" ht="15.75">
      <c r="A155" s="113" t="s">
        <v>143</v>
      </c>
    </row>
    <row r="156" ht="15.75">
      <c r="A156" s="113" t="s">
        <v>144</v>
      </c>
    </row>
    <row r="157" ht="15.75">
      <c r="A157" s="113" t="s">
        <v>140</v>
      </c>
    </row>
    <row r="158" ht="15.75">
      <c r="A158" s="113" t="s">
        <v>141</v>
      </c>
    </row>
    <row r="159" ht="15.75">
      <c r="A159" s="113" t="s">
        <v>142</v>
      </c>
    </row>
    <row r="160" ht="15.75">
      <c r="A160" s="216" t="s">
        <v>237</v>
      </c>
    </row>
    <row r="161" ht="15.75">
      <c r="A161" s="113" t="s">
        <v>145</v>
      </c>
    </row>
    <row r="162" ht="15.75">
      <c r="A162" s="113" t="s">
        <v>146</v>
      </c>
    </row>
    <row r="163" ht="15.75">
      <c r="A163" s="113" t="s">
        <v>170</v>
      </c>
    </row>
    <row r="164" ht="15.75">
      <c r="A164" s="113" t="s">
        <v>160</v>
      </c>
    </row>
    <row r="165" ht="15.75">
      <c r="A165" s="113" t="s">
        <v>171</v>
      </c>
    </row>
    <row r="166" ht="15.75">
      <c r="A166" s="113" t="s">
        <v>147</v>
      </c>
    </row>
    <row r="167" ht="15.75">
      <c r="A167" s="113" t="s">
        <v>238</v>
      </c>
    </row>
    <row r="168" ht="15.75">
      <c r="A168" s="113" t="s">
        <v>148</v>
      </c>
    </row>
    <row r="169" ht="15.75">
      <c r="A169" s="113" t="s">
        <v>161</v>
      </c>
    </row>
    <row r="170" ht="31.5">
      <c r="A170" s="216" t="s">
        <v>162</v>
      </c>
    </row>
    <row r="171" ht="15.75">
      <c r="A171" s="113" t="s">
        <v>163</v>
      </c>
    </row>
    <row r="172" ht="15.75">
      <c r="A172" s="113" t="s">
        <v>172</v>
      </c>
    </row>
    <row r="173" ht="15.75">
      <c r="A173" s="113" t="s">
        <v>206</v>
      </c>
    </row>
    <row r="174" ht="15.75">
      <c r="A174" s="113" t="s">
        <v>236</v>
      </c>
    </row>
    <row r="175" ht="15.75">
      <c r="A175" s="113" t="s">
        <v>174</v>
      </c>
    </row>
    <row r="176" ht="15.75">
      <c r="A176" s="113" t="s">
        <v>235</v>
      </c>
    </row>
    <row r="177" ht="15.75">
      <c r="A177" s="113" t="s">
        <v>175</v>
      </c>
    </row>
    <row r="178" ht="15.75">
      <c r="A178" s="113" t="s">
        <v>180</v>
      </c>
    </row>
    <row r="179" ht="15.75">
      <c r="A179" s="113" t="s">
        <v>181</v>
      </c>
    </row>
    <row r="180" ht="15.75">
      <c r="A180" s="113" t="s">
        <v>189</v>
      </c>
    </row>
    <row r="181" ht="15.75">
      <c r="A181"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c r="J4" s="579" t="s">
        <v>798</v>
      </c>
    </row>
    <row r="5" spans="1:10" ht="15.75">
      <c r="A5" s="1"/>
      <c r="B5" s="581"/>
      <c r="J5" s="579" t="s">
        <v>799</v>
      </c>
    </row>
    <row r="6" spans="1:10" ht="15.75">
      <c r="A6" s="1" t="s">
        <v>808</v>
      </c>
      <c r="B6" s="580"/>
      <c r="J6" s="579" t="s">
        <v>800</v>
      </c>
    </row>
    <row r="7" spans="4:10" ht="15.75">
      <c r="D7" s="370"/>
      <c r="J7" s="579" t="s">
        <v>801</v>
      </c>
    </row>
    <row r="8" spans="1:10" ht="15.75">
      <c r="A8" s="215" t="s">
        <v>389</v>
      </c>
      <c r="B8" s="371" t="s">
        <v>974</v>
      </c>
      <c r="C8" s="372"/>
      <c r="D8" s="215" t="s">
        <v>794</v>
      </c>
      <c r="J8" s="579" t="s">
        <v>802</v>
      </c>
    </row>
    <row r="9" spans="1:10" ht="15.75">
      <c r="A9" s="215"/>
      <c r="B9" s="373"/>
      <c r="C9" s="374"/>
      <c r="D9" s="582" t="str">
        <f>IF(B8="","",CONCATENATE("Latest date for notice to be published in your newspaper: ",G19," ",G23,", ",G24))</f>
        <v>Latest date for notice to be published in your newspaper: August 6, 2012</v>
      </c>
      <c r="J9" s="579" t="s">
        <v>803</v>
      </c>
    </row>
    <row r="10" spans="1:10" ht="15.75">
      <c r="A10" s="215" t="s">
        <v>390</v>
      </c>
      <c r="B10" s="371" t="s">
        <v>972</v>
      </c>
      <c r="C10" s="375"/>
      <c r="D10" s="215"/>
      <c r="J10" s="579" t="s">
        <v>804</v>
      </c>
    </row>
    <row r="11" spans="1:10" ht="15.75">
      <c r="A11" s="215"/>
      <c r="B11" s="215"/>
      <c r="C11" s="215"/>
      <c r="D11" s="215"/>
      <c r="J11" s="579" t="s">
        <v>805</v>
      </c>
    </row>
    <row r="12" spans="1:10" ht="15.75">
      <c r="A12" s="215" t="s">
        <v>391</v>
      </c>
      <c r="B12" s="376" t="s">
        <v>973</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973</v>
      </c>
      <c r="C15" s="376"/>
      <c r="D15" s="376"/>
      <c r="E15" s="377"/>
    </row>
    <row r="18" spans="1:5" ht="15.75">
      <c r="A18" s="778" t="s">
        <v>395</v>
      </c>
      <c r="B18" s="778"/>
      <c r="C18" s="215"/>
      <c r="D18" s="215"/>
      <c r="E18" s="215"/>
    </row>
    <row r="19" spans="1:7" ht="15.75">
      <c r="A19" s="215"/>
      <c r="B19" s="215"/>
      <c r="C19" s="215"/>
      <c r="D19" s="215"/>
      <c r="E19" s="215"/>
      <c r="G19" s="579" t="str">
        <f ca="1">IF(B8="","",INDIRECT(G20))</f>
        <v>August</v>
      </c>
    </row>
    <row r="20" spans="1:7" ht="15.75">
      <c r="A20" s="215" t="s">
        <v>389</v>
      </c>
      <c r="B20" s="373" t="s">
        <v>393</v>
      </c>
      <c r="C20" s="215"/>
      <c r="D20" s="215"/>
      <c r="E20" s="215"/>
      <c r="G20" s="583" t="str">
        <f>IF(B8="","",CONCATENATE("J",G22))</f>
        <v>J8</v>
      </c>
    </row>
    <row r="21" spans="1:7" ht="15.75">
      <c r="A21" s="215"/>
      <c r="B21" s="215"/>
      <c r="C21" s="215"/>
      <c r="D21" s="215"/>
      <c r="E21" s="215"/>
      <c r="G21" s="584">
        <f>B8-10</f>
        <v>41127</v>
      </c>
    </row>
    <row r="22" spans="1:7" ht="15.75">
      <c r="A22" s="215" t="s">
        <v>390</v>
      </c>
      <c r="B22" s="215" t="s">
        <v>396</v>
      </c>
      <c r="C22" s="215"/>
      <c r="D22" s="215"/>
      <c r="E22" s="215"/>
      <c r="G22" s="585">
        <f>IF(B8="","",MONTH(G21))</f>
        <v>8</v>
      </c>
    </row>
    <row r="23" spans="1:7" ht="15.75">
      <c r="A23" s="215"/>
      <c r="B23" s="215"/>
      <c r="C23" s="215"/>
      <c r="D23" s="215"/>
      <c r="E23" s="215"/>
      <c r="G23" s="586">
        <f>IF(B8="","",DAY(G21))</f>
        <v>6</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F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GREENWOOD COUNTY, State of Kansas</v>
      </c>
      <c r="B3" s="786"/>
      <c r="C3" s="786"/>
      <c r="D3" s="786"/>
      <c r="E3" s="786"/>
      <c r="F3" s="786"/>
    </row>
    <row r="4" spans="1:6" s="65" customFormat="1" ht="15.75">
      <c r="A4" s="799" t="s">
        <v>104</v>
      </c>
      <c r="B4" s="801"/>
      <c r="C4" s="801"/>
      <c r="D4" s="801"/>
      <c r="E4" s="801"/>
      <c r="F4" s="801"/>
    </row>
    <row r="5" spans="1:6" s="65" customFormat="1" ht="15.75">
      <c r="A5" s="802" t="str">
        <f>inputPrYr!D3</f>
        <v>QUINCY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247</v>
      </c>
      <c r="E12" s="791" t="str">
        <f>CONCATENATE("Amount of ",G1-1," Ad Valorem Tax")</f>
        <v>Amount of 2012 Ad Valorem Tax</v>
      </c>
      <c r="F12" s="74" t="s">
        <v>248</v>
      </c>
    </row>
    <row r="13" spans="3:6" s="65" customFormat="1" ht="15.75">
      <c r="C13" s="74" t="s">
        <v>249</v>
      </c>
      <c r="D13" s="501" t="s">
        <v>177</v>
      </c>
      <c r="E13" s="792"/>
      <c r="F13" s="76" t="s">
        <v>250</v>
      </c>
    </row>
    <row r="14" spans="1:6" s="65" customFormat="1" ht="15.75">
      <c r="A14" s="77" t="s">
        <v>251</v>
      </c>
      <c r="B14" s="78"/>
      <c r="C14" s="79" t="s">
        <v>252</v>
      </c>
      <c r="D14" s="502" t="s">
        <v>730</v>
      </c>
      <c r="E14" s="793"/>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t="str">
        <f>IF(gen!C61&gt;0,gen!C61,"  ")</f>
        <v>  </v>
      </c>
      <c r="D21" s="588">
        <f>IF(gen!$E$50&lt;&gt;0,gen!$E$50,"  ")</f>
        <v>3350</v>
      </c>
      <c r="E21" s="588">
        <f>IF(gen!$E$57&lt;&gt;0,gen!$E$57,0)</f>
        <v>1468</v>
      </c>
      <c r="F21" s="589" t="str">
        <f>IF(AND(gen!E57=0,$B$47&gt;=0)," ",IF(AND(E21&gt;0,$B$47=0)," ",IF(AND(E21&gt;0,$B$47&gt;0),ROUND(E21/$B$47*1000,3))))</f>
        <v> </v>
      </c>
    </row>
    <row r="22" spans="1:6" s="65" customFormat="1" ht="15.75">
      <c r="A22" s="90" t="s">
        <v>314</v>
      </c>
      <c r="B22" s="91" t="str">
        <f>IF(inputPrYr!C21&gt;0,inputPrYr!C21,"")</f>
        <v>10-113</v>
      </c>
      <c r="C22" s="92" t="str">
        <f>IF('Not Used'!C83&gt;0,'Not Used'!C83,"  ")</f>
        <v>  </v>
      </c>
      <c r="D22" s="588" t="str">
        <f>IF('Not Used'!E33&lt;&gt;0,'Not Used'!E33,"  ")</f>
        <v>  </v>
      </c>
      <c r="E22" s="588" t="str">
        <f>IF('Not Used'!E40&lt;&gt;0,'Not Used'!E40,"  ")</f>
        <v>  </v>
      </c>
      <c r="F22" s="589" t="str">
        <f>IF(AND('Not Used'!E40=0,$B$47&gt;=0)," ",IF(AND(E22&gt;0,$B$47=0)," ",IF(AND(E22&gt;0,$B$47&gt;0),ROUND(E22/$B$47*1000,3))))</f>
        <v> </v>
      </c>
    </row>
    <row r="23" spans="1:6" s="65" customFormat="1" ht="15.75">
      <c r="A23" s="90" t="str">
        <f>IF(inputPrYr!$B22&gt;"  ",inputPrYr!$B22,"  ")</f>
        <v>Library</v>
      </c>
      <c r="B23" s="91" t="str">
        <f>IF(inputPrYr!C22&gt;0,inputPrYr!C22,"")</f>
        <v>12-1220</v>
      </c>
      <c r="C23" s="92" t="str">
        <f>IF('Not Used'!C83&gt;0,'Not Used'!C83,"  ")</f>
        <v>  </v>
      </c>
      <c r="D23" s="588" t="str">
        <f>IF('Not Used'!E73&lt;&gt;0,'Not Used'!E73,"  ")</f>
        <v>  </v>
      </c>
      <c r="E23" s="588" t="str">
        <f>IF('Not Used'!E80&lt;&gt;0,'Not Used'!E80,"  ")</f>
        <v>  </v>
      </c>
      <c r="F23" s="589" t="str">
        <f>IF(AND('Not Used'!E80=0,$B$47&gt;=0),"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47000</v>
      </c>
      <c r="E24" s="588">
        <f>IF(road!$E$50&lt;&gt;0,road!$E$50,"  ")</f>
        <v>21518</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IF(Noxious!C81&gt;0,Noxious!C81,"  ")</f>
        <v>  </v>
      </c>
      <c r="D25" s="588" t="str">
        <f>IF(Noxious!$E$33&lt;&gt;0,Noxious!$E$33,"  ")</f>
        <v>  </v>
      </c>
      <c r="E25" s="588" t="str">
        <f>IF(Noxious!$E$40&lt;&gt;0,Noxious!$E$40,"  ")</f>
        <v>  </v>
      </c>
      <c r="F25" s="589" t="str">
        <f>IF(AND(Noxious!E40=0,$B$44&gt;=0)," ",IF(AND(E25&gt;0,$B$44=0)," ",IF(AND(E25&gt;0,$B$44&gt;0),ROUND(E25/$B$44*1000,3))))</f>
        <v> </v>
      </c>
    </row>
    <row r="26" spans="1:6" s="65" customFormat="1" ht="15.75">
      <c r="A26" s="90" t="str">
        <f>IF(inputPrYr!$B25&gt;"  ",inputPrYr!$B25,"  ")</f>
        <v>Noxious Weed</v>
      </c>
      <c r="B26" s="91" t="str">
        <f>IF(inputPrYr!C25&gt;0,inputPrYr!C25,"  ")</f>
        <v>2-1318</v>
      </c>
      <c r="C26" s="92" t="str">
        <f>IF(Noxious!C81&gt;0,Noxious!C81,"  ")</f>
        <v>  </v>
      </c>
      <c r="D26" s="588">
        <f>IF(Noxious!$E$73&lt;&gt;0,Noxious!$E$73,"  ")</f>
        <v>4075</v>
      </c>
      <c r="E26" s="588">
        <f>IF(Noxious!$E$80&lt;&gt;0,Noxious!$E$80,"  ")</f>
        <v>1910</v>
      </c>
      <c r="F26" s="589" t="str">
        <f>IF(AND(Noxious!E80=0,$B$44&gt;=0)," ",IF(AND(E26&gt;0,$B$44=0)," ",IF(AND(E26&gt;0,$B$44&gt;0),ROUND(E26/$B$44*1000,3))))</f>
        <v> </v>
      </c>
    </row>
    <row r="27" spans="1:6" s="65" customFormat="1" ht="15.75">
      <c r="A27" s="90" t="str">
        <f>IF(inputPrYr!$B26&gt;"  ",inputPrYr!$B26,"  ")</f>
        <v>Fire Protection</v>
      </c>
      <c r="B27" s="91" t="str">
        <f>IF(inputPrYr!C26&gt;0,inputPrYr!C26,"  ")</f>
        <v>80-1503</v>
      </c>
      <c r="C27" s="92" t="str">
        <f>IF(Cemetery!C81&gt;0,Cemetery!C81,"  ")</f>
        <v>  </v>
      </c>
      <c r="D27" s="588" t="str">
        <f>IF(Cemetery!$E$33&lt;&gt;0,Cemetery!$E$33,"  ")</f>
        <v>  </v>
      </c>
      <c r="E27" s="588" t="str">
        <f>IF(Cemetery!$E$40&lt;&gt;0,Cemetery!$E$40,"  ")</f>
        <v>  </v>
      </c>
      <c r="F27" s="589" t="str">
        <f>IF(AND(Cemetery!$E$40=0,$B$44&gt;=0)," ",IF(AND(E27&gt;0,$B$44=0)," ",IF(AND(E27&gt;0,$B$44&gt;0),ROUND(E27/$B$44*1000,3))))</f>
        <v> </v>
      </c>
    </row>
    <row r="28" spans="1:6" s="65" customFormat="1" ht="15.75">
      <c r="A28" s="90" t="str">
        <f>IF(inputPrYr!$B27&gt;"  ",inputPrYr!$B27,"  ")</f>
        <v>Cemetery</v>
      </c>
      <c r="B28" s="91" t="str">
        <f>IF(inputPrYr!C27&gt;0,inputPrYr!C27,"  ")</f>
        <v>79-1962</v>
      </c>
      <c r="C28" s="92" t="str">
        <f>IF(Cemetery!C81&gt;0,Cemetery!C81,"  ")</f>
        <v>  </v>
      </c>
      <c r="D28" s="588">
        <f>IF(Cemetery!$E$73&lt;&gt;0,Cemetery!$E$73,"  ")</f>
        <v>6850</v>
      </c>
      <c r="E28" s="588">
        <f>IF(Cemetery!$E$80&lt;&gt;0,Cemetery!$E$80,"  ")</f>
        <v>2523</v>
      </c>
      <c r="F28" s="589" t="str">
        <f>IF(AND(Cemetery!$E$80=0,$B$47&gt;=0)," ",IF(AND(E28&gt;0,$B$47=0)," ",IF(AND(E28&gt;0,$B$47&gt;0),ROUND(E28/$B$47*1000,3))))</f>
        <v> </v>
      </c>
    </row>
    <row r="29" spans="1:6" s="65" customFormat="1" ht="15.75">
      <c r="A29" s="90" t="str">
        <f>IF(inputPrYr!$B28&gt;"  ",inputPrYr!$B28,"  ")</f>
        <v>Neal Street Lights</v>
      </c>
      <c r="B29" s="91" t="str">
        <f>IF(inputPrYr!C28&gt;0,inputPrYr!C28,"  ")</f>
        <v>  </v>
      </c>
      <c r="C29" s="92" t="str">
        <f>IF('Neal Lights'!C81&gt;0,'Neal Lights'!C81,"  ")</f>
        <v>  </v>
      </c>
      <c r="D29" s="588">
        <f>IF('Neal Lights'!$E$33&lt;&gt;0,'Neal Lights'!$E$33,"  ")</f>
        <v>1150</v>
      </c>
      <c r="E29" s="588">
        <f>IF('Neal Lights'!$E$40&lt;&gt;0,'Neal Lights'!$E$40,"  ")</f>
        <v>544</v>
      </c>
      <c r="F29" s="589" t="str">
        <f>IF(AND('Neal Lights'!$E$40=0,$B$47&gt;=0)," ",IF(AND(E29&gt;0,$B$47=0)," ",IF(AND(E29&gt;0,$B$47&gt;0),ROUND(E29/$B$47*1000,3))))</f>
        <v> </v>
      </c>
    </row>
    <row r="30" spans="1:6" s="65" customFormat="1" ht="15.75">
      <c r="A30" s="90" t="str">
        <f>IF(inputPrYr!$B29&gt;"  ",inputPrYr!$B29,"  ")</f>
        <v>  </v>
      </c>
      <c r="B30" s="91" t="str">
        <f>IF(inputPrYr!C29&gt;0,inputPrYr!C29,"  ")</f>
        <v>  </v>
      </c>
      <c r="C30" s="92" t="str">
        <f>IF('Neal Lights'!C81&gt;0,'Neal Lights'!C81,"  ")</f>
        <v>  </v>
      </c>
      <c r="D30" s="588" t="str">
        <f>IF('Neal Lights'!$E$73&lt;&gt;0,'Neal Lights'!$E$73,"  ")</f>
        <v>  </v>
      </c>
      <c r="E30" s="588" t="str">
        <f>IF('Neal Lights'!$E$80&lt;&gt;0,'Neal Lights'!$E$80,"  ")</f>
        <v>  </v>
      </c>
      <c r="F30" s="589" t="str">
        <f>IF(AND('Neal Lights'!$E$80=0,$B$47&gt;=0)," ",IF(AND(E30&gt;0,$B$47=0)," ",IF(AND(E30&gt;0,$B$47&gt;0),ROUND(E30/$B$47*1000,3))))</f>
        <v> </v>
      </c>
    </row>
    <row r="31" spans="1:6" s="65" customFormat="1" ht="15.75">
      <c r="A31" s="90" t="str">
        <f>IF(inputPrYr!$B30&gt;"  ",inputPrYr!$B30,"  ")</f>
        <v>  </v>
      </c>
      <c r="B31" s="91" t="str">
        <f>IF(inputPrYr!C30&gt;0,inputPrYr!C30,"  ")</f>
        <v>  </v>
      </c>
      <c r="C31" s="92" t="str">
        <f>IF('No Use'!C81&gt;0,'No Use'!C81,"  ")</f>
        <v>  </v>
      </c>
      <c r="D31" s="588" t="str">
        <f>IF('No Use'!$E$33&lt;&gt;0,'No Use'!$E$33,"  ")</f>
        <v>  </v>
      </c>
      <c r="E31" s="588" t="str">
        <f>IF('No Use'!$E$40&lt;&gt;0,'No Use'!$E$40,"  ")</f>
        <v>  </v>
      </c>
      <c r="F31" s="589" t="str">
        <f>IF(AND('No Use'!$E$40=0,$B$47&gt;=0)," ",IF(AND(E31&gt;0,$B$47=0)," ",IF(AND(E31&gt;0,$B$47&gt;0),ROUND(E31/$B$47*1000,3))))</f>
        <v> </v>
      </c>
    </row>
    <row r="32" spans="1:6" s="65" customFormat="1" ht="15.75">
      <c r="A32" s="90" t="str">
        <f>IF(inputPrYr!$B31&gt;"  ",inputPrYr!$B31,"  ")</f>
        <v>  </v>
      </c>
      <c r="B32" s="91" t="str">
        <f>IF(inputPrYr!C31&gt;0,inputPrYr!C31,"  ")</f>
        <v>  </v>
      </c>
      <c r="C32" s="92" t="str">
        <f>IF('No Use'!C81&gt;0,'No Use'!C81,"  ")</f>
        <v>  </v>
      </c>
      <c r="D32" s="588" t="str">
        <f>IF('No Use'!$E$73&lt;&gt;0,'No Use'!$E$73,"  ")</f>
        <v>  </v>
      </c>
      <c r="E32" s="588" t="str">
        <f>IF('No Use'!$E$80&lt;&gt;0,'No Use'!$E$80,"  ")</f>
        <v>  </v>
      </c>
      <c r="F32" s="589" t="str">
        <f>IF(AND('No Use'!$E$80=0,$B$47&gt;=0),"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62425</v>
      </c>
      <c r="E39" s="591">
        <f>SUM(E21:E38)</f>
        <v>27963</v>
      </c>
      <c r="F39" s="592">
        <f>IF(SUM(F21:F38)&gt;0,SUM(F21:F38),"")</f>
      </c>
    </row>
    <row r="40" spans="1:3" s="65" customFormat="1" ht="16.5" thickTop="1">
      <c r="A40" s="85" t="s">
        <v>118</v>
      </c>
      <c r="B40" s="81"/>
      <c r="C40" s="96">
        <f>summ!C54</f>
        <v>0</v>
      </c>
    </row>
    <row r="41" spans="1:5" s="65" customFormat="1" ht="15.75">
      <c r="A41" s="80" t="s">
        <v>173</v>
      </c>
      <c r="B41" s="81"/>
      <c r="C41" s="96">
        <f>IF(nhood!C40&gt;0,nhood!C40,"")</f>
      </c>
      <c r="D41" s="101" t="s">
        <v>109</v>
      </c>
      <c r="E41" s="102" t="str">
        <f>IF(E39&gt;computation!J34,"Yes","No")</f>
        <v>Yes</v>
      </c>
    </row>
    <row r="42" spans="1:5" s="65" customFormat="1" ht="15.7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QUINCY TOWNSHIP</v>
      </c>
      <c r="B44" s="781"/>
      <c r="C44" s="782"/>
      <c r="D44" s="107"/>
      <c r="F44" s="72"/>
    </row>
    <row r="45" spans="1:6" s="65" customFormat="1" ht="15.75">
      <c r="A45" s="80" t="str">
        <f>inputPrYr!D6</f>
        <v>NEAL STREET LIGHTS</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261</v>
      </c>
      <c r="D49" s="71"/>
      <c r="F49" s="72"/>
    </row>
    <row r="50" spans="1:6" s="65" customFormat="1" ht="15.75">
      <c r="A50" s="110" t="s">
        <v>967</v>
      </c>
      <c r="D50" s="106"/>
      <c r="E50" s="71"/>
      <c r="F50" s="71"/>
    </row>
    <row r="51" spans="1:2" s="65" customFormat="1" ht="15.75">
      <c r="A51" s="111" t="s">
        <v>968</v>
      </c>
      <c r="B51" s="70"/>
    </row>
    <row r="52" spans="1:6" s="65" customFormat="1" ht="15.75">
      <c r="A52" s="108" t="s">
        <v>97</v>
      </c>
      <c r="D52" s="71" t="s">
        <v>810</v>
      </c>
      <c r="E52" s="71"/>
      <c r="F52" s="71"/>
    </row>
    <row r="53" spans="1:6" s="65" customFormat="1" ht="15.75">
      <c r="A53" s="110" t="s">
        <v>969</v>
      </c>
      <c r="C53" s="72"/>
      <c r="D53" s="71"/>
      <c r="E53" s="71"/>
      <c r="F53" s="71"/>
    </row>
    <row r="54" spans="1:6" s="65" customFormat="1" ht="15.75">
      <c r="A54" s="111" t="s">
        <v>970</v>
      </c>
      <c r="B54" s="72"/>
      <c r="D54" s="71" t="s">
        <v>810</v>
      </c>
      <c r="E54" s="70"/>
      <c r="F54" s="70"/>
    </row>
    <row r="55" spans="1:7" ht="15.75">
      <c r="A55" s="108" t="s">
        <v>809</v>
      </c>
      <c r="B55" s="70"/>
      <c r="C55" s="65"/>
      <c r="D55" s="71"/>
      <c r="E55" s="71"/>
      <c r="F55" s="71"/>
      <c r="G55" s="112"/>
    </row>
    <row r="56" spans="1:7" ht="15.75">
      <c r="A56" s="110" t="s">
        <v>971</v>
      </c>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85" t="s">
        <v>262</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4">
      <selection activeCell="L6" sqref="L6"/>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QUINCY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24778</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24778</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3449</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38235</v>
      </c>
      <c r="F14" s="265"/>
      <c r="G14" s="190"/>
      <c r="H14" s="190"/>
      <c r="I14" s="269"/>
      <c r="J14" s="190"/>
    </row>
    <row r="15" spans="1:10" ht="15.75">
      <c r="A15" s="264"/>
      <c r="B15" s="65" t="s">
        <v>40</v>
      </c>
      <c r="C15" s="65" t="str">
        <f>CONCATENATE("Personal Property ",J1-2,"")</f>
        <v>Personal Property 2011</v>
      </c>
      <c r="D15" s="264" t="s">
        <v>35</v>
      </c>
      <c r="E15" s="268">
        <f>inputOth!E31</f>
        <v>33538</v>
      </c>
      <c r="F15" s="265"/>
      <c r="G15" s="269"/>
      <c r="H15" s="269"/>
      <c r="I15" s="190"/>
      <c r="J15" s="190"/>
    </row>
    <row r="16" spans="1:10" ht="15.75">
      <c r="A16" s="264"/>
      <c r="B16" s="65" t="s">
        <v>41</v>
      </c>
      <c r="C16" s="65" t="s">
        <v>60</v>
      </c>
      <c r="D16" s="65"/>
      <c r="E16" s="190"/>
      <c r="F16" s="190" t="s">
        <v>279</v>
      </c>
      <c r="G16" s="242">
        <f>IF(E14&gt;E15,E14-E15,0)</f>
        <v>4697</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1779</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9925</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1685761</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1675836</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0.005922417229370893</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147</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24925</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'Not Used'!E40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24925</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D19" sqref="D19"/>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QUINCY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1262</v>
      </c>
      <c r="E11" s="234">
        <f>IF(inputOth!D37&gt;0,inputOth!D37,"  ")</f>
        <v>0.823</v>
      </c>
      <c r="F11" s="235"/>
      <c r="G11" s="90">
        <f>IF(inputPrYr!E20=0,0,G25-SUM(G12:G22))</f>
        <v>139</v>
      </c>
      <c r="H11" s="236"/>
      <c r="I11" s="90">
        <f>IF(inputPrYr!E20=0,0,I27-SUM(I12:I22))</f>
        <v>2</v>
      </c>
      <c r="J11" s="90">
        <f>IF(inputPrYr!E20=0,0,J29-SUM(J12:J22))</f>
        <v>13</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19042</v>
      </c>
      <c r="E14" s="234">
        <f>IF(inputOth!D40&gt;0,inputOth!D40,"  ")</f>
        <v>12.412</v>
      </c>
      <c r="F14" s="235"/>
      <c r="G14" s="90">
        <f>IF(inputPrYr!E23=0,0,ROUND(D14*$G$31,0))</f>
        <v>2086</v>
      </c>
      <c r="H14" s="236"/>
      <c r="I14" s="90">
        <f>IF(inputPrYr!$E$23=0,0,ROUND($D$14*$I$33,0))</f>
        <v>34</v>
      </c>
      <c r="J14" s="90">
        <f>IF(inputPrYr!E23=0,0,ROUND($D14*$J$35,0))</f>
        <v>194</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f>IF(inputPrYr!E25&gt;0,inputPrYr!E25,"  ")</f>
        <v>1737</v>
      </c>
      <c r="E16" s="234">
        <f>IF(inputOth!D42&gt;0,inputOth!D42,"  ")</f>
        <v>1.132</v>
      </c>
      <c r="F16" s="235"/>
      <c r="G16" s="90">
        <f>IF(inputPrYr!E25=0,0,ROUND(D16*$G$31,0))</f>
        <v>190</v>
      </c>
      <c r="H16" s="236"/>
      <c r="I16" s="90">
        <f>IF(inputPrYr!$E$25=0,0,ROUND($D$16*$I$33,0))</f>
        <v>3</v>
      </c>
      <c r="J16" s="90">
        <f>IF(inputPrYr!E25=0,0,ROUND($D16*$J$35,0))</f>
        <v>18</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Cemetery</v>
      </c>
      <c r="C18" s="233"/>
      <c r="D18" s="90">
        <f>IF(inputPrYr!E27&gt;0,inputPrYr!E27,"  ")</f>
        <v>2250</v>
      </c>
      <c r="E18" s="234">
        <f>IF(inputOth!D44&gt;0,inputOth!D44,"  ")</f>
        <v>1.467</v>
      </c>
      <c r="F18" s="235"/>
      <c r="G18" s="90">
        <f>IF(inputPrYr!E27=0,0,ROUND(D18*$G$31,0))</f>
        <v>247</v>
      </c>
      <c r="H18" s="236"/>
      <c r="I18" s="90">
        <f>IF(inputPrYr!$E$27=0,0,ROUND($D$18*$I$33,0))</f>
        <v>4</v>
      </c>
      <c r="J18" s="90">
        <f>IF(inputPrYr!E27=0,0,ROUND($D18*$J$35,0))</f>
        <v>23</v>
      </c>
      <c r="K18" s="211"/>
    </row>
    <row r="19" spans="1:11" ht="15.75">
      <c r="A19" s="65"/>
      <c r="B19" s="90" t="str">
        <f>IF(inputPrYr!$B28&gt;"  ",inputPrYr!$B28,"  ")</f>
        <v>Neal Street Lights</v>
      </c>
      <c r="C19" s="233"/>
      <c r="D19" s="90">
        <f>IF(inputPrYr!E28&gt;0,inputPrYr!E28,"  ")</f>
        <v>487</v>
      </c>
      <c r="E19" s="234">
        <f>IF(inputOth!D45&gt;0,inputOth!D45,"  ")</f>
        <v>5.814</v>
      </c>
      <c r="F19" s="235"/>
      <c r="G19" s="90">
        <f>IF(inputPrYr!E28=0,0,ROUND(D19*$G$31,0))</f>
        <v>53</v>
      </c>
      <c r="H19" s="236"/>
      <c r="I19" s="90">
        <f>IF(inputPrYr!$E$28=0,0,ROUND($D$19*$I$33,0))</f>
        <v>1</v>
      </c>
      <c r="J19" s="90">
        <f>IF(inputPrYr!E28=0,0,ROUND($D19*$J$35,0))</f>
        <v>5</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24778</v>
      </c>
      <c r="E23" s="239">
        <f>SUM(E11:E22)</f>
        <v>21.648000000000003</v>
      </c>
      <c r="F23" s="240"/>
      <c r="G23" s="238">
        <f t="shared" si="0"/>
        <v>2715</v>
      </c>
      <c r="H23" s="238"/>
      <c r="I23" s="238">
        <f t="shared" si="0"/>
        <v>44</v>
      </c>
      <c r="J23" s="238">
        <f t="shared" si="0"/>
        <v>253</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2715</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44</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253</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0.10957300831382678</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0.0017757688271854064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0.010210670756316088</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QUINCY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8875</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8875</v>
      </c>
      <c r="E27" s="262">
        <f>SUM(E10:E26)</f>
        <v>0</v>
      </c>
      <c r="F27" s="192"/>
    </row>
    <row r="28" spans="1:6" ht="15.75">
      <c r="A28" s="192"/>
      <c r="B28" s="88" t="s">
        <v>628</v>
      </c>
      <c r="C28" s="65"/>
      <c r="D28" s="180"/>
      <c r="E28" s="180"/>
      <c r="F28" s="192"/>
    </row>
    <row r="29" spans="1:6" ht="15.75">
      <c r="A29" s="192"/>
      <c r="B29" s="88" t="s">
        <v>127</v>
      </c>
      <c r="C29" s="182">
        <f>C27</f>
        <v>0</v>
      </c>
      <c r="D29" s="182">
        <f>SUM(D27-D28)</f>
        <v>8875</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2012-07-17T13:52:21Z</cp:lastPrinted>
  <dcterms:created xsi:type="dcterms:W3CDTF">1998-08-26T16:30:41Z</dcterms:created>
  <dcterms:modified xsi:type="dcterms:W3CDTF">2012-07-17T13:57:54Z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