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ubNotice"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<sst xmlns="http://schemas.openxmlformats.org/spreadsheetml/2006/main" count="1563" uniqueCount="947">
  <si>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</si>
  <si>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</si>
  <si>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</si>
  <si>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</si>
  <si>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</si>
  <si>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</si>
  <si>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</si>
  <si>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</si>
  <si>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</si>
  <si>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</si>
  <si>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</si>
  <si>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</si>
  <si>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</si>
  <si>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</si>
  <si>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</si>
  <si>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</si>
  <si>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</si>
  <si>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</si>
  <si>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</si>
  <si>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</si>
  <si>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</si>
  <si>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</si>
  <si>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</si>
  <si>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</si>
  <si>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</si>
  <si>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</si>
  <si>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</si>
  <si>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</si>
  <si>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</si>
  <si>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</si>
  <si>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</si>
  <si>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</si>
  <si>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</si>
  <si>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</si>
  <si>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</si>
  <si>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</si>
  <si>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</si>
  <si>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</si>
  <si>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</si>
  <si>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</si>
  <si>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</si>
  <si>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</si>
  <si>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</si>
  <si>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</si>
  <si>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</si>
  <si>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</si>
  <si>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</si>
  <si>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</si>
  <si>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</si>
  <si>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</si>
  <si>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</si>
  <si>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</si>
  <si>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</si>
  <si>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</si>
  <si>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</si>
  <si>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</si>
  <si>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</si>
  <si>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</si>
  <si>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</si>
  <si>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</si>
  <si>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</si>
  <si>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</si>
  <si>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</si>
  <si>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</si>
  <si>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</si>
  <si>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</si>
  <si>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</si>
  <si>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</si>
  <si>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</si>
  <si>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</si>
  <si>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</si>
  <si>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</si>
  <si>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</si>
  <si>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</si>
  <si>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</si>
  <si>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</si>
  <si>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</si>
  <si>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</si>
  <si>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</si>
  <si>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</si>
  <si>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</si>
  <si>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</si>
  <si>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</si>
  <si>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</si>
  <si>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</si>
  <si>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</si>
  <si>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</si>
  <si>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</si>
  <si>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</si>
  <si>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</si>
  <si>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</si>
  <si>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</si>
  <si>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</si>
  <si>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</si>
  <si>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</si>
  <si>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</si>
  <si>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</si>
  <si>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</si>
  <si>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</si>
  <si>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</si>
  <si>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</si>
  <si>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</si>
  <si>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</si>
  <si>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</si>
  <si>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</si>
  <si>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</si>
  <si>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</si>
  <si>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</si>
  <si>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</si>
  <si>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</si>
  <si>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</si>
  <si>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</si>
  <si>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</si>
  <si>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</si>
  <si>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</si>
  <si>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</si>
  <si>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</si>
  <si>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</si>
  <si>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</si>
  <si>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</si>
  <si>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</si>
  <si>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</si>
  <si>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</si>
  <si>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</si>
  <si>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</si>
  <si>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</si>
  <si>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</si>
  <si>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</si>
  <si>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</si>
  <si>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</si>
  <si>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</si>
  <si>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</si>
  <si>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</si>
  <si>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</si>
  <si>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</si>
  <si>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</si>
  <si>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</si>
  <si>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</si>
  <si>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</si>
  <si>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</si>
  <si>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</si>
  <si>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</si>
  <si>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</si>
  <si>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</si>
  <si>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</si>
  <si>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</si>
  <si>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</si>
  <si>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</si>
  <si>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</si>
  <si>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</si>
  <si>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</si>
  <si>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</si>
  <si>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</si>
  <si>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</si>
  <si>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</si>
  <si>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</si>
  <si>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</si>
  <si>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</si>
  <si>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</si>
  <si>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</si>
  <si>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</si>
  <si>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</si>
  <si>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</si>
  <si>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</si>
  <si>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</si>
  <si>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</si>
  <si>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</si>
  <si>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</si>
  <si>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</si>
  <si>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</si>
  <si>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</si>
  <si>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</si>
  <si>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</si>
  <si>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</si>
  <si>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</si>
  <si>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</si>
  <si>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</si>
  <si>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</si>
  <si>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</si>
  <si>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</si>
  <si>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</si>
  <si>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</si>
  <si>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</si>
  <si>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</si>
  <si>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</si>
  <si>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</si>
  <si>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</si>
  <si>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</si>
  <si>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</si>
  <si>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</si>
  <si>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</si>
  <si>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</si>
  <si>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</si>
  <si>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</si>
  <si>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</si>
  <si>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</si>
  <si>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</si>
  <si>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</si>
  <si>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</si>
  <si>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</si>
  <si>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</si>
  <si>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</si>
  <si>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</si>
  <si>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</si>
  <si>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</si>
  <si>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</si>
  <si>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</si>
  <si>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</si>
  <si>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</si>
  <si>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</si>
  <si>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</si>
  <si>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</si>
  <si>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</si>
  <si>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</si>
  <si>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</si>
  <si>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</si>
  <si>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</si>
  <si>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</si>
  <si>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</si>
  <si>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</si>
  <si>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</si>
  <si>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</si>
  <si>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</si>
  <si>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</si>
  <si>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</si>
  <si>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</si>
  <si>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</si>
  <si>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</si>
  <si>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</si>
  <si>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</si>
  <si>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</si>
  <si>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</si>
  <si>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</si>
  <si>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</si>
  <si>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</si>
  <si>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</si>
  <si>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</si>
  <si>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</si>
  <si>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</si>
  <si>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</si>
  <si>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</si>
  <si>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</si>
  <si>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</si>
  <si>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</si>
  <si>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</si>
  <si>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</si>
  <si>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</si>
  <si>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</si>
  <si>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</si>
  <si>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</si>
  <si>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</si>
  <si>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</si>
  <si>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</si>
  <si>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</si>
  <si>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</si>
  <si>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</si>
  <si>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</si>
  <si>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</si>
  <si>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</si>
  <si>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</si>
  <si>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</si>
  <si>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</si>
  <si>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</si>
  <si>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</si>
  <si>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</si>
  <si>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</si>
  <si>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</si>
  <si>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</si>
  <si>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</si>
  <si>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</si>
  <si>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</si>
  <si>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</si>
  <si>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</si>
  <si>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</si>
  <si>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</si>
  <si>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</si>
  <si>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</si>
  <si>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</si>
  <si>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</si>
  <si>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</si>
  <si>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</si>
  <si>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</si>
  <si>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</si>
  <si>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</si>
  <si>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</si>
  <si>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</si>
  <si>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</si>
  <si>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</si>
  <si>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</si>
  <si>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</si>
  <si>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</si>
  <si>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</si>
  <si>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</si>
  <si>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</si>
  <si>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</si>
  <si>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</si>
  <si>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</si>
  <si>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</si>
  <si>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</si>
  <si>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</si>
  <si>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</si>
  <si>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</si>
  <si>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</si>
  <si>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</si>
  <si>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</si>
  <si>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</si>
  <si>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</si>
  <si>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</si>
  <si>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</si>
  <si>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</si>
  <si>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</si>
  <si>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</si>
  <si>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</si>
  <si>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</si>
  <si>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</si>
  <si>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</si>
  <si>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</si>
  <si>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</si>
  <si>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</si>
  <si>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</si>
  <si>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</si>
  <si>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</si>
  <si>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</si>
  <si>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</si>
  <si>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</si>
  <si>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</si>
  <si>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</si>
  <si>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</si>
  <si>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</si>
  <si>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</si>
  <si>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</si>
  <si>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</si>
  <si>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</si>
  <si>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</si>
  <si>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</si>
  <si>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</si>
  <si>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</si>
  <si>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</si>
  <si>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</si>
  <si>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</si>
  <si>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</si>
  <si>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</si>
  <si>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</si>
  <si>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</si>
  <si>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</si>
  <si>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</si>
  <si>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</si>
  <si>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</si>
  <si>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</si>
  <si>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</si>
  <si>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</si>
  <si>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</si>
  <si>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</si>
  <si>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</si>
  <si>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</si>
  <si>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</si>
  <si>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</si>
  <si>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</si>
  <si>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</si>
  <si>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</si>
  <si>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</si>
  <si>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</si>
  <si>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</si>
  <si>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</si>
  <si>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</si>
  <si>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</si>
  <si>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</si>
  <si>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</si>
  <si>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</si>
  <si>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</si>
  <si>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</si>
  <si>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</si>
  <si>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</si>
  <si>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</si>
  <si>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</si>
  <si>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</si>
  <si>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</si>
  <si>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</si>
  <si>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</si>
  <si>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</si>
  <si>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</si>
  <si>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</si>
  <si>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</si>
  <si>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</si>
  <si>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</si>
  <si>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</si>
  <si>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</si>
  <si>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</si>
  <si>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</si>
  <si>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</si>
  <si>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</si>
  <si>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</si>
  <si>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</si>
  <si>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</si>
  <si>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</si>
  <si>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</si>
  <si>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</si>
  <si>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</si>
  <si>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</si>
  <si>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</si>
  <si>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</si>
  <si>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</si>
  <si>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</si>
  <si>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</si>
  <si>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</si>
  <si>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</si>
  <si>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</si>
  <si>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</si>
  <si>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</si>
  <si>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</si>
  <si>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</si>
  <si>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</si>
  <si>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</si>
  <si>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</si>
  <si>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</si>
  <si>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</si>
  <si>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</si>
  <si>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</si>
  <si>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</si>
  <si>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</si>
  <si>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</si>
  <si>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</si>
  <si>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</si>
  <si>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</si>
  <si>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</si>
  <si>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</si>
  <si>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</si>
  <si>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</si>
  <si>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</si>
  <si>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</si>
  <si>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</si>
  <si>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</si>
  <si>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</si>
  <si>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</si>
  <si>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</si>
  <si>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</si>
  <si>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</si>
  <si>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</si>
  <si>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</si>
  <si>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</si>
  <si>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</si>
  <si>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</si>
  <si>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</si>
  <si>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</si>
  <si>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</si>
  <si>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</si>
  <si>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</si>
  <si>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</si>
  <si>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</si>
  <si>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</si>
  <si>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</si>
  <si>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</si>
  <si>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</si>
  <si>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</si>
  <si>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</si>
  <si>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</si>
  <si>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</si>
  <si>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</si>
  <si>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</si>
  <si>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</si>
  <si>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</si>
  <si>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</si>
  <si>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</si>
  <si>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</si>
  <si>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</si>
  <si>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</si>
  <si>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</si>
  <si>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</si>
  <si>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</si>
  <si>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</si>
  <si>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</si>
  <si>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</si>
  <si>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</si>
  <si>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</si>
  <si>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</si>
  <si>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</si>
  <si>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</si>
  <si>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</si>
  <si>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</si>
  <si>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</si>
  <si>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</si>
  <si>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</si>
  <si>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</si>
  <si>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</si>
  <si>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</si>
  <si>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</si>
  <si>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</si>
  <si>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</si>
  <si>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</si>
  <si>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</si>
  <si>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</si>
  <si>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</si>
  <si>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</si>
  <si>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</si>
  <si>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</si>
  <si>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</si>
  <si>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</si>
  <si>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</si>
  <si>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</si>
  <si>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</si>
  <si>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</si>
  <si>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</si>
  <si>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</si>
  <si>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</si>
  <si>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</si>
  <si>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</si>
  <si>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</si>
  <si>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</si>
  <si>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</si>
  <si>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</si>
  <si>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</si>
  <si>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</si>
  <si>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</si>
  <si>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</si>
  <si>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</si>
  <si>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</si>
  <si>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</si>
  <si>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</si>
  <si>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</si>
  <si>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</si>
  <si>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</si>
  <si>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</si>
  <si>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</si>
  <si>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</si>
  <si>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</si>
  <si>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</si>
  <si>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</si>
  <si>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</si>
  <si>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</si>
  <si>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</si>
  <si>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</si>
  <si>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</si>
  <si>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</si>
  <si>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</si>
  <si>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</si>
  <si>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</si>
  <si>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</si>
  <si>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</si>
  <si>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</si>
  <si>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</si>
  <si>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</si>
  <si>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</si>
  <si>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</si>
  <si>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</si>
  <si>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</si>
  <si>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</si>
  <si>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</si>
  <si>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</si>
  <si>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</si>
  <si>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</si>
  <si>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</si>
  <si>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</si>
  <si>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</si>
  <si>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</si>
  <si>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</si>
  <si>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</si>
  <si>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</si>
  <si>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</si>
  <si>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</si>
  <si>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</si>
  <si>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</si>
  <si>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</si>
  <si>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</si>
  <si>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</si>
  <si>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</si>
  <si>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</si>
  <si>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</si>
  <si>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</si>
  <si>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</si>
  <si>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</si>
  <si>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</si>
  <si>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</si>
  <si>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</si>
  <si>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</si>
  <si>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</si>
  <si>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</si>
  <si>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</si>
  <si>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</si>
  <si>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</si>
  <si>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</si>
  <si>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</si>
  <si>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</si>
  <si>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</si>
  <si>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</si>
  <si>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</si>
  <si>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</si>
  <si>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</si>
  <si>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</si>
  <si>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</si>
  <si>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</si>
  <si>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</si>
  <si>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</si>
  <si>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</si>
  <si>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</si>
  <si>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</si>
  <si>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</si>
  <si>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</si>
  <si>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</si>
  <si>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</si>
  <si>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</si>
  <si>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</si>
  <si>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</si>
  <si>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</si>
  <si>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</si>
  <si>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</si>
  <si>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</si>
  <si>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</si>
  <si>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</si>
  <si>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</si>
  <si>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</si>
  <si>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</si>
  <si>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</si>
  <si>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</si>
  <si>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</si>
  <si>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</si>
  <si>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</si>
  <si>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</si>
  <si>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</si>
  <si>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</si>
  <si>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</si>
  <si>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</si>
  <si>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</si>
  <si>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</si>
  <si>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</si>
  <si>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</si>
  <si>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</si>
  <si>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</si>
  <si>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</si>
  <si>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</si>
  <si>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</si>
  <si>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</si>
  <si>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</si>
  <si>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</si>
  <si>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</si>
  <si>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</si>
  <si>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</si>
  <si>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</si>
  <si>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</si>
  <si>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</si>
  <si>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</si>
  <si>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</si>
  <si>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</si>
  <si>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</si>
  <si>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</si>
  <si>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</si>
  <si>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</si>
  <si>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</si>
  <si>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</si>
  <si>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</si>
  <si>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</si>
  <si>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</si>
  <si>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</si>
  <si>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</si>
  <si>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</si>
  <si>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</si>
  <si>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</si>
  <si>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</si>
  <si>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</si>
  <si>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</si>
  <si>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</si>
  <si>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</si>
  <si>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</si>
  <si>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</si>
  <si>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</si>
  <si>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</si>
  <si>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</si>
  <si>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</si>
  <si>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</si>
  <si>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</si>
  <si>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</si>
  <si>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</si>
  <si>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</si>
  <si>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</si>
  <si>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</si>
  <si>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</si>
  <si>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</si>
  <si>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</si>
  <si>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</si>
  <si>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</si>
  <si>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</si>
  <si>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</si>
  <si>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</si>
  <si>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</si>
  <si>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</si>
  <si>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</si>
  <si>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</si>
  <si>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</si>
  <si>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</si>
  <si>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</si>
  <si>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</si>
  <si>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</si>
  <si>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</si>
  <si>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</si>
  <si>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</si>
  <si>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</si>
  <si>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</si>
  <si>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</si>
  <si>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</si>
  <si>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</si>
  <si>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</si>
  <si>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</si>
  <si>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</si>
  <si>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</si>
  <si>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</si>
  <si>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</si>
  <si>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</si>
  <si>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</si>
  <si>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</si>
  <si>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</si>
  <si>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</si>
  <si>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</si>
  <si>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</si>
  <si>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</si>
  <si>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</si>
  <si>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</si>
  <si>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</si>
  <si>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</si>
  <si>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</si>
  <si>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</si>
  <si>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</si>
  <si>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</si>
  <si>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</si>
  <si>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</si>
  <si>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</si>
  <si>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</si>
  <si>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</si>
  <si>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</si>
  <si>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</si>
  <si>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</si>
  <si>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</si>
  <si>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</si>
  <si>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</si>
  <si>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</si>
  <si>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</si>
  <si>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</si>
  <si>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</si>
  <si>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</si>
  <si>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</si>
  <si>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</si>
  <si>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</si>
  <si>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</si>
  <si>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</si>
  <si>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</si>
  <si>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</si>
  <si>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</si>
  <si>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</si>
  <si>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</si>
  <si>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</si>
  <si>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</si>
  <si>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</si>
  <si>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</si>
  <si>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</si>
  <si>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</si>
  <si>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</si>
  <si>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</si>
  <si>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</si>
  <si>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</si>
  <si>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</si>
  <si>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</si>
  <si>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</si>
  <si>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</si>
  <si>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</si>
  <si>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</si>
  <si>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</si>
  <si>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</si>
  <si>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</si>
  <si>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</si>
  <si>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</si>
  <si>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</si>
  <si>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</si>
  <si>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</si>
  <si>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</si>
  <si>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</si>
  <si>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</si>
  <si>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</si>
  <si>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</si>
  <si>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</si>
  <si>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</si>
  <si>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</si>
  <si>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</si>
  <si>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</si>
  <si>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</si>
  <si>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</si>
  <si>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</si>
  <si>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</si>
  <si>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</si>
  <si>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</si>
  <si>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</si>
  <si>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</si>
  <si>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</si>
  <si>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</si>
  <si>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</si>
  <si>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</si>
  <si>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</si>
  <si>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</si>
  <si>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</si>
  <si>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</si>
  <si>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</si>
  <si>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</si>
  <si>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</si>
  <si>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</si>
  <si>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</si>
  <si>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</si>
  <si>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</si>
  <si>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</si>
  <si>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</si>
  <si>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</si>
  <si>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</si>
  <si>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</si>
  <si>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</si>
  <si>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</si>
  <si>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</si>
  <si>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</si>
  <si>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</si>
  <si>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</si>
  <si>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</si>
  <si>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</si>
  <si>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</si>
  <si>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</si>
  <si>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</si>
  <si>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</si>
  <si>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</si>
  <si>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</si>
  <si>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</si>
  <si>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</si>
  <si>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</si>
  <si>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</si>
  <si>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</si>
  <si>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</si>
  <si>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</si>
  <si>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</si>
  <si>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</si>
  <si>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</si>
  <si>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</si>
  <si>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</si>
  <si>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</si>
  <si>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</si>
  <si>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</si>
  <si>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</si>
  <si>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</si>
  <si>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</si>
  <si>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</si>
  <si>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</si>
  <si>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</si>
  <si>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</si>
  <si>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</si>
  <si>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</si>
  <si>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</si>
  <si>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</si>
  <si>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</si>
  <si>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</si>
  <si>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</si>
  <si>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</si>
  <si>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</si>
  <si>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</si>
  <si>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</si>
  <si>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</si>
  <si>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</si>
  <si>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</si>
  <si>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</si>
  <si>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</si>
  <si>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</si>
  <si>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</si>
  <si>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</si>
  <si>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</si>
  <si>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</si>
  <si>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</si>
  <si>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</si>
  <si>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</si>
  <si>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</si>
  <si>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</si>
  <si>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</si>
  <si>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</si>
  <si>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</si>
  <si>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</si>
  <si>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</si>
  <si>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</si>
  <si>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</si>
  <si>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</si>
  <si>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</si>
  <si>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</si>
  <si>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</si>
  <si>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</si>
  <si>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</si>
  <si>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</si>
  <si>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</si>
  <si>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</si>
  <si>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</si>
  <si>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</si>
  <si>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</si>
  <si>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</si>
  <si>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</si>
  <si>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</si>
  <si>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</si>
  <si>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</si>
  <si>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</si>
  <si>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</si>
  <si>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</si>
  <si>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</si>
  <si>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</si>
  <si>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</si>
  <si>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</si>
  <si>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</si>
  <si>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</si>
  <si>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</si>
  <si>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</si>
  <si>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</si>
  <si>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</si>
  <si>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</si>
  <si>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</si>
  <si>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</si>
  <si>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</si>
  <si>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</si>
  <si>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</si>
  <si>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</si>
  <si>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</si>
  <si>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</si>
  <si>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</si>
  <si>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</si>
  <si>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</si>
  <si>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</si>
  <si>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</si>
  <si>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</si>
  <si>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</si>
  <si>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</si>
  <si>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</si>
  <si>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</si>
  <si>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</si>
  <si>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</si>
  <si>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</si>
  <si>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</si>
  <si>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</si>
  <si>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</si>
  <si>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</si>
  <si>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Neosho Township</t>
  </si>
  <si>
    <t>Coffey County</t>
  </si>
  <si>
    <t>Cemetery</t>
  </si>
  <si>
    <t>17-1344</t>
  </si>
  <si>
    <t>Publication</t>
  </si>
  <si>
    <t>Mowing</t>
  </si>
  <si>
    <t>Services</t>
  </si>
  <si>
    <t>Lyle Fischer</t>
  </si>
  <si>
    <t>Treasurer</t>
  </si>
  <si>
    <t>September 26, 2012</t>
  </si>
  <si>
    <t>7:00 P.M.</t>
  </si>
  <si>
    <t>Lyle Fischers' Residence</t>
  </si>
  <si>
    <t xml:space="preserve">Lyle Fischers' Residence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</si>
</sst>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790575</xdr:colOff>
      <xdr:row>51</xdr:row>
      <xdr:rowOff>133350</xdr:rowOff>
    </xdr:to>
    <xdr:pic>
      <xdr:nvPicPr>
        <xdr:cNvPr id="1" name="Picture 2"/>
        <xdr:cNvPicPr preferRelativeResize="1">
          <a:picLocks noChangeAspect="1"/>
        </xdr:cNvPicPr>
      </xdr:nvPicPr>
      <xdr:blipFill>
        <a:blip r:embed="rId1"/>
        <a:stretch>
          <a:fillRect/>
        </a:stretch>
      </xdr:blipFill>
      <xdr:spPr>
        <a:xfrm>
          <a:off x="0" y="0"/>
          <a:ext cx="8334375" cy="1033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28575</xdr:colOff>
      <xdr:row>24</xdr:row>
      <xdr:rowOff>133350</xdr:rowOff>
    </xdr:to>
    <xdr:pic>
      <xdr:nvPicPr>
        <xdr:cNvPr id="1" name="Picture 1"/>
        <xdr:cNvPicPr preferRelativeResize="1">
          <a:picLocks noChangeAspect="1"/>
        </xdr:cNvPicPr>
      </xdr:nvPicPr>
      <xdr:blipFill>
        <a:blip r:embed="rId1"/>
        <a:stretch>
          <a:fillRect/>
        </a:stretch>
      </xdr:blipFill>
      <xdr:spPr>
        <a:xfrm>
          <a:off x="0" y="0"/>
          <a:ext cx="7572375" cy="493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58">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Neosho Township</v>
      </c>
      <c r="C1" s="167"/>
      <c r="D1" s="167"/>
      <c r="E1" s="167"/>
      <c r="F1" s="167"/>
      <c r="G1" s="167"/>
      <c r="H1" s="167"/>
      <c r="I1" s="167"/>
      <c r="J1" s="14"/>
      <c r="K1" s="14"/>
      <c r="L1" s="15">
        <f>inputPrYr!D5</f>
        <v>2013</v>
      </c>
    </row>
    <row r="2" spans="2:12" ht="15.75">
      <c r="B2" s="166" t="str">
        <f>inputPrYr!$D$3</f>
        <v>Coffey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Neosho Township</v>
      </c>
      <c r="C7" s="565"/>
      <c r="D7" s="565"/>
      <c r="E7" s="565"/>
      <c r="F7" s="565"/>
      <c r="G7" s="565"/>
      <c r="H7" s="565"/>
      <c r="I7" s="565"/>
    </row>
    <row r="8" spans="2:9" ht="15.75">
      <c r="B8" s="566" t="str">
        <f>inputPrYr!D3</f>
        <v>Coffey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2105286</v>
      </c>
      <c r="F27" s="565"/>
      <c r="G27" s="570">
        <f>summ!G37</f>
        <v>2183476</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8">
      <selection activeCell="E59" sqref="E5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Neosho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664</v>
      </c>
      <c r="D6" s="390">
        <f>C51</f>
        <v>629</v>
      </c>
      <c r="E6" s="32">
        <f>D51</f>
        <v>607</v>
      </c>
    </row>
    <row r="7" spans="2:5" ht="15.75">
      <c r="B7" s="27" t="s">
        <v>120</v>
      </c>
      <c r="C7" s="390"/>
      <c r="D7" s="390"/>
      <c r="E7" s="33"/>
    </row>
    <row r="8" spans="2:5" ht="15.75">
      <c r="B8" s="27" t="s">
        <v>16</v>
      </c>
      <c r="C8" s="29">
        <v>324</v>
      </c>
      <c r="D8" s="390">
        <f>IF(inputPrYr!H15&gt;0,inputPrYr!G16,inputPrYr!E16)</f>
        <v>330</v>
      </c>
      <c r="E8" s="33" t="s">
        <v>290</v>
      </c>
    </row>
    <row r="9" spans="2:5" ht="15.75">
      <c r="B9" s="27" t="s">
        <v>17</v>
      </c>
      <c r="C9" s="29"/>
      <c r="D9" s="29"/>
      <c r="E9" s="34"/>
    </row>
    <row r="10" spans="2:5" ht="15.75">
      <c r="B10" s="27" t="s">
        <v>18</v>
      </c>
      <c r="C10" s="29">
        <v>11</v>
      </c>
      <c r="D10" s="29">
        <v>18</v>
      </c>
      <c r="E10" s="32">
        <f>mvalloc!G11</f>
        <v>23</v>
      </c>
    </row>
    <row r="11" spans="2:5" ht="15.75">
      <c r="B11" s="27" t="s">
        <v>19</v>
      </c>
      <c r="C11" s="29">
        <v>1</v>
      </c>
      <c r="D11" s="29">
        <v>1</v>
      </c>
      <c r="E11" s="32">
        <f>mvalloc!I11</f>
        <v>2</v>
      </c>
    </row>
    <row r="12" spans="2:5" ht="15.75">
      <c r="B12" s="35" t="s">
        <v>69</v>
      </c>
      <c r="C12" s="29">
        <v>2</v>
      </c>
      <c r="D12" s="29">
        <v>4</v>
      </c>
      <c r="E12" s="32">
        <f>mvalloc!J11</f>
        <v>2</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338</v>
      </c>
      <c r="D26" s="392">
        <f>SUM(D8:D24)</f>
        <v>353</v>
      </c>
      <c r="E26" s="42">
        <f>SUM(E8:E24)</f>
        <v>27</v>
      </c>
    </row>
    <row r="27" spans="2:5" ht="15.75">
      <c r="B27" s="43" t="s">
        <v>24</v>
      </c>
      <c r="C27" s="392">
        <f>C26+C6</f>
        <v>1002</v>
      </c>
      <c r="D27" s="392">
        <f>D26+D6</f>
        <v>982</v>
      </c>
      <c r="E27" s="42">
        <f>E26+E6</f>
        <v>634</v>
      </c>
    </row>
    <row r="28" spans="2:5" ht="15.75">
      <c r="B28" s="27" t="s">
        <v>25</v>
      </c>
      <c r="C28" s="390"/>
      <c r="D28" s="390"/>
      <c r="E28" s="32"/>
    </row>
    <row r="29" spans="2:5" ht="15.75">
      <c r="B29" s="37"/>
      <c r="C29" s="29"/>
      <c r="D29" s="29"/>
      <c r="E29" s="34"/>
    </row>
    <row r="30" spans="2:5" ht="15.75">
      <c r="B30" s="38" t="s">
        <v>101</v>
      </c>
      <c r="C30" s="29">
        <v>300</v>
      </c>
      <c r="D30" s="29">
        <v>300</v>
      </c>
      <c r="E30" s="34">
        <v>892</v>
      </c>
    </row>
    <row r="31" spans="2:5" ht="15.75">
      <c r="B31" s="38" t="s">
        <v>125</v>
      </c>
      <c r="C31" s="29"/>
      <c r="D31" s="29"/>
      <c r="E31" s="34"/>
    </row>
    <row r="32" spans="2:5" ht="15.75">
      <c r="B32" s="38" t="s">
        <v>102</v>
      </c>
      <c r="C32" s="29"/>
      <c r="D32" s="29"/>
      <c r="E32" s="34"/>
    </row>
    <row r="33" spans="2:5" ht="15.75">
      <c r="B33" s="38" t="s">
        <v>36</v>
      </c>
      <c r="C33" s="29">
        <v>35</v>
      </c>
      <c r="D33" s="29">
        <v>35</v>
      </c>
      <c r="E33" s="34">
        <v>50</v>
      </c>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938</v>
      </c>
      <c r="C37" s="29">
        <v>38</v>
      </c>
      <c r="D37" s="29">
        <v>40</v>
      </c>
      <c r="E37" s="34">
        <v>42</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373</v>
      </c>
      <c r="D50" s="384">
        <f>SUM(D29:D48)</f>
        <v>375</v>
      </c>
      <c r="E50" s="47">
        <f>SUM(E29:E43,E45,E47:E48)</f>
        <v>984</v>
      </c>
      <c r="G50" s="490">
        <f>D51</f>
        <v>607</v>
      </c>
      <c r="H50" s="491" t="str">
        <f>CONCATENATE("",E1-1," Ending Cash Balance (est.)")</f>
        <v>2012 Ending Cash Balance (est.)</v>
      </c>
      <c r="I50" s="492"/>
      <c r="J50" s="489"/>
    </row>
    <row r="51" spans="2:10" ht="15.75">
      <c r="B51" s="27" t="s">
        <v>119</v>
      </c>
      <c r="C51" s="385">
        <f>C27-C50</f>
        <v>629</v>
      </c>
      <c r="D51" s="385">
        <f>SUM(D27-D50)</f>
        <v>607</v>
      </c>
      <c r="E51" s="33" t="s">
        <v>290</v>
      </c>
      <c r="G51" s="490">
        <f>E26</f>
        <v>27</v>
      </c>
      <c r="H51" s="493" t="str">
        <f>CONCATENATE("",E1," Non-AV Receipts (est.)")</f>
        <v>2013 Non-AV Receipts (est.)</v>
      </c>
      <c r="I51" s="492"/>
      <c r="J51" s="489"/>
    </row>
    <row r="52" spans="2:11" ht="15.75">
      <c r="B52" s="48" t="str">
        <f>CONCATENATE("",E1-2,"/",E1-1," Budget Authority Amount:")</f>
        <v>2011/2012 Budget Authority Amount:</v>
      </c>
      <c r="C52" s="132">
        <f>inputOth!B46</f>
        <v>608</v>
      </c>
      <c r="D52" s="161">
        <f>inputPrYr!D16</f>
        <v>664</v>
      </c>
      <c r="E52" s="33" t="s">
        <v>290</v>
      </c>
      <c r="F52" s="50"/>
      <c r="G52" s="494">
        <f>IF(D56&gt;0,E55,E57)</f>
        <v>350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984</v>
      </c>
      <c r="H53" s="493" t="str">
        <f>CONCATENATE("Total ",E1," Resources Available")</f>
        <v>Total 2013 Resources Available</v>
      </c>
      <c r="I53" s="492"/>
      <c r="J53" s="489"/>
    </row>
    <row r="54" spans="2:10" ht="15.75">
      <c r="B54" s="399" t="str">
        <f>CONCATENATE(C72,"     ",D72)</f>
        <v>     </v>
      </c>
      <c r="C54" s="807" t="s">
        <v>624</v>
      </c>
      <c r="D54" s="808"/>
      <c r="E54" s="32">
        <f>E50+E53</f>
        <v>984</v>
      </c>
      <c r="G54" s="495"/>
      <c r="H54" s="493"/>
      <c r="I54" s="493"/>
      <c r="J54" s="489"/>
    </row>
    <row r="55" spans="2:10" ht="15.75">
      <c r="B55" s="399" t="str">
        <f>CONCATENATE(C73,"     ",D73)</f>
        <v>     </v>
      </c>
      <c r="C55" s="60"/>
      <c r="D55" s="52" t="s">
        <v>28</v>
      </c>
      <c r="E55" s="46">
        <f>IF(E54-E27&gt;0,E54-E27,0)</f>
        <v>350</v>
      </c>
      <c r="G55" s="494">
        <f>ROUND(C50*0.05+C50,0)</f>
        <v>392</v>
      </c>
      <c r="H55" s="493" t="str">
        <f>CONCATENATE("Less ",E1-2," Expenditures + 5%")</f>
        <v>Less 2011 Expenditures + 5%</v>
      </c>
      <c r="I55" s="492"/>
      <c r="J55" s="489"/>
    </row>
    <row r="56" spans="2:10" ht="15.75">
      <c r="B56" s="52"/>
      <c r="C56" s="403" t="s">
        <v>625</v>
      </c>
      <c r="D56" s="698">
        <f>inputOth!$E$40</f>
        <v>0</v>
      </c>
      <c r="E56" s="32">
        <f>ROUND(IF(D56&gt;0,(E55*D56),0),0)</f>
        <v>0</v>
      </c>
      <c r="G56" s="496">
        <f>G53-G55</f>
        <v>592</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350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0.16</v>
      </c>
      <c r="H60" s="491" t="str">
        <f>CONCATENATE("",E1," Fund Mill Rate")</f>
        <v>2013 Fund Mill Rate</v>
      </c>
      <c r="I60" s="700"/>
      <c r="J60" s="713"/>
      <c r="K60" s="16"/>
    </row>
    <row r="61" spans="2:10" ht="15.75">
      <c r="B61" s="52" t="s">
        <v>9</v>
      </c>
      <c r="C61" s="405">
        <f>IF(inputPrYr!D18&gt;0,7,6)</f>
        <v>6</v>
      </c>
      <c r="D61" s="14"/>
      <c r="E61" s="55"/>
      <c r="G61" s="715">
        <f>summ!F18</f>
        <v>0.157</v>
      </c>
      <c r="H61" s="491" t="str">
        <f>CONCATENATE("",E1-1," Fund Mill Rate")</f>
        <v>2012 Fund Mill Rate</v>
      </c>
      <c r="I61" s="700"/>
      <c r="J61" s="713"/>
    </row>
    <row r="62" spans="7:10" ht="15.75">
      <c r="G62" s="716">
        <f>summ!I32</f>
        <v>2.462</v>
      </c>
      <c r="H62" s="491" t="str">
        <f>CONCATENATE("Total ",E1," Mill Rate")</f>
        <v>Total 2013 Mill Rate</v>
      </c>
      <c r="I62" s="700"/>
      <c r="J62" s="713"/>
    </row>
    <row r="63" spans="2:10" ht="15.75">
      <c r="B63" s="12"/>
      <c r="G63" s="715">
        <f>summ!F32</f>
        <v>2.562</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Neosho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2.462</v>
      </c>
      <c r="H45" s="641" t="str">
        <f>CONCATENATE("Total ",E1," Mill Rate")</f>
        <v>Total 2013 Mill Rate</v>
      </c>
      <c r="I45" s="665"/>
      <c r="J45" s="666"/>
    </row>
    <row r="46" spans="2:10" ht="15.75">
      <c r="B46" s="603" t="s">
        <v>144</v>
      </c>
      <c r="C46" s="608">
        <v>0</v>
      </c>
      <c r="D46" s="605">
        <f>C74</f>
        <v>0</v>
      </c>
      <c r="E46" s="606">
        <f>D74</f>
        <v>0</v>
      </c>
      <c r="F46" s="644"/>
      <c r="G46" s="668">
        <f>summ!F32</f>
        <v>2.562</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2.462</v>
      </c>
      <c r="H85" s="641" t="str">
        <f>CONCATENATE("Total ",E1," Mill Rate")</f>
        <v>Total 2013 Mill Rate</v>
      </c>
      <c r="I85" s="665"/>
      <c r="J85" s="666"/>
    </row>
    <row r="86" spans="7:10" ht="15.75">
      <c r="G86" s="668">
        <f>summ!F32</f>
        <v>2.562</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Neosho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c r="D6" s="390">
        <f>C44</f>
        <v>0</v>
      </c>
      <c r="E6" s="32">
        <f>D44</f>
        <v>0</v>
      </c>
    </row>
    <row r="7" spans="2:5" ht="15.75">
      <c r="B7" s="27" t="s">
        <v>120</v>
      </c>
      <c r="C7" s="390"/>
      <c r="D7" s="390"/>
      <c r="E7" s="33"/>
    </row>
    <row r="8" spans="2:5" ht="15.75">
      <c r="B8" s="27" t="s">
        <v>16</v>
      </c>
      <c r="C8" s="29"/>
      <c r="D8" s="390">
        <f>IF(inputPrYr!H15&gt;0,inputPrYr!G19,inputPrYr!E19)</f>
        <v>0</v>
      </c>
      <c r="E8" s="33" t="s">
        <v>290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0</v>
      </c>
      <c r="D23" s="392">
        <f>SUM(D8:D21)</f>
        <v>0</v>
      </c>
      <c r="E23" s="42">
        <f>SUM(E8:E21)</f>
        <v>0</v>
      </c>
    </row>
    <row r="24" spans="2:5" ht="15.75">
      <c r="B24" s="43" t="s">
        <v>24</v>
      </c>
      <c r="C24" s="392">
        <f>C23+C6</f>
        <v>0</v>
      </c>
      <c r="D24" s="392">
        <f>D23+D6</f>
        <v>0</v>
      </c>
      <c r="E24" s="42">
        <f>E23+E6</f>
        <v>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119</v>
      </c>
      <c r="C44" s="385">
        <f>C24-C43</f>
        <v>0</v>
      </c>
      <c r="D44" s="385">
        <f>D24-D43</f>
        <v>0</v>
      </c>
      <c r="E44" s="33" t="s">
        <v>290</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07" t="s">
        <v>624</v>
      </c>
      <c r="D47" s="808"/>
      <c r="E47" s="32">
        <f>E43+E46</f>
        <v>0</v>
      </c>
      <c r="G47" s="495"/>
      <c r="H47" s="493"/>
      <c r="I47" s="493"/>
      <c r="J47" s="489"/>
    </row>
    <row r="48" spans="2:10" ht="15.7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75">
      <c r="B49" s="52"/>
      <c r="C49" s="403" t="s">
        <v>625</v>
      </c>
      <c r="D49" s="698">
        <f>inputOth!$E$40</f>
        <v>0</v>
      </c>
      <c r="E49" s="32">
        <f>ROUND(IF(D49&gt;0,(E48*D49),0),0)</f>
        <v>0</v>
      </c>
      <c r="G49" s="496">
        <f>G46-G48</f>
        <v>0</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2.462</v>
      </c>
      <c r="H55" s="491" t="str">
        <f>CONCATENATE("Total ",E1," Mill Rate")</f>
        <v>Total 2013 Mill Rate</v>
      </c>
      <c r="I55" s="700"/>
      <c r="J55" s="713"/>
    </row>
    <row r="56" spans="2:10" ht="15.75">
      <c r="B56" s="72" t="s">
        <v>33</v>
      </c>
      <c r="C56" s="132"/>
      <c r="D56" s="14"/>
      <c r="E56" s="14"/>
      <c r="G56" s="715">
        <f>summ!F32</f>
        <v>2.562</v>
      </c>
      <c r="H56" s="717" t="str">
        <f>CONCATENATE("Total ",E1-1," Mill Rate")</f>
        <v>Total 2012 Mill Rate</v>
      </c>
      <c r="I56" s="718"/>
      <c r="J56" s="719"/>
    </row>
    <row r="57" spans="2:5" ht="15.75">
      <c r="B57" s="72" t="s">
        <v>34</v>
      </c>
      <c r="C57" s="402">
        <f>C38</f>
        <v>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0</v>
      </c>
      <c r="D63" s="14"/>
      <c r="E63" s="14"/>
    </row>
    <row r="64" spans="2:5" ht="15.75">
      <c r="B64" s="77" t="s">
        <v>26</v>
      </c>
      <c r="C64" s="538"/>
      <c r="D64" s="14"/>
      <c r="E64" s="14"/>
    </row>
    <row r="65" spans="2:5" ht="15.75">
      <c r="B65" s="77" t="s">
        <v>27</v>
      </c>
      <c r="C65" s="401">
        <f>SUM(C63-C64)</f>
        <v>0</v>
      </c>
      <c r="D65" s="14"/>
      <c r="E65" s="14"/>
    </row>
    <row r="66" spans="2:5" ht="15.75">
      <c r="B66" s="14"/>
      <c r="C66" s="14"/>
      <c r="D66" s="14"/>
      <c r="E66" s="14"/>
    </row>
    <row r="67" spans="2:5" ht="15.75">
      <c r="B67" s="52" t="s">
        <v>9</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5">
      <selection activeCell="E46" sqref="E4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Neosho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Cemetery</v>
      </c>
      <c r="C5" s="389" t="str">
        <f>gen!C5</f>
        <v>Actual for 2011</v>
      </c>
      <c r="D5" s="389" t="str">
        <f>gen!D5</f>
        <v>Estimate for 2012</v>
      </c>
      <c r="E5" s="26" t="str">
        <f>gen!E5</f>
        <v>Year for 2013</v>
      </c>
    </row>
    <row r="6" spans="2:5" ht="15.75">
      <c r="B6" s="27" t="s">
        <v>118</v>
      </c>
      <c r="C6" s="29">
        <v>2133</v>
      </c>
      <c r="D6" s="390">
        <f>C34</f>
        <v>3521</v>
      </c>
      <c r="E6" s="32">
        <f>D34</f>
        <v>5172</v>
      </c>
    </row>
    <row r="7" spans="2:5" ht="15.75">
      <c r="B7" s="27" t="s">
        <v>120</v>
      </c>
      <c r="C7" s="390"/>
      <c r="D7" s="390"/>
      <c r="E7" s="33"/>
    </row>
    <row r="8" spans="2:5" ht="15.75">
      <c r="B8" s="27" t="s">
        <v>16</v>
      </c>
      <c r="C8" s="29">
        <v>4968</v>
      </c>
      <c r="D8" s="390">
        <f>IF(inputPrYr!H15&gt;0,inputPrYr!G20,inputPrYr!E20)</f>
        <v>5063</v>
      </c>
      <c r="E8" s="33" t="s">
        <v>290</v>
      </c>
    </row>
    <row r="9" spans="2:5" ht="15.75">
      <c r="B9" s="27" t="s">
        <v>17</v>
      </c>
      <c r="C9" s="29"/>
      <c r="D9" s="29"/>
      <c r="E9" s="34"/>
    </row>
    <row r="10" spans="2:5" ht="15.75">
      <c r="B10" s="27" t="s">
        <v>18</v>
      </c>
      <c r="C10" s="29">
        <v>181</v>
      </c>
      <c r="D10" s="29">
        <v>300</v>
      </c>
      <c r="E10" s="32">
        <f>mvalloc!G15</f>
        <v>355</v>
      </c>
    </row>
    <row r="11" spans="2:5" ht="15.75">
      <c r="B11" s="27" t="s">
        <v>19</v>
      </c>
      <c r="C11" s="29">
        <v>8</v>
      </c>
      <c r="D11" s="29">
        <v>19</v>
      </c>
      <c r="E11" s="32">
        <f>mvalloc!I15</f>
        <v>28</v>
      </c>
    </row>
    <row r="12" spans="2:5" ht="15.75">
      <c r="B12" s="35" t="s">
        <v>69</v>
      </c>
      <c r="C12" s="29">
        <v>32</v>
      </c>
      <c r="D12" s="29">
        <v>69</v>
      </c>
      <c r="E12" s="32">
        <f>mvalloc!J15</f>
        <v>27</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5189</v>
      </c>
      <c r="D20" s="392">
        <f>SUM(D8:D18)</f>
        <v>5451</v>
      </c>
      <c r="E20" s="42">
        <f>SUM(E8:E18)</f>
        <v>410</v>
      </c>
    </row>
    <row r="21" spans="2:5" ht="15.75">
      <c r="B21" s="43" t="s">
        <v>24</v>
      </c>
      <c r="C21" s="392">
        <f>C20+C6</f>
        <v>7322</v>
      </c>
      <c r="D21" s="392">
        <f>D20+D6</f>
        <v>8972</v>
      </c>
      <c r="E21" s="42">
        <f>E20+E6</f>
        <v>5582</v>
      </c>
    </row>
    <row r="22" spans="2:5" ht="15.75">
      <c r="B22" s="27" t="s">
        <v>25</v>
      </c>
      <c r="C22" s="390"/>
      <c r="D22" s="390"/>
      <c r="E22" s="32"/>
    </row>
    <row r="23" spans="2:5" ht="15.75">
      <c r="B23" s="38"/>
      <c r="C23" s="29"/>
      <c r="D23" s="29"/>
      <c r="E23" s="34"/>
    </row>
    <row r="24" spans="2:11" ht="15.75">
      <c r="B24" s="38" t="s">
        <v>939</v>
      </c>
      <c r="C24" s="29">
        <v>3600</v>
      </c>
      <c r="D24" s="29">
        <v>3800</v>
      </c>
      <c r="E24" s="34">
        <v>10608</v>
      </c>
      <c r="G24" s="815" t="str">
        <f>CONCATENATE("Desired Carryover Into ",E1+1,"")</f>
        <v>Desired Carryover Into 2014</v>
      </c>
      <c r="H24" s="816"/>
      <c r="I24" s="816"/>
      <c r="J24" s="817"/>
      <c r="K24" s="591"/>
    </row>
    <row r="25" spans="2:11" ht="15.75">
      <c r="B25" s="38" t="s">
        <v>940</v>
      </c>
      <c r="C25" s="29">
        <v>201</v>
      </c>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3801</v>
      </c>
      <c r="D33" s="392">
        <f>SUM(D23:D31)</f>
        <v>3800</v>
      </c>
      <c r="E33" s="42">
        <f>SUM(E23:E31)</f>
        <v>10608</v>
      </c>
      <c r="G33" s="640">
        <f>D34</f>
        <v>5172</v>
      </c>
      <c r="H33" s="641" t="str">
        <f>CONCATENATE("",E1-1," Ending Cash Balance (est.)")</f>
        <v>2012 Ending Cash Balance (est.)</v>
      </c>
      <c r="I33" s="642"/>
      <c r="J33" s="637"/>
      <c r="K33" s="591"/>
    </row>
    <row r="34" spans="2:11" ht="15.75">
      <c r="B34" s="27" t="s">
        <v>119</v>
      </c>
      <c r="C34" s="385">
        <f>C21-C33</f>
        <v>3521</v>
      </c>
      <c r="D34" s="385">
        <f>D21-D33</f>
        <v>5172</v>
      </c>
      <c r="E34" s="33" t="s">
        <v>290</v>
      </c>
      <c r="G34" s="640">
        <f>E20</f>
        <v>410</v>
      </c>
      <c r="H34" s="624" t="str">
        <f>CONCATENATE("",E1," Non-AV Receipts (est.)")</f>
        <v>2013 Non-AV Receipts (est.)</v>
      </c>
      <c r="I34" s="642"/>
      <c r="J34" s="637"/>
      <c r="K34" s="591"/>
    </row>
    <row r="35" spans="2:11" ht="15.75">
      <c r="B35" s="48" t="str">
        <f>CONCATENATE("",E1-2,"/",E1-1," Budget Authority Amount:")</f>
        <v>2011/2012 Budget Authority Amount:</v>
      </c>
      <c r="C35" s="132">
        <f>inputOth!B50</f>
        <v>8235</v>
      </c>
      <c r="D35" s="161">
        <f>inputPrYr!D20</f>
        <v>11395</v>
      </c>
      <c r="E35" s="33" t="s">
        <v>290</v>
      </c>
      <c r="F35" s="50"/>
      <c r="G35" s="649">
        <f>IF(E39&gt;0,E38,E40)</f>
        <v>5026</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10608</v>
      </c>
      <c r="H36" s="624" t="str">
        <f>CONCATENATE("Total ",E1," Resources Available")</f>
        <v>Total 2013 Resources Available</v>
      </c>
      <c r="I36" s="642"/>
      <c r="J36" s="637"/>
      <c r="K36" s="591"/>
    </row>
    <row r="37" spans="2:11" ht="15.75">
      <c r="B37" s="399" t="str">
        <f>CONCATENATE(C92,"     ",D92)</f>
        <v>     </v>
      </c>
      <c r="C37" s="807" t="s">
        <v>624</v>
      </c>
      <c r="D37" s="808"/>
      <c r="E37" s="32">
        <f>E33+E36</f>
        <v>10608</v>
      </c>
      <c r="G37" s="653"/>
      <c r="H37" s="624"/>
      <c r="I37" s="624"/>
      <c r="J37" s="637"/>
      <c r="K37" s="591"/>
    </row>
    <row r="38" spans="2:11" ht="15.75">
      <c r="B38" s="399" t="str">
        <f>CONCATENATE(C93,"     ",D93)</f>
        <v>     </v>
      </c>
      <c r="C38" s="60"/>
      <c r="D38" s="52" t="s">
        <v>28</v>
      </c>
      <c r="E38" s="46">
        <f>IF(E37-E21&gt;0,E37-E21,0)</f>
        <v>5026</v>
      </c>
      <c r="G38" s="649">
        <f>C33*0.05+C33</f>
        <v>3991.05</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6616.95</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5026</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2.302</v>
      </c>
      <c r="H43" s="641" t="str">
        <f>CONCATENATE("",E1," Fund Mill Rate")</f>
        <v>2013 Fund Mill Rate</v>
      </c>
      <c r="I43" s="665"/>
      <c r="J43" s="666"/>
      <c r="K43" s="591"/>
    </row>
    <row r="44" spans="2:11" ht="15.75">
      <c r="B44" s="14"/>
      <c r="C44" s="388" t="s">
        <v>11</v>
      </c>
      <c r="D44" s="391" t="s">
        <v>12</v>
      </c>
      <c r="E44" s="23" t="s">
        <v>13</v>
      </c>
      <c r="G44" s="668">
        <f>summ!F22</f>
        <v>2.405</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2.462</v>
      </c>
      <c r="H45" s="641" t="str">
        <f>CONCATENATE("Total ",E1," Mill Rate")</f>
        <v>Total 2013 Mill Rate</v>
      </c>
      <c r="I45" s="665"/>
      <c r="J45" s="666"/>
      <c r="K45" s="591"/>
    </row>
    <row r="46" spans="2:11" ht="15.75">
      <c r="B46" s="27" t="s">
        <v>118</v>
      </c>
      <c r="C46" s="29"/>
      <c r="D46" s="390">
        <f>C74</f>
        <v>0</v>
      </c>
      <c r="E46" s="32">
        <f>D74</f>
        <v>0</v>
      </c>
      <c r="G46" s="668">
        <f>summ!F32</f>
        <v>2.562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2.462</v>
      </c>
      <c r="H85" s="641" t="str">
        <f>CONCATENATE("Total ",E1," Mill Rate")</f>
        <v>Total 2013 Mill Rate</v>
      </c>
      <c r="I85" s="665"/>
      <c r="J85" s="666"/>
      <c r="K85" s="591"/>
    </row>
    <row r="86" spans="7:11" ht="15.75">
      <c r="G86" s="668">
        <f>summ!F32</f>
        <v>2.562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Neosho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2.462</v>
      </c>
      <c r="H45" s="641" t="str">
        <f>CONCATENATE("Total ",E1," Mill Rate")</f>
        <v>Total 2013 Mill Rate</v>
      </c>
      <c r="I45" s="665"/>
      <c r="J45" s="666"/>
      <c r="K45" s="591"/>
    </row>
    <row r="46" spans="2:11" ht="15.75">
      <c r="B46" s="27" t="s">
        <v>118</v>
      </c>
      <c r="C46" s="29"/>
      <c r="D46" s="390">
        <f>C74</f>
        <v>0</v>
      </c>
      <c r="E46" s="32">
        <f>D74</f>
        <v>0</v>
      </c>
      <c r="G46" s="668">
        <f>summ!F32</f>
        <v>2.562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2.462</v>
      </c>
      <c r="H85" s="641" t="str">
        <f>CONCATENATE("Total ",E1," Mill Rate")</f>
        <v>Total 2013 Mill Rate</v>
      </c>
      <c r="I85" s="665"/>
      <c r="J85" s="666"/>
      <c r="K85" s="591"/>
    </row>
    <row r="86" spans="7:11" ht="15.75">
      <c r="G86" s="668">
        <f>summ!F32</f>
        <v>2.562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Neosho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2.462</v>
      </c>
      <c r="H45" s="641" t="str">
        <f>CONCATENATE("Total ",E1," Mill Rate")</f>
        <v>Total 2013 Mill Rate</v>
      </c>
      <c r="I45" s="665"/>
      <c r="J45" s="666"/>
      <c r="K45" s="591"/>
    </row>
    <row r="46" spans="2:11" ht="15.75">
      <c r="B46" s="27" t="s">
        <v>118</v>
      </c>
      <c r="C46" s="29"/>
      <c r="D46" s="390">
        <f>C74</f>
        <v>0</v>
      </c>
      <c r="E46" s="32">
        <f>D74</f>
        <v>0</v>
      </c>
      <c r="G46" s="668">
        <f>summ!F32</f>
        <v>2.562</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2.462</v>
      </c>
      <c r="H85" s="641" t="str">
        <f>CONCATENATE("Total ",E1," Mill Rate")</f>
        <v>Total 2013 Mill Rate</v>
      </c>
      <c r="I85" s="665"/>
      <c r="J85" s="666"/>
      <c r="K85" s="591"/>
    </row>
    <row r="86" spans="7:11" ht="15.75">
      <c r="G86" s="668">
        <f>summ!F32</f>
        <v>2.562</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Neosho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4">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664</v>
      </c>
      <c r="E16" s="187">
        <v>330</v>
      </c>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c r="E19" s="187"/>
      <c r="G19" s="32">
        <f>IF(H15&gt;0,ROUND(E19-(E19*H15),0),0)</f>
        <v>0</v>
      </c>
    </row>
    <row r="20" spans="1:7" ht="15.75">
      <c r="A20" s="14"/>
      <c r="B20" s="382" t="s">
        <v>936</v>
      </c>
      <c r="C20" s="383" t="s">
        <v>937</v>
      </c>
      <c r="D20" s="187">
        <v>11395</v>
      </c>
      <c r="E20" s="187">
        <v>5063</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5393</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12059</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v>0.142</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Cemetery</v>
      </c>
      <c r="C46" s="14"/>
      <c r="D46" s="322">
        <v>2.375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2.517</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5322</v>
      </c>
    </row>
    <row r="55" spans="1:5" ht="15.75">
      <c r="A55" s="327" t="str">
        <f>CONCATENATE("Assessed Valuation (",D5-2," budget column)")</f>
        <v>Assessed Valuation (2011 budget column)</v>
      </c>
      <c r="B55" s="328"/>
      <c r="C55" s="267"/>
      <c r="D55" s="28"/>
      <c r="E55" s="187">
        <v>2114572</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Neosho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16">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Neosho Township</v>
      </c>
      <c r="C5" s="770"/>
      <c r="D5" s="770"/>
      <c r="E5" s="770"/>
      <c r="F5" s="770"/>
      <c r="G5" s="770"/>
      <c r="H5" s="770"/>
      <c r="I5" s="770"/>
    </row>
    <row r="6" spans="2:9" ht="15.75">
      <c r="B6" s="770" t="str">
        <f>inputPrYr!D3</f>
        <v>Coffey County</v>
      </c>
      <c r="C6" s="770"/>
      <c r="D6" s="770"/>
      <c r="E6" s="770"/>
      <c r="F6" s="770"/>
      <c r="G6" s="770"/>
      <c r="H6" s="770"/>
      <c r="I6" s="770"/>
    </row>
    <row r="7" spans="2:9" ht="15.75">
      <c r="B7" s="844" t="str">
        <f>CONCATENATE("will meet on ",inputBudSum!B8," at ",inputBudSum!B10," at ",inputBudSum!B12," for the purpose of hearing and")</f>
        <v>will meet on September 26, 2012 at 7:00 P.M. at Lyle Fischers' Residence for the purpose of hearing and</v>
      </c>
      <c r="C7" s="844"/>
      <c r="D7" s="844"/>
      <c r="E7" s="844"/>
      <c r="F7" s="844"/>
      <c r="G7" s="844"/>
      <c r="H7" s="844"/>
      <c r="I7" s="84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Lyle Fischers' Residence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42"/>
      <c r="I16" s="156" t="s">
        <v>41</v>
      </c>
      <c r="J16" s="149"/>
    </row>
    <row r="17" spans="2:10" ht="15.75">
      <c r="B17" s="25" t="s">
        <v>286</v>
      </c>
      <c r="C17" s="26" t="s">
        <v>42</v>
      </c>
      <c r="D17" s="26" t="s">
        <v>43</v>
      </c>
      <c r="E17" s="26" t="s">
        <v>42</v>
      </c>
      <c r="F17" s="26" t="s">
        <v>43</v>
      </c>
      <c r="G17" s="26" t="s">
        <v>720</v>
      </c>
      <c r="H17" s="843"/>
      <c r="I17" s="26" t="s">
        <v>43</v>
      </c>
      <c r="J17" s="149"/>
    </row>
    <row r="18" spans="2:10" ht="15.75">
      <c r="B18" s="85" t="str">
        <f>inputPrYr!B16</f>
        <v>General</v>
      </c>
      <c r="C18" s="63">
        <f>IF(gen!$C$50&lt;&gt;0,gen!$C$50,"  ")</f>
        <v>373</v>
      </c>
      <c r="D18" s="530">
        <f>IF(inputPrYr!D42&gt;0,inputPrYr!D42,"  ")</f>
        <v>0.142</v>
      </c>
      <c r="E18" s="32">
        <f>IF(gen!$D$50&lt;&gt;0,gen!$D$50,"  ")</f>
        <v>375</v>
      </c>
      <c r="F18" s="235">
        <f>IF(inputOth!D17&gt;0,inputOth!D17,"  ")</f>
        <v>0.157</v>
      </c>
      <c r="G18" s="32">
        <f>IF(gen!$E$50&lt;&gt;0,gen!$E$50,"  ")</f>
        <v>984</v>
      </c>
      <c r="H18" s="32">
        <f>IF(gen!$E$57&lt;&gt;0,gen!$E$57," ")</f>
        <v>350</v>
      </c>
      <c r="I18" s="532">
        <f>IF(gen!E57&gt;0,ROUND(H18/$G$37*1000,3)," ")</f>
        <v>0.16</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75">
      <c r="B22" s="85" t="str">
        <f>IF(inputPrYr!$B20&gt;"  ",inputPrYr!$B20,"  ")</f>
        <v>Cemetery</v>
      </c>
      <c r="C22" s="32">
        <f>IF(levypage9!$C$33&lt;&gt;0,levypage9!$C$33,"  ")</f>
        <v>3801</v>
      </c>
      <c r="D22" s="530">
        <f>IF(inputPrYr!D46&gt;0,inputPrYr!D46,"  ")</f>
        <v>2.375</v>
      </c>
      <c r="E22" s="32">
        <f>IF(levypage9!$D$33&lt;&gt;0,levypage9!$D$33,"  ")</f>
        <v>3800</v>
      </c>
      <c r="F22" s="235">
        <f>IF(inputOth!D21&gt;0,inputOth!D21,"  ")</f>
        <v>2.405</v>
      </c>
      <c r="G22" s="32">
        <f>IF(levypage9!$E$33&lt;&gt;0,levypage9!$E$33,"  ")</f>
        <v>10608</v>
      </c>
      <c r="H22" s="32">
        <f>IF(levypage9!$E$40&lt;&gt;0,levypage9!$E$40,"  ")</f>
        <v>5026</v>
      </c>
      <c r="I22" s="532">
        <f>IF(levypage9!E40&gt;0,ROUND(H22/$G$37*1000,3)," ")</f>
        <v>2.302</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2183</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2.562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218</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4174</v>
      </c>
      <c r="D32" s="482">
        <f t="shared" si="0"/>
        <v>2.517</v>
      </c>
      <c r="E32" s="533">
        <f t="shared" si="0"/>
        <v>4175</v>
      </c>
      <c r="F32" s="482">
        <f t="shared" si="0"/>
        <v>2.562</v>
      </c>
      <c r="G32" s="533">
        <f t="shared" si="0"/>
        <v>11592</v>
      </c>
      <c r="H32" s="533">
        <f t="shared" si="0"/>
        <v>5376</v>
      </c>
      <c r="I32" s="536">
        <f t="shared" si="0"/>
        <v>2.462</v>
      </c>
      <c r="K32" s="835" t="str">
        <f>CONCATENATE("Impact On Keeping The Same Mill Rate As For ",I1-1,"")</f>
        <v>Impact On Keeping The Same Mill Rate As For 2012</v>
      </c>
      <c r="L32" s="836"/>
      <c r="M32" s="836"/>
      <c r="N32" s="837"/>
    </row>
    <row r="33" spans="2:14" ht="15.75">
      <c r="B33" s="274" t="s">
        <v>44</v>
      </c>
      <c r="C33" s="32">
        <f>transfer!C29</f>
        <v>0</v>
      </c>
      <c r="D33" s="14"/>
      <c r="E33" s="32">
        <f>transfer!D29</f>
        <v>0</v>
      </c>
      <c r="F33" s="61"/>
      <c r="G33" s="32">
        <f>transfer!E29</f>
        <v>0</v>
      </c>
      <c r="H33" s="14"/>
      <c r="I33" s="14"/>
      <c r="K33" s="513"/>
      <c r="L33" s="507"/>
      <c r="M33" s="507"/>
      <c r="N33" s="514"/>
    </row>
    <row r="34" spans="2:14" ht="16.5" thickBot="1">
      <c r="B34" s="274" t="s">
        <v>45</v>
      </c>
      <c r="C34" s="534">
        <f>C32-C33</f>
        <v>4174</v>
      </c>
      <c r="D34" s="14"/>
      <c r="E34" s="534">
        <f>E32-E33</f>
        <v>4175</v>
      </c>
      <c r="F34" s="14"/>
      <c r="G34" s="534">
        <f>G32-G33</f>
        <v>11592</v>
      </c>
      <c r="H34" s="14"/>
      <c r="I34" s="14"/>
      <c r="K34" s="513" t="str">
        <f>CONCATENATE("",I1," Ad Valorem Tax Revenue:")</f>
        <v>2013 Ad Valorem Tax Revenue:</v>
      </c>
      <c r="L34" s="507"/>
      <c r="M34" s="507"/>
      <c r="N34" s="508">
        <f>H32</f>
        <v>5376</v>
      </c>
    </row>
    <row r="35" spans="2:14" ht="16.5" thickTop="1">
      <c r="B35" s="274" t="s">
        <v>46</v>
      </c>
      <c r="C35" s="535">
        <f>inputPrYr!E54</f>
        <v>5322</v>
      </c>
      <c r="D35" s="61"/>
      <c r="E35" s="535">
        <f>inputPrYr!E26</f>
        <v>5393</v>
      </c>
      <c r="F35" s="14"/>
      <c r="G35" s="526" t="s">
        <v>290</v>
      </c>
      <c r="H35" s="14"/>
      <c r="I35" s="14"/>
      <c r="K35" s="513" t="str">
        <f>CONCATENATE("",I1-1," Ad Valorem Tax Revenue:")</f>
        <v>2012 Ad Valorem Tax Revenue:</v>
      </c>
      <c r="L35" s="507"/>
      <c r="M35" s="507"/>
      <c r="N35" s="521">
        <f>ROUND(G37*N27/1000,0)</f>
        <v>5594</v>
      </c>
    </row>
    <row r="36" spans="2:14" ht="15.75">
      <c r="B36" s="274" t="s">
        <v>47</v>
      </c>
      <c r="C36" s="55"/>
      <c r="D36" s="61"/>
      <c r="E36" s="55"/>
      <c r="F36" s="61"/>
      <c r="G36" s="14"/>
      <c r="H36" s="14"/>
      <c r="I36" s="14"/>
      <c r="K36" s="518" t="s">
        <v>718</v>
      </c>
      <c r="L36" s="519"/>
      <c r="M36" s="519"/>
      <c r="N36" s="511">
        <f>N34-N35</f>
        <v>-218</v>
      </c>
    </row>
    <row r="37" spans="2:14" ht="15.75">
      <c r="B37" s="274" t="s">
        <v>48</v>
      </c>
      <c r="C37" s="32">
        <f>inputPrYr!E55</f>
        <v>2114572</v>
      </c>
      <c r="D37" s="14"/>
      <c r="E37" s="32">
        <f>inputOth!E29</f>
        <v>2105286</v>
      </c>
      <c r="F37" s="14"/>
      <c r="G37" s="32">
        <f>inputOth!E7</f>
        <v>2183476</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2.462</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4" t="str">
        <f>inputBudSum!B4</f>
        <v>Lyle Fischer</v>
      </c>
      <c r="C46" s="834"/>
      <c r="D46" s="14"/>
      <c r="E46" s="14"/>
      <c r="F46" s="14"/>
      <c r="G46" s="14"/>
      <c r="H46" s="14"/>
      <c r="I46" s="14"/>
    </row>
    <row r="47" spans="2:9" ht="15.75">
      <c r="B47" s="832" t="str">
        <f>inputBudSum!B6</f>
        <v>Treasurer</v>
      </c>
      <c r="C47" s="833"/>
      <c r="D47" s="14"/>
      <c r="E47" s="14"/>
      <c r="F47" s="14"/>
      <c r="G47" s="14"/>
      <c r="H47" s="14"/>
      <c r="I47" s="14"/>
    </row>
    <row r="48" spans="2:9" ht="15.75">
      <c r="B48" s="14"/>
      <c r="C48" s="14"/>
      <c r="D48" s="14"/>
      <c r="E48" s="14"/>
      <c r="F48" s="14"/>
      <c r="G48" s="14"/>
      <c r="H48" s="14"/>
      <c r="I48" s="14"/>
    </row>
    <row r="49" spans="2:9" ht="15.75">
      <c r="B49" s="14"/>
      <c r="C49" s="52" t="s">
        <v>9</v>
      </c>
      <c r="D49" s="81"/>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Neosho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Cemetery</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2183476</v>
      </c>
      <c r="E19" s="14"/>
      <c r="F19" s="129"/>
    </row>
    <row r="20" spans="1:6" ht="15.75">
      <c r="A20" s="14"/>
      <c r="B20" s="14"/>
      <c r="C20" s="14"/>
      <c r="D20" s="14"/>
      <c r="E20" s="14"/>
      <c r="F20" s="129"/>
    </row>
    <row r="21" spans="1:6" ht="15.75">
      <c r="A21" s="14"/>
      <c r="B21" s="847" t="s">
        <v>366</v>
      </c>
      <c r="C21" s="847"/>
      <c r="D21" s="137">
        <f>IF(D19&gt;0,(D19*0.001),"")</f>
        <v>2183.476</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Neosho Township </v>
      </c>
      <c r="I6">
        <f>CONCATENATE(I7)</f>
      </c>
    </row>
    <row r="7" spans="1:7" ht="15.75">
      <c r="A7" s="853" t="str">
        <f>CONCATENATE("   with respect to financing the ",inputPrYr!D5," annual budget for ",(inputPrYr!D2)," , ",(inputPrYr!D3)," , Kansas.")</f>
        <v>   with respect to financing the 2013 annual budget for Neosho Township , Coffey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Neosho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Neosho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Neosho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Neosho Township of Coffey County, Kansas that is our desire to notify the public of increased property taxes to finance the 2013 Neosho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Neosho Township Board, Coffey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Neosho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8">
      <selection activeCell="B54" sqref="B5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Neosho Township</v>
      </c>
      <c r="B1" s="90"/>
      <c r="C1" s="90"/>
      <c r="D1" s="90"/>
      <c r="E1" s="90">
        <f>inputPrYr!D5</f>
        <v>2013</v>
      </c>
    </row>
    <row r="2" spans="1:5" ht="15.75">
      <c r="A2" s="88" t="str">
        <f>inputPrYr!D3</f>
        <v>Coffey County</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2183476</v>
      </c>
    </row>
    <row r="8" spans="1:5" ht="15.75">
      <c r="A8" s="22" t="str">
        <f>CONCATENATE("New Improvements for ",E1-1,"")</f>
        <v>New Improvements for 2012</v>
      </c>
      <c r="B8" s="19"/>
      <c r="C8" s="19"/>
      <c r="D8" s="19"/>
      <c r="E8" s="283">
        <v>0</v>
      </c>
    </row>
    <row r="9" spans="1:5" ht="15.75">
      <c r="A9" s="22" t="str">
        <f>CONCATENATE("Personal Property excluding oil, gas, and mobile homes - ",E1-1,"")</f>
        <v>Personal Property excluding oil, gas, and mobile homes - 2012</v>
      </c>
      <c r="B9" s="19"/>
      <c r="C9" s="19"/>
      <c r="D9" s="19"/>
      <c r="E9" s="283">
        <v>102935</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76256</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v>0.157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Cemetery</v>
      </c>
      <c r="B21" s="267"/>
      <c r="C21" s="19"/>
      <c r="D21" s="289">
        <v>2.405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2.562</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2105286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378</v>
      </c>
    </row>
    <row r="33" spans="1:5" ht="15.75">
      <c r="A33" s="296" t="s">
        <v>277</v>
      </c>
      <c r="B33" s="267"/>
      <c r="C33" s="267"/>
      <c r="D33" s="31"/>
      <c r="E33" s="34">
        <v>30</v>
      </c>
    </row>
    <row r="34" spans="1:5" ht="15.75">
      <c r="A34" s="296" t="s">
        <v>160</v>
      </c>
      <c r="B34" s="267"/>
      <c r="C34" s="267"/>
      <c r="D34" s="31"/>
      <c r="E34" s="34">
        <v>29</v>
      </c>
    </row>
    <row r="35" spans="1:5" ht="15.75">
      <c r="A35" s="296" t="s">
        <v>161</v>
      </c>
      <c r="B35" s="267"/>
      <c r="C35" s="267"/>
      <c r="D35" s="31"/>
      <c r="E35" s="34"/>
    </row>
    <row r="36" spans="1:5" ht="15.75">
      <c r="A36" s="296" t="s">
        <v>100</v>
      </c>
      <c r="B36" s="20"/>
      <c r="C36" s="20"/>
      <c r="D36" s="295"/>
      <c r="E36" s="34"/>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608</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Cemetery</v>
      </c>
      <c r="B50" s="36">
        <v>8235</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4.25">
      <c r="A8" s="406"/>
      <c r="B8" s="862" t="s">
        <v>629</v>
      </c>
      <c r="C8" s="862"/>
      <c r="D8" s="862"/>
      <c r="E8" s="862"/>
      <c r="F8" s="862"/>
      <c r="G8" s="862"/>
      <c r="H8" s="862"/>
      <c r="I8" s="862"/>
      <c r="J8" s="862"/>
      <c r="K8" s="862"/>
      <c r="L8" s="406"/>
    </row>
    <row r="9" spans="1:12" ht="14.25">
      <c r="A9" s="406"/>
      <c r="L9" s="406"/>
    </row>
    <row r="10" spans="1:12" ht="14.25">
      <c r="A10" s="406"/>
      <c r="B10" s="862" t="s">
        <v>630</v>
      </c>
      <c r="C10" s="862"/>
      <c r="D10" s="862"/>
      <c r="E10" s="862"/>
      <c r="F10" s="862"/>
      <c r="G10" s="862"/>
      <c r="H10" s="862"/>
      <c r="I10" s="862"/>
      <c r="J10" s="862"/>
      <c r="K10" s="862"/>
      <c r="L10" s="406"/>
    </row>
    <row r="11" spans="1:12" ht="14.2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4">
        <v>312000000</v>
      </c>
      <c r="G23" s="864"/>
      <c r="L23" s="406"/>
    </row>
    <row r="24" spans="1:12" ht="14.25">
      <c r="A24" s="406"/>
      <c r="L24" s="406"/>
    </row>
    <row r="25" spans="1:12" ht="14.25">
      <c r="A25" s="406"/>
      <c r="C25" s="865">
        <f>F23</f>
        <v>312000000</v>
      </c>
      <c r="D25" s="86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4.25">
      <c r="A31" s="406"/>
      <c r="B31" s="862" t="s">
        <v>640</v>
      </c>
      <c r="C31" s="862"/>
      <c r="D31" s="862"/>
      <c r="E31" s="862"/>
      <c r="F31" s="862"/>
      <c r="G31" s="862"/>
      <c r="H31" s="862"/>
      <c r="I31" s="862"/>
      <c r="J31" s="862"/>
      <c r="K31" s="862"/>
      <c r="L31" s="406"/>
    </row>
    <row r="32" spans="1:12" ht="14.25">
      <c r="A32" s="406"/>
      <c r="L32" s="406"/>
    </row>
    <row r="33" spans="1:12" ht="14.25">
      <c r="A33" s="406"/>
      <c r="B33" s="862" t="s">
        <v>641</v>
      </c>
      <c r="C33" s="862"/>
      <c r="D33" s="862"/>
      <c r="E33" s="862"/>
      <c r="F33" s="862"/>
      <c r="G33" s="862"/>
      <c r="H33" s="862"/>
      <c r="I33" s="862"/>
      <c r="J33" s="862"/>
      <c r="K33" s="862"/>
      <c r="L33" s="406"/>
    </row>
    <row r="34" spans="1:12" ht="14.25">
      <c r="A34" s="406"/>
      <c r="L34" s="406"/>
    </row>
    <row r="35" spans="1:12" ht="89.25" customHeight="1">
      <c r="A35" s="406"/>
      <c r="B35" s="863" t="s">
        <v>642</v>
      </c>
      <c r="C35" s="867"/>
      <c r="D35" s="867"/>
      <c r="E35" s="867"/>
      <c r="F35" s="867"/>
      <c r="G35" s="867"/>
      <c r="H35" s="867"/>
      <c r="I35" s="867"/>
      <c r="J35" s="867"/>
      <c r="K35" s="867"/>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68">
        <v>312000000</v>
      </c>
      <c r="D41" s="868"/>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69">
        <v>312000000</v>
      </c>
      <c r="C48" s="864"/>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0" t="s">
        <v>650</v>
      </c>
      <c r="H50" s="871"/>
      <c r="I50" s="555" t="s">
        <v>636</v>
      </c>
      <c r="J50" s="426">
        <f>B50/F50</f>
        <v>0.16025641025641027</v>
      </c>
      <c r="K50" s="418"/>
      <c r="L50" s="406"/>
    </row>
    <row r="51" spans="1:15" ht="1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4.25">
      <c r="A53" s="406"/>
      <c r="B53" s="862" t="s">
        <v>652</v>
      </c>
      <c r="C53" s="862"/>
      <c r="D53" s="862"/>
      <c r="E53" s="862"/>
      <c r="F53" s="862"/>
      <c r="G53" s="862"/>
      <c r="H53" s="862"/>
      <c r="I53" s="862"/>
      <c r="J53" s="862"/>
      <c r="K53" s="862"/>
      <c r="L53" s="406"/>
    </row>
    <row r="54" spans="1:12" ht="14.25">
      <c r="A54" s="406"/>
      <c r="B54" s="550"/>
      <c r="C54" s="550"/>
      <c r="D54" s="550"/>
      <c r="E54" s="550"/>
      <c r="F54" s="550"/>
      <c r="G54" s="550"/>
      <c r="H54" s="550"/>
      <c r="I54" s="550"/>
      <c r="J54" s="550"/>
      <c r="K54" s="550"/>
      <c r="L54" s="406"/>
    </row>
    <row r="55" spans="1:12" ht="14.2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4">
        <v>312000000</v>
      </c>
      <c r="D74" s="864"/>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4">
        <v>50000</v>
      </c>
      <c r="D77" s="864"/>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4">
        <v>100000</v>
      </c>
      <c r="D80" s="864"/>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4.25">
      <c r="A86" s="406"/>
      <c r="B86" s="858" t="s">
        <v>670</v>
      </c>
      <c r="C86" s="858"/>
      <c r="D86" s="858"/>
      <c r="E86" s="858"/>
      <c r="F86" s="858"/>
      <c r="G86" s="858"/>
      <c r="H86" s="858"/>
      <c r="I86" s="858"/>
      <c r="J86" s="858"/>
      <c r="K86" s="858"/>
      <c r="L86" s="406"/>
    </row>
    <row r="87" spans="1:12" ht="14.25">
      <c r="A87" s="406"/>
      <c r="B87" s="440"/>
      <c r="C87" s="440"/>
      <c r="D87" s="440"/>
      <c r="E87" s="440"/>
      <c r="F87" s="440"/>
      <c r="G87" s="440"/>
      <c r="H87" s="440"/>
      <c r="I87" s="440"/>
      <c r="J87" s="440"/>
      <c r="K87" s="440"/>
      <c r="L87" s="406"/>
    </row>
    <row r="88" spans="1:12" ht="14.25">
      <c r="A88" s="406"/>
      <c r="B88" s="858" t="s">
        <v>671</v>
      </c>
      <c r="C88" s="858"/>
      <c r="D88" s="858"/>
      <c r="E88" s="858"/>
      <c r="F88" s="858"/>
      <c r="G88" s="858"/>
      <c r="H88" s="858"/>
      <c r="I88" s="858"/>
      <c r="J88" s="858"/>
      <c r="K88" s="858"/>
      <c r="L88" s="406"/>
    </row>
    <row r="89" spans="1:12" ht="14.2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4">
        <v>312000000</v>
      </c>
      <c r="D114" s="864"/>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4">
        <v>2500000</v>
      </c>
      <c r="D120" s="864"/>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4.25">
      <c r="A126" s="406"/>
      <c r="B126" s="858" t="s">
        <v>677</v>
      </c>
      <c r="C126" s="858"/>
      <c r="D126" s="858"/>
      <c r="E126" s="858"/>
      <c r="F126" s="858"/>
      <c r="G126" s="858"/>
      <c r="H126" s="858"/>
      <c r="I126" s="858"/>
      <c r="J126" s="858"/>
      <c r="K126" s="858"/>
      <c r="L126" s="452"/>
    </row>
    <row r="127" spans="1:12" ht="14.25">
      <c r="A127" s="406"/>
      <c r="B127" s="550"/>
      <c r="C127" s="550"/>
      <c r="D127" s="550"/>
      <c r="E127" s="550"/>
      <c r="F127" s="550"/>
      <c r="G127" s="550"/>
      <c r="H127" s="550"/>
      <c r="I127" s="550"/>
      <c r="J127" s="550"/>
      <c r="K127" s="550"/>
      <c r="L127" s="452"/>
    </row>
    <row r="128" spans="1:12" ht="14.25">
      <c r="A128" s="406"/>
      <c r="B128" s="858" t="s">
        <v>678</v>
      </c>
      <c r="C128" s="858"/>
      <c r="D128" s="858"/>
      <c r="E128" s="858"/>
      <c r="F128" s="858"/>
      <c r="G128" s="858"/>
      <c r="H128" s="858"/>
      <c r="I128" s="858"/>
      <c r="J128" s="858"/>
      <c r="K128" s="858"/>
      <c r="L128" s="452"/>
    </row>
    <row r="129" spans="1:12" ht="14.2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79" t="s">
        <v>680</v>
      </c>
      <c r="D133" s="879"/>
      <c r="E133" s="416"/>
      <c r="F133" s="555" t="s">
        <v>681</v>
      </c>
      <c r="G133" s="416"/>
      <c r="H133" s="879" t="s">
        <v>666</v>
      </c>
      <c r="I133" s="879"/>
      <c r="J133" s="416"/>
      <c r="K133" s="418"/>
      <c r="L133" s="406"/>
    </row>
    <row r="134" spans="1:12" ht="14.25">
      <c r="A134" s="406"/>
      <c r="B134" s="424" t="s">
        <v>659</v>
      </c>
      <c r="C134" s="864">
        <v>100000</v>
      </c>
      <c r="D134" s="864"/>
      <c r="E134" s="555" t="s">
        <v>290</v>
      </c>
      <c r="F134" s="555">
        <v>0.115</v>
      </c>
      <c r="G134" s="555" t="s">
        <v>636</v>
      </c>
      <c r="H134" s="880">
        <f>C134*F134</f>
        <v>11500</v>
      </c>
      <c r="I134" s="880"/>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81" t="s">
        <v>666</v>
      </c>
      <c r="D136" s="881"/>
      <c r="E136" s="434"/>
      <c r="F136" s="557" t="s">
        <v>682</v>
      </c>
      <c r="G136" s="557"/>
      <c r="H136" s="434"/>
      <c r="I136" s="434"/>
      <c r="J136" s="434" t="s">
        <v>683</v>
      </c>
      <c r="K136" s="435"/>
      <c r="L136" s="406"/>
    </row>
    <row r="137" spans="1:12" ht="14.2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80" t="s">
        <v>687</v>
      </c>
      <c r="D147" s="880"/>
      <c r="E147" s="555"/>
      <c r="F147" s="470" t="s">
        <v>688</v>
      </c>
      <c r="G147" s="555"/>
      <c r="H147" s="555"/>
      <c r="I147" s="555"/>
      <c r="J147" s="885" t="s">
        <v>689</v>
      </c>
      <c r="K147" s="886"/>
      <c r="L147" s="406"/>
    </row>
    <row r="148" spans="1:12" ht="14.25">
      <c r="A148" s="406"/>
      <c r="B148" s="424"/>
      <c r="C148" s="887">
        <v>52.869</v>
      </c>
      <c r="D148" s="887"/>
      <c r="E148" s="555" t="s">
        <v>290</v>
      </c>
      <c r="F148" s="551">
        <v>312000000</v>
      </c>
      <c r="G148" s="475" t="s">
        <v>637</v>
      </c>
      <c r="H148" s="555">
        <v>1000</v>
      </c>
      <c r="I148" s="555" t="s">
        <v>636</v>
      </c>
      <c r="J148" s="885">
        <f>C148*(F148/1000)</f>
        <v>16495128</v>
      </c>
      <c r="K148" s="88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941</v>
      </c>
      <c r="C4" s="720"/>
      <c r="J4" s="721" t="s">
        <v>844</v>
      </c>
    </row>
    <row r="5" spans="1:10" ht="15.75">
      <c r="A5" s="478"/>
      <c r="B5" s="720"/>
      <c r="J5" s="721" t="s">
        <v>845</v>
      </c>
    </row>
    <row r="6" spans="1:10" ht="15.75">
      <c r="A6" s="478" t="s">
        <v>840</v>
      </c>
      <c r="B6" s="359" t="s">
        <v>942</v>
      </c>
      <c r="J6" s="721" t="s">
        <v>846</v>
      </c>
    </row>
    <row r="7" spans="1:10" ht="15.75">
      <c r="A7" s="356"/>
      <c r="B7" s="356"/>
      <c r="C7" s="356"/>
      <c r="D7" s="358"/>
      <c r="E7" s="356"/>
      <c r="F7" s="356"/>
      <c r="J7" s="721" t="s">
        <v>847</v>
      </c>
    </row>
    <row r="8" spans="1:10" ht="15.75">
      <c r="A8" s="357" t="s">
        <v>373</v>
      </c>
      <c r="B8" s="359" t="s">
        <v>943</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September 16, 2012</v>
      </c>
      <c r="E9" s="356"/>
      <c r="F9" s="356"/>
      <c r="J9" s="721" t="s">
        <v>849</v>
      </c>
    </row>
    <row r="10" spans="1:10" ht="15.75">
      <c r="A10" s="357" t="s">
        <v>374</v>
      </c>
      <c r="B10" s="359" t="s">
        <v>944</v>
      </c>
      <c r="C10" s="363"/>
      <c r="D10" s="357"/>
      <c r="E10" s="356"/>
      <c r="F10" s="356"/>
      <c r="J10" s="721" t="s">
        <v>850</v>
      </c>
    </row>
    <row r="11" spans="1:10" ht="15.75">
      <c r="A11" s="357"/>
      <c r="B11" s="357"/>
      <c r="C11" s="357"/>
      <c r="D11" s="357"/>
      <c r="E11" s="356"/>
      <c r="F11" s="356"/>
      <c r="J11" s="721" t="s">
        <v>851</v>
      </c>
    </row>
    <row r="12" spans="1:10" ht="15.75">
      <c r="A12" s="357" t="s">
        <v>375</v>
      </c>
      <c r="B12" s="364" t="s">
        <v>945</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946</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September</v>
      </c>
    </row>
    <row r="20" spans="1:7" ht="15.75">
      <c r="A20" s="357" t="s">
        <v>373</v>
      </c>
      <c r="B20" s="361" t="s">
        <v>378</v>
      </c>
      <c r="C20" s="357"/>
      <c r="D20" s="357"/>
      <c r="E20" s="357"/>
      <c r="G20" s="722" t="str">
        <f>IF(B8="","",CONCATENATE("J",G22))</f>
        <v>J9</v>
      </c>
    </row>
    <row r="21" spans="1:7" ht="15.75">
      <c r="A21" s="357"/>
      <c r="B21" s="357"/>
      <c r="C21" s="357"/>
      <c r="D21" s="357"/>
      <c r="E21" s="357"/>
      <c r="G21" s="723">
        <f>B8-10</f>
        <v>41168</v>
      </c>
    </row>
    <row r="22" spans="1:7" ht="15.75">
      <c r="A22" s="357" t="s">
        <v>374</v>
      </c>
      <c r="B22" s="357" t="s">
        <v>379</v>
      </c>
      <c r="C22" s="357"/>
      <c r="D22" s="357"/>
      <c r="E22" s="357"/>
      <c r="G22" s="724">
        <f>IF(B8="","",MONTH(G21))</f>
        <v>9</v>
      </c>
    </row>
    <row r="23" spans="1:7" ht="15.75">
      <c r="A23" s="357"/>
      <c r="B23" s="357"/>
      <c r="C23" s="357"/>
      <c r="D23" s="357"/>
      <c r="E23" s="357"/>
      <c r="G23" s="725">
        <f>IF(B8="","",DAY(G21))</f>
        <v>16</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6">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Coffey County,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Neosho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984</v>
      </c>
      <c r="F21" s="732">
        <f>IF(gen!$E$57&lt;&gt;0,gen!$E$57,0)</f>
        <v>350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Cemetery</v>
      </c>
      <c r="C25" s="260" t="str">
        <f>IF(inputPrYr!C20&gt;0,inputPrYr!C20,"  ")</f>
        <v>17-1344</v>
      </c>
      <c r="D25" s="261" t="str">
        <f>IF(levypage9!C81&gt;0,levypage9!C81,"  ")</f>
        <v>  </v>
      </c>
      <c r="E25" s="732">
        <f>IF(levypage9!$E$33&lt;&gt;0,levypage9!$E$33,"  ")</f>
        <v>10608</v>
      </c>
      <c r="F25" s="732">
        <f>IF(levypage9!$E$40&lt;&gt;0,levypage9!$E$40,"  ")</f>
        <v>5026</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t="str">
        <f>IF(road!C67&gt;0,road!C67,"  ")</f>
        <v>  </v>
      </c>
      <c r="E34" s="236"/>
      <c r="F34" s="236"/>
      <c r="G34" s="733"/>
    </row>
    <row r="35" spans="2:7" s="14" customFormat="1" ht="16.5" thickBot="1">
      <c r="B35" s="266" t="s">
        <v>289</v>
      </c>
      <c r="C35" s="267"/>
      <c r="D35" s="159" t="s">
        <v>290</v>
      </c>
      <c r="E35" s="734">
        <f>SUM(E21:E30)</f>
        <v>11592</v>
      </c>
      <c r="F35" s="734">
        <f>SUM(F21:F30)</f>
        <v>5376</v>
      </c>
      <c r="G35" s="735">
        <f>IF(SUM(G21:G30)&gt;0,SUM(G21:G30),"")</f>
      </c>
    </row>
    <row r="36" spans="2:4" s="14" customFormat="1" ht="16.5" thickTop="1">
      <c r="B36" s="27" t="s">
        <v>168</v>
      </c>
      <c r="C36" s="259"/>
      <c r="D36" s="264">
        <f>summ!D49</f>
        <v>0</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1">
      <selection activeCell="M33" sqref="M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Neosho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5393</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5393</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102935</v>
      </c>
      <c r="F14" s="246"/>
      <c r="G14" s="55"/>
      <c r="H14" s="55"/>
      <c r="I14" s="53"/>
      <c r="J14" s="55"/>
    </row>
    <row r="15" spans="1:10" ht="15.75">
      <c r="A15" s="245"/>
      <c r="B15" s="14" t="s">
        <v>87</v>
      </c>
      <c r="C15" s="14" t="str">
        <f>CONCATENATE("Personal Property ",J1-2,"")</f>
        <v>Personal Property 2011</v>
      </c>
      <c r="D15" s="245" t="s">
        <v>82</v>
      </c>
      <c r="E15" s="249">
        <f>inputOth!E11</f>
        <v>76256</v>
      </c>
      <c r="F15" s="246"/>
      <c r="G15" s="53"/>
      <c r="H15" s="53"/>
      <c r="I15" s="55"/>
      <c r="J15" s="55"/>
    </row>
    <row r="16" spans="1:10" ht="15.75">
      <c r="A16" s="245"/>
      <c r="B16" s="14" t="s">
        <v>88</v>
      </c>
      <c r="C16" s="14" t="s">
        <v>108</v>
      </c>
      <c r="D16" s="14"/>
      <c r="E16" s="55"/>
      <c r="F16" s="55" t="s">
        <v>15</v>
      </c>
      <c r="G16" s="247">
        <f>IF(E14&gt;E15,E14-E15,0)</f>
        <v>26679</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26679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2183476</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2156797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0.012369731597364054</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67</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5460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5460</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Neosho Township</v>
      </c>
      <c r="C1" s="14"/>
      <c r="D1" s="14"/>
      <c r="E1" s="14"/>
      <c r="F1" s="14"/>
      <c r="G1" s="14"/>
      <c r="H1" s="14"/>
      <c r="I1" s="14"/>
      <c r="J1" s="15">
        <f>inputPrYr!D5</f>
        <v>2013</v>
      </c>
      <c r="K1" s="15"/>
      <c r="L1" s="90"/>
    </row>
    <row r="2" spans="2:12" ht="15.75">
      <c r="B2" s="13" t="str">
        <f>inputPrYr!D3</f>
        <v>Coffey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f>IF(inputPrYr!E16&gt;0,inputPrYr!E16,"  ")</f>
        <v>330</v>
      </c>
      <c r="E11" s="131">
        <f>IF(inputOth!D17&gt;0,inputOth!D17,"  ")</f>
        <v>0.157</v>
      </c>
      <c r="F11" s="727"/>
      <c r="G11" s="161">
        <f>IF(inputPrYr!E16=0,0,G23-SUM(G12:G20))</f>
        <v>23</v>
      </c>
      <c r="H11" s="728"/>
      <c r="I11" s="161">
        <f>IF(inputPrYr!E16=0,0,I25-SUM(I12:I20))</f>
        <v>2</v>
      </c>
      <c r="J11" s="161">
        <f>IF(inputPrYr!E16=0,0,J27-SUM(J12:J20))</f>
        <v>2</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Cemetery</v>
      </c>
      <c r="C15" s="234"/>
      <c r="D15" s="161">
        <f>IF(inputPrYr!E20&gt;=0,inputPrYr!E20,"  ")</f>
        <v>5063</v>
      </c>
      <c r="E15" s="131">
        <f>IF(inputOth!D21&gt;0,inputOth!D21,"  ")</f>
        <v>2.405</v>
      </c>
      <c r="F15" s="727"/>
      <c r="G15" s="161">
        <f>IF(inputPrYr!E20=0,0,ROUND(D15*$G$30,0))</f>
        <v>355</v>
      </c>
      <c r="H15" s="728"/>
      <c r="I15" s="161">
        <f>IF(inputPrYr!$E$20=0,0,ROUND($D$15*$I$32,0))</f>
        <v>28</v>
      </c>
      <c r="J15" s="161">
        <f>IF(inputPrYr!E20=0,0,ROUND($D15*$J$34,0))</f>
        <v>27</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5393</v>
      </c>
      <c r="E21" s="730">
        <f>SUM(E11:E20)</f>
        <v>2.562</v>
      </c>
      <c r="F21" s="731"/>
      <c r="G21" s="729">
        <f>SUM(G11:G20)</f>
        <v>378</v>
      </c>
      <c r="H21" s="729"/>
      <c r="I21" s="729">
        <f>SUM(I11:I20)</f>
        <v>30</v>
      </c>
      <c r="J21" s="729">
        <f>SUM(J11:J20)</f>
        <v>29</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378</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30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0.0700908585203041</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0.005562766549230484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0.005377340997589468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Neosho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0</v>
      </c>
      <c r="F27" s="129"/>
    </row>
    <row r="28" spans="1:6" ht="15.75">
      <c r="A28" s="129"/>
      <c r="B28" s="227" t="s">
        <v>610</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2012-09-07T18:13:41Z</cp:lastPrinted>
  <dcterms:created xsi:type="dcterms:W3CDTF">1998-08-26T16:30:41Z</dcterms:created>
  <dcterms:modified xsi:type="dcterms:W3CDTF">2013-01-22T17:05:40Z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