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 windowWidth="12975" windowHeight="8055" tabRatio="767"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PubNotice" sheetId="25" r:id="rId25"/>
    <sheet name="ResPub"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<sst xmlns="http://schemas.openxmlformats.org/spreadsheetml/2006/main" count="1694" uniqueCount="964">
  <si>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</si>
  <si>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</si>
  <si>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</si>
  <si>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</si>
  <si>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</si>
  <si>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</si>
  <si>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</si>
  <si>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</si>
  <si>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</si>
  <si>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</si>
  <si>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</si>
  <si>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</si>
  <si>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</si>
  <si>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</si>
  <si>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</si>
  <si>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</si>
  <si>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</si>
  <si>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</si>
  <si>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</si>
  <si>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</si>
  <si>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</si>
  <si>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</si>
  <si>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</si>
  <si>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</si>
  <si>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</si>
  <si>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</si>
  <si>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</si>
  <si>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</si>
  <si>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</si>
  <si>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</si>
  <si>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</si>
  <si>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</si>
  <si>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</si>
  <si>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</si>
  <si>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</si>
  <si>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</si>
  <si>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</si>
  <si>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</si>
  <si>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</si>
  <si>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</si>
  <si>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</si>
  <si>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</si>
  <si>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</si>
  <si>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</si>
  <si>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</si>
  <si>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</si>
  <si>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</si>
  <si>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</si>
  <si>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</si>
  <si>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</si>
  <si>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</si>
  <si>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</si>
  <si>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</si>
  <si>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</si>
  <si>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</si>
  <si>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</si>
  <si>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</si>
  <si>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</si>
  <si>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</si>
  <si>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</si>
  <si>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</si>
  <si>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</si>
  <si>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</si>
  <si>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</si>
  <si>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</si>
  <si>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</si>
  <si>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</si>
  <si>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</si>
  <si>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</si>
  <si>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</si>
  <si>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</si>
  <si>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</si>
  <si>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</si>
  <si>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</si>
  <si>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</si>
  <si>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</si>
  <si>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</si>
  <si>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</si>
  <si>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</si>
  <si>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</si>
  <si>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</si>
  <si>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</si>
  <si>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</si>
  <si>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</si>
  <si>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</si>
  <si>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</si>
  <si>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</si>
  <si>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</si>
  <si>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</si>
  <si>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</si>
  <si>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</si>
  <si>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</si>
  <si>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</si>
  <si>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</si>
  <si>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</si>
  <si>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</si>
  <si>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</si>
  <si>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</si>
  <si>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</si>
  <si>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</si>
  <si>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</si>
  <si>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</si>
  <si>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</si>
  <si>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</si>
  <si>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</si>
  <si>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</si>
  <si>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</si>
  <si>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</si>
  <si>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</si>
  <si>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</si>
  <si>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</si>
  <si>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</si>
  <si>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</si>
  <si>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</si>
  <si>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</si>
  <si>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</si>
  <si>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</si>
  <si>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</si>
  <si>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</si>
  <si>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</si>
  <si>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</si>
  <si>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</si>
  <si>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</si>
  <si>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</si>
  <si>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</si>
  <si>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</si>
  <si>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</si>
  <si>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</si>
  <si>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</si>
  <si>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</si>
  <si>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</si>
  <si>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</si>
  <si>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</si>
  <si>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</si>
  <si>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</si>
  <si>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</si>
  <si>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</si>
  <si>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</si>
  <si>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</si>
  <si>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</si>
  <si>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</si>
  <si>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</si>
  <si>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</si>
  <si>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</si>
  <si>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</si>
  <si>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</si>
  <si>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</si>
  <si>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</si>
  <si>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</si>
  <si>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</si>
  <si>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</si>
  <si>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</si>
  <si>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</si>
  <si>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</si>
  <si>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</si>
  <si>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</si>
  <si>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</si>
  <si>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</si>
  <si>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</si>
  <si>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</si>
  <si>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</si>
  <si>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</si>
  <si>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</si>
  <si>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</si>
  <si>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</si>
  <si>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</si>
  <si>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</si>
  <si>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</si>
  <si>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</si>
  <si>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</si>
  <si>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</si>
  <si>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</si>
  <si>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</si>
  <si>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</si>
  <si>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</si>
  <si>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</si>
  <si>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</si>
  <si>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</si>
  <si>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</si>
  <si>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</si>
  <si>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</si>
  <si>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</si>
  <si>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</si>
  <si>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</si>
  <si>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</si>
  <si>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</si>
  <si>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</si>
  <si>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</si>
  <si>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</si>
  <si>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</si>
  <si>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</si>
  <si>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</si>
  <si>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</si>
  <si>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</si>
  <si>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</si>
  <si>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</si>
  <si>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</si>
  <si>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</si>
  <si>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</si>
  <si>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</si>
  <si>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</si>
  <si>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</si>
  <si>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</si>
  <si>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</si>
  <si>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</si>
  <si>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</si>
  <si>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</si>
  <si>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</si>
  <si>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</si>
  <si>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</si>
  <si>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</si>
  <si>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</si>
  <si>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</si>
  <si>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</si>
  <si>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</si>
  <si>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</si>
  <si>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</si>
  <si>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</si>
  <si>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</si>
  <si>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</si>
  <si>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</si>
  <si>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</si>
  <si>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</si>
  <si>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</si>
  <si>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</si>
  <si>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</si>
  <si>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</si>
  <si>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</si>
  <si>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</si>
  <si>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</si>
  <si>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</si>
  <si>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</si>
  <si>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</si>
  <si>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</si>
  <si>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</si>
  <si>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</si>
  <si>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</si>
  <si>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</si>
  <si>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</si>
  <si>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</si>
  <si>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</si>
  <si>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</si>
  <si>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</si>
  <si>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</si>
  <si>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</si>
  <si>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</si>
  <si>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</si>
  <si>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</si>
  <si>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</si>
  <si>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</si>
  <si>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</si>
  <si>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</si>
  <si>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</si>
  <si>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</si>
  <si>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</si>
  <si>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</si>
  <si>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</si>
  <si>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</si>
  <si>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</si>
  <si>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</si>
  <si>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</si>
  <si>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</si>
  <si>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</si>
  <si>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</si>
  <si>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</si>
  <si>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</si>
  <si>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</si>
  <si>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</si>
  <si>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</si>
  <si>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</si>
  <si>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</si>
  <si>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</si>
  <si>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</si>
  <si>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</si>
  <si>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</si>
  <si>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</si>
  <si>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</si>
  <si>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</si>
  <si>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</si>
  <si>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</si>
  <si>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</si>
  <si>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</si>
  <si>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</si>
  <si>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</si>
  <si>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</si>
  <si>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</si>
  <si>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</si>
  <si>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</si>
  <si>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</si>
  <si>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</si>
  <si>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</si>
  <si>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</si>
  <si>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</si>
  <si>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</si>
  <si>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</si>
  <si>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</si>
  <si>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</si>
  <si>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</si>
  <si>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</si>
  <si>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</si>
  <si>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</si>
  <si>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</si>
  <si>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</si>
  <si>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</si>
  <si>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</si>
  <si>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</si>
  <si>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</si>
  <si>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</si>
  <si>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</si>
  <si>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</si>
  <si>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</si>
  <si>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</si>
  <si>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</si>
  <si>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</si>
  <si>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</si>
  <si>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</si>
  <si>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</si>
  <si>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</si>
  <si>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</si>
  <si>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</si>
  <si>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</si>
  <si>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</si>
  <si>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</si>
  <si>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</si>
  <si>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</si>
  <si>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</si>
  <si>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</si>
  <si>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</si>
  <si>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</si>
  <si>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</si>
  <si>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</si>
  <si>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</si>
  <si>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</si>
  <si>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</si>
  <si>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</si>
  <si>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</si>
  <si>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</si>
  <si>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</si>
  <si>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</si>
  <si>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</si>
  <si>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</si>
  <si>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</si>
  <si>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</si>
  <si>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</si>
  <si>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</si>
  <si>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</si>
  <si>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</si>
  <si>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</si>
  <si>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</si>
  <si>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</si>
  <si>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</si>
  <si>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</si>
  <si>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</si>
  <si>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</si>
  <si>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</si>
  <si>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</si>
  <si>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</si>
  <si>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</si>
  <si>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</si>
  <si>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</si>
  <si>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</si>
  <si>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</si>
  <si>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</si>
  <si>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</si>
  <si>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</si>
  <si>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</si>
  <si>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</si>
  <si>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</si>
  <si>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</si>
  <si>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</si>
  <si>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</si>
  <si>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</si>
  <si>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</si>
  <si>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</si>
  <si>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</si>
  <si>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</si>
  <si>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</si>
  <si>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</si>
  <si>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</si>
  <si>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</si>
  <si>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</si>
  <si>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</si>
  <si>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</si>
  <si>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</si>
  <si>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</si>
  <si>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</si>
  <si>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</si>
  <si>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</si>
  <si>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</si>
  <si>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</si>
  <si>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</si>
  <si>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</si>
  <si>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</si>
  <si>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</si>
  <si>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</si>
  <si>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</si>
  <si>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</si>
  <si>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</si>
  <si>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</si>
  <si>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</si>
  <si>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</si>
  <si>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</si>
  <si>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</si>
  <si>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</si>
  <si>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</si>
  <si>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</si>
  <si>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</si>
  <si>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</si>
  <si>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</si>
  <si>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</si>
  <si>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</si>
  <si>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</si>
  <si>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</si>
  <si>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</si>
  <si>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</si>
  <si>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</si>
  <si>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</si>
  <si>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</si>
  <si>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</si>
  <si>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</si>
  <si>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</si>
  <si>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</si>
  <si>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</si>
  <si>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</si>
  <si>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</si>
  <si>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</si>
  <si>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</si>
  <si>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</si>
  <si>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</si>
  <si>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</si>
  <si>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</si>
  <si>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</si>
  <si>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</si>
  <si>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</si>
  <si>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</si>
  <si>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</si>
  <si>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</si>
  <si>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</si>
  <si>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</si>
  <si>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</si>
  <si>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</si>
  <si>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</si>
  <si>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</si>
  <si>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</si>
  <si>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</si>
  <si>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</si>
  <si>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</si>
  <si>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</si>
  <si>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</si>
  <si>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</si>
  <si>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</si>
  <si>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</si>
  <si>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</si>
  <si>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</si>
  <si>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</si>
  <si>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</si>
  <si>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</si>
  <si>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</si>
  <si>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</si>
  <si>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</si>
  <si>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</si>
  <si>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</si>
  <si>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</si>
  <si>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</si>
  <si>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</si>
  <si>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</si>
  <si>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</si>
  <si>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</si>
  <si>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</si>
  <si>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</si>
  <si>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</si>
  <si>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</si>
  <si>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</si>
  <si>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</si>
  <si>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</si>
  <si>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</si>
  <si>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</si>
  <si>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</si>
  <si>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</si>
  <si>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</si>
  <si>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</si>
  <si>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</si>
  <si>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</si>
  <si>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</si>
  <si>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</si>
  <si>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</si>
  <si>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</si>
  <si>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</si>
  <si>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</si>
  <si>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</si>
  <si>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</si>
  <si>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</si>
  <si>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</si>
  <si>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</si>
  <si>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</si>
  <si>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</si>
  <si>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</si>
  <si>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</si>
  <si>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</si>
  <si>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</si>
  <si>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</si>
  <si>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</si>
  <si>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</si>
  <si>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</si>
  <si>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</si>
  <si>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</si>
  <si>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</si>
  <si>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</si>
  <si>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</si>
  <si>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</si>
  <si>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</si>
  <si>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</si>
  <si>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</si>
  <si>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</si>
  <si>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</si>
  <si>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</si>
  <si>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</si>
  <si>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</si>
  <si>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</si>
  <si>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</si>
  <si>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</si>
  <si>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</si>
  <si>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</si>
  <si>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</si>
  <si>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</si>
  <si>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</si>
  <si>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</si>
  <si>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</si>
  <si>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</si>
  <si>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</si>
  <si>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</si>
  <si>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</si>
  <si>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</si>
  <si>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</si>
  <si>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</si>
  <si>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</si>
  <si>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</si>
  <si>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</si>
  <si>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</si>
  <si>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</si>
  <si>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</si>
  <si>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</si>
  <si>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</si>
  <si>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</si>
  <si>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</si>
  <si>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</si>
  <si>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</si>
  <si>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</si>
  <si>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</si>
  <si>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</si>
  <si>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</si>
  <si>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</si>
  <si>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</si>
  <si>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</si>
  <si>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</si>
  <si>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</si>
  <si>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</si>
  <si>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</si>
  <si>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</si>
  <si>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</si>
  <si>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</si>
  <si>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</si>
  <si>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</si>
  <si>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</si>
  <si>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</si>
  <si>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</si>
  <si>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</si>
  <si>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</si>
  <si>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</si>
  <si>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</si>
  <si>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</si>
  <si>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</si>
  <si>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</si>
  <si>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</si>
  <si>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</si>
  <si>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</si>
  <si>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</si>
  <si>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</si>
  <si>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</si>
  <si>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</si>
  <si>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</si>
  <si>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</si>
  <si>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</si>
  <si>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</si>
  <si>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</si>
  <si>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</si>
  <si>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</si>
  <si>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</si>
  <si>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</si>
  <si>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</si>
  <si>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</si>
  <si>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</si>
  <si>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</si>
  <si>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</si>
  <si>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</si>
  <si>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</si>
  <si>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</si>
  <si>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</si>
  <si>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</si>
  <si>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</si>
  <si>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</si>
  <si>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</si>
  <si>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</si>
  <si>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</si>
  <si>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</si>
  <si>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</si>
  <si>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</si>
  <si>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</si>
  <si>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</si>
  <si>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</si>
  <si>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</si>
  <si>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</si>
  <si>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</si>
  <si>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</si>
  <si>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</si>
  <si>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</si>
  <si>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</si>
  <si>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</si>
  <si>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</si>
  <si>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</si>
  <si>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</si>
  <si>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</si>
  <si>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</si>
  <si>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</si>
  <si>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</si>
  <si>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</si>
  <si>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</si>
  <si>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</si>
  <si>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</si>
  <si>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</si>
  <si>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</si>
  <si>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</si>
  <si>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</si>
  <si>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</si>
  <si>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</si>
  <si>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</si>
  <si>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</si>
  <si>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</si>
  <si>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</si>
  <si>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</si>
  <si>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</si>
  <si>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</si>
  <si>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</si>
  <si>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</si>
  <si>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</si>
  <si>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</si>
  <si>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</si>
  <si>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</si>
  <si>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</si>
  <si>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</si>
  <si>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</si>
  <si>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</si>
  <si>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</si>
  <si>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</si>
  <si>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</si>
  <si>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</si>
  <si>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</si>
  <si>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</si>
  <si>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</si>
  <si>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</si>
  <si>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</si>
  <si>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</si>
  <si>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</si>
  <si>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</si>
  <si>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</si>
  <si>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</si>
  <si>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</si>
  <si>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</si>
  <si>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</si>
  <si>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</si>
  <si>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</si>
  <si>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</si>
  <si>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</si>
  <si>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</si>
  <si>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</si>
  <si>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</si>
  <si>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</si>
  <si>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</si>
  <si>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</si>
  <si>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</si>
  <si>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</si>
  <si>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</si>
  <si>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</si>
  <si>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</si>
  <si>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</si>
  <si>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</si>
  <si>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</si>
  <si>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</si>
  <si>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</si>
  <si>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</si>
  <si>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</si>
  <si>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</si>
  <si>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</si>
  <si>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</si>
  <si>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</si>
  <si>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</si>
  <si>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</si>
  <si>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</si>
  <si>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</si>
  <si>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</si>
  <si>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</si>
  <si>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</si>
  <si>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</si>
  <si>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</si>
  <si>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</si>
  <si>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</si>
  <si>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</si>
  <si>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</si>
  <si>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</si>
  <si>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</si>
  <si>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</si>
  <si>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</si>
  <si>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</si>
  <si>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</si>
  <si>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</si>
  <si>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</si>
  <si>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</si>
  <si>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</si>
  <si>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</si>
  <si>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</si>
  <si>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</si>
  <si>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</si>
  <si>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</si>
  <si>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</si>
  <si>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</si>
  <si>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</si>
  <si>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</si>
  <si>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</si>
  <si>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</si>
  <si>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</si>
  <si>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</si>
  <si>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</si>
  <si>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</si>
  <si>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</si>
  <si>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</si>
  <si>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</si>
  <si>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</si>
  <si>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</si>
  <si>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</si>
  <si>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</si>
  <si>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</si>
  <si>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</si>
  <si>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</si>
  <si>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</si>
  <si>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</si>
  <si>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</si>
  <si>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</si>
  <si>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</si>
  <si>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</si>
  <si>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</si>
  <si>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</si>
  <si>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</si>
  <si>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</si>
  <si>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</si>
  <si>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</si>
  <si>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</si>
  <si>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</si>
  <si>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</si>
  <si>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</si>
  <si>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</si>
  <si>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</si>
  <si>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</si>
  <si>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</si>
  <si>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</si>
  <si>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</si>
  <si>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</si>
  <si>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</si>
  <si>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</si>
  <si>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</si>
  <si>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</si>
  <si>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</si>
  <si>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</si>
  <si>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</si>
  <si>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</si>
  <si>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</si>
  <si>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</si>
  <si>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</si>
  <si>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</si>
  <si>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</si>
  <si>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</si>
  <si>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</si>
  <si>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</si>
  <si>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</si>
  <si>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</si>
  <si>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</si>
  <si>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</si>
  <si>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</si>
  <si>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</si>
  <si>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</si>
  <si>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</si>
  <si>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</si>
  <si>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</si>
  <si>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</si>
  <si>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</si>
  <si>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</si>
  <si>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</si>
  <si>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</si>
  <si>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</si>
  <si>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</si>
  <si>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</si>
  <si>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</si>
  <si>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</si>
  <si>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</si>
  <si>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</si>
  <si>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</si>
  <si>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</si>
  <si>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</si>
  <si>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</si>
  <si>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</si>
  <si>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</si>
  <si>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</si>
  <si>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</si>
  <si>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</si>
  <si>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</si>
  <si>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</si>
  <si>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</si>
  <si>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</si>
  <si>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</si>
  <si>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</si>
  <si>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</si>
  <si>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</si>
  <si>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</si>
  <si>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</si>
  <si>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</si>
  <si>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</si>
  <si>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</si>
  <si>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</si>
  <si>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</si>
  <si>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</si>
  <si>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</si>
  <si>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</si>
  <si>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</si>
  <si>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</si>
  <si>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</si>
  <si>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</si>
  <si>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</si>
  <si>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</si>
  <si>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</si>
  <si>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</si>
  <si>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</si>
  <si>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</si>
  <si>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</si>
  <si>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</si>
  <si>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</si>
  <si>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</si>
  <si>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</si>
  <si>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</si>
  <si>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</si>
  <si>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</si>
  <si>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</si>
  <si>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</si>
  <si>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</si>
  <si>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</si>
  <si>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</si>
  <si>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</si>
  <si>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</si>
  <si>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</si>
  <si>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</si>
  <si>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</si>
  <si>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</si>
  <si>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</si>
  <si>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</si>
  <si>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</si>
  <si>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</si>
  <si>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</si>
  <si>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</si>
  <si>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</si>
  <si>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</si>
  <si>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</si>
  <si>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</si>
  <si>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</si>
  <si>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</si>
  <si>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</si>
  <si>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</si>
  <si>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</si>
  <si>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</si>
  <si>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</si>
  <si>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</si>
  <si>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</si>
  <si>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</si>
  <si>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</si>
  <si>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</si>
  <si>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</si>
  <si>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</si>
  <si>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</si>
  <si>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</si>
  <si>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</si>
  <si>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</si>
  <si>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</si>
  <si>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</si>
  <si>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</si>
  <si>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</si>
  <si>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</si>
  <si>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</si>
  <si>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</si>
  <si>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</si>
  <si>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</si>
  <si>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</si>
  <si>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</si>
  <si>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</si>
  <si>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</si>
  <si>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</si>
  <si>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</si>
  <si>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</si>
  <si>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</si>
  <si>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</si>
  <si>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</si>
  <si>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</si>
  <si>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</si>
  <si>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</si>
  <si>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</si>
  <si>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</si>
  <si>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</si>
  <si>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</si>
  <si>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</si>
  <si>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</si>
  <si>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</si>
  <si>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</si>
  <si>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</si>
  <si>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</si>
  <si>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</si>
  <si>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</si>
  <si>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</si>
  <si>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</si>
  <si>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</si>
  <si>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</si>
  <si>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</si>
  <si>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</si>
  <si>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</si>
  <si>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</si>
  <si>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</si>
  <si>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</si>
  <si>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</si>
  <si>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</si>
  <si>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</si>
  <si>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</si>
  <si>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</si>
  <si>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</si>
  <si>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</si>
  <si>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</si>
  <si>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</si>
  <si>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</si>
  <si>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</si>
  <si>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</si>
  <si>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</si>
  <si>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</si>
  <si>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</si>
  <si>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</si>
  <si>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</si>
  <si>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</si>
  <si>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Cemetery</t>
  </si>
  <si>
    <t>17-1344</t>
  </si>
  <si>
    <t>Payment in Lieu of Tax</t>
  </si>
  <si>
    <t>Publication</t>
  </si>
  <si>
    <t>Sale of Lots</t>
  </si>
  <si>
    <t>Mowing</t>
  </si>
  <si>
    <t>Liberty Township</t>
  </si>
  <si>
    <t>Coffey County</t>
  </si>
  <si>
    <t>Gridley City</t>
  </si>
  <si>
    <t>Harvey Lingenfelter</t>
  </si>
  <si>
    <t>Treasurer</t>
  </si>
  <si>
    <t>September 10, 2012</t>
  </si>
  <si>
    <t>7:00 P.M.</t>
  </si>
  <si>
    <t>Harvey Lingenfelters' Residence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</si>
</sst>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133350</xdr:rowOff>
    </xdr:to>
    <xdr:pic>
      <xdr:nvPicPr>
        <xdr:cNvPr id="1" name="Picture 3"/>
        <xdr:cNvPicPr preferRelativeResize="1">
          <a:picLocks noChangeAspect="1"/>
        </xdr:cNvPicPr>
      </xdr:nvPicPr>
      <xdr:blipFill>
        <a:blip r:embed="rId1"/>
        <a:stretch>
          <a:fillRect/>
        </a:stretch>
      </xdr:blipFill>
      <xdr:spPr>
        <a:xfrm>
          <a:off x="0" y="0"/>
          <a:ext cx="8334375" cy="10334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59">
      <selection activeCell="A1" sqref="A1"/>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Liberty Township</v>
      </c>
      <c r="C1" s="276"/>
      <c r="D1" s="276"/>
      <c r="E1" s="276"/>
      <c r="F1" s="276"/>
      <c r="G1" s="276"/>
      <c r="H1" s="276"/>
      <c r="I1" s="276"/>
      <c r="J1" s="65"/>
      <c r="K1" s="65"/>
      <c r="L1" s="226">
        <f>inputPrYr!D9</f>
        <v>2013</v>
      </c>
    </row>
    <row r="2" spans="1:12" ht="15.75">
      <c r="A2" s="300"/>
      <c r="B2" s="275" t="str">
        <f>inputPrYr!$D$4</f>
        <v>Coffey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29" sqref="E29"/>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Liberty Township</v>
      </c>
      <c r="C7" s="601"/>
      <c r="D7" s="601"/>
      <c r="E7" s="601"/>
      <c r="F7" s="601"/>
      <c r="G7" s="601"/>
      <c r="H7" s="601"/>
      <c r="I7" s="601"/>
    </row>
    <row r="8" spans="2:9" ht="15.75">
      <c r="B8" s="602" t="str">
        <f>inputPrYr!D4</f>
        <v>Coffey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8148363</v>
      </c>
      <c r="F27" s="601"/>
      <c r="G27" s="606">
        <f>summ!F40</f>
        <v>7210485</v>
      </c>
      <c r="H27" s="601"/>
      <c r="I27" s="601"/>
    </row>
    <row r="28" spans="2:9" ht="15.75">
      <c r="B28" s="601" t="s">
        <v>824</v>
      </c>
      <c r="C28" s="601"/>
      <c r="D28" s="601"/>
      <c r="E28" s="611" t="str">
        <f>IF(G27-E27&gt;0,"No","Yes")</f>
        <v>Yes</v>
      </c>
      <c r="F28" s="601"/>
      <c r="G28" s="601"/>
      <c r="H28" s="601"/>
      <c r="I28" s="601"/>
    </row>
    <row r="29" spans="2:9" ht="15.75">
      <c r="B29" s="601" t="s">
        <v>825</v>
      </c>
      <c r="C29" s="601"/>
      <c r="D29" s="601"/>
      <c r="E29" s="612" t="str">
        <f>summ!E20</f>
        <v>  </v>
      </c>
      <c r="F29" s="601"/>
      <c r="G29" s="612" t="str">
        <f>summ!H20</f>
        <v> </v>
      </c>
      <c r="H29" s="601"/>
      <c r="I29" s="601"/>
    </row>
    <row r="30" spans="2:9" ht="15.75">
      <c r="B30" s="601" t="s">
        <v>826</v>
      </c>
      <c r="C30" s="601"/>
      <c r="D30" s="601"/>
      <c r="E30" s="613" t="e">
        <f>G29-E29</f>
        <v>#VALUE!</v>
      </c>
      <c r="F30" s="601"/>
      <c r="G30" s="601"/>
      <c r="H30" s="601"/>
      <c r="I30" s="601"/>
    </row>
    <row r="31" spans="2:9" ht="15.75">
      <c r="B31" s="601" t="s">
        <v>821</v>
      </c>
      <c r="C31" s="601"/>
      <c r="D31" s="614" t="e">
        <f>IF(E30&gt;=0,"Qualify","Not Qualify")</f>
        <v>#VALUE!</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e">
        <f>IF(D24="Not Qualify",IF(D31="Not Qualify",IF(D31="Not Qualify","Not Qualify","Qualify"),"Qualify"),"Qualify")</f>
        <v>#VALUE!</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
      <c r="B52" s="619"/>
      <c r="C52" s="619"/>
      <c r="D52" s="619"/>
      <c r="E52" s="619"/>
      <c r="F52" s="619"/>
      <c r="G52" s="619"/>
      <c r="H52" s="619"/>
      <c r="I52" s="619"/>
    </row>
    <row r="53" spans="2:9" ht="15.75">
      <c r="B53" s="620" t="s">
        <v>835</v>
      </c>
      <c r="C53" s="619"/>
      <c r="D53" s="619"/>
      <c r="E53" s="619"/>
      <c r="F53" s="619"/>
      <c r="G53" s="619"/>
      <c r="H53" s="619"/>
      <c r="I53" s="619"/>
    </row>
    <row r="54" spans="2:9" ht="1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
      <c r="B70" s="621"/>
      <c r="C70" s="621"/>
      <c r="D70" s="621"/>
      <c r="E70" s="621"/>
      <c r="F70" s="621"/>
      <c r="G70" s="619"/>
      <c r="H70" s="619"/>
      <c r="I70" s="619"/>
    </row>
    <row r="71" spans="2:9" ht="15.75">
      <c r="B71" s="620" t="s">
        <v>847</v>
      </c>
      <c r="C71" s="621"/>
      <c r="D71" s="621"/>
      <c r="E71" s="621"/>
      <c r="F71" s="621"/>
      <c r="G71" s="619"/>
      <c r="H71" s="619"/>
      <c r="I71" s="619"/>
    </row>
    <row r="72" spans="2:9" ht="1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
      <c r="B75" s="621"/>
      <c r="C75" s="621"/>
      <c r="D75" s="621"/>
      <c r="E75" s="621"/>
      <c r="F75" s="621"/>
      <c r="G75" s="619"/>
      <c r="H75" s="619"/>
      <c r="I75" s="619"/>
    </row>
    <row r="76" spans="2:9" ht="15.75">
      <c r="B76" s="620" t="s">
        <v>850</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
      <c r="B95" s="621"/>
      <c r="C95" s="621"/>
      <c r="D95" s="621"/>
      <c r="E95" s="621"/>
      <c r="F95" s="621"/>
      <c r="G95" s="619"/>
      <c r="H95" s="619"/>
      <c r="I95" s="619"/>
    </row>
    <row r="96" spans="2:9" ht="15.75">
      <c r="B96" s="620" t="s">
        <v>859</v>
      </c>
      <c r="C96" s="621"/>
      <c r="D96" s="621"/>
      <c r="E96" s="621"/>
      <c r="F96" s="621"/>
      <c r="G96" s="619"/>
      <c r="H96" s="619"/>
      <c r="I96" s="619"/>
    </row>
    <row r="97" spans="2:9" ht="1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1">
      <selection activeCell="C61" sqref="C6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Liberty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16356</v>
      </c>
      <c r="D6" s="395">
        <f>C51</f>
        <v>16457</v>
      </c>
      <c r="E6" s="262">
        <f>D51</f>
        <v>16569</v>
      </c>
    </row>
    <row r="7" spans="2:5" ht="15.75">
      <c r="B7" s="80" t="s">
        <v>72</v>
      </c>
      <c r="C7" s="395"/>
      <c r="D7" s="395"/>
      <c r="E7" s="316"/>
    </row>
    <row r="8" spans="2:5" ht="15.75">
      <c r="B8" s="80" t="s">
        <v>280</v>
      </c>
      <c r="C8" s="314">
        <v>284</v>
      </c>
      <c r="D8" s="395">
        <f>IF(inputPrYr!H19&gt;0,inputPrYr!G20,inputPrYr!E20)</f>
        <v>300</v>
      </c>
      <c r="E8" s="316" t="s">
        <v>259</v>
      </c>
    </row>
    <row r="9" spans="2:5" ht="15.75">
      <c r="B9" s="80" t="s">
        <v>281</v>
      </c>
      <c r="C9" s="314"/>
      <c r="D9" s="314"/>
      <c r="E9" s="171"/>
    </row>
    <row r="10" spans="2:5" ht="15.75">
      <c r="B10" s="80" t="s">
        <v>282</v>
      </c>
      <c r="C10" s="314">
        <v>14</v>
      </c>
      <c r="D10" s="314">
        <v>27</v>
      </c>
      <c r="E10" s="262">
        <f>mvalloc!G11</f>
        <v>15</v>
      </c>
    </row>
    <row r="11" spans="2:5" ht="15.75">
      <c r="B11" s="80" t="s">
        <v>283</v>
      </c>
      <c r="C11" s="314"/>
      <c r="D11" s="314">
        <v>2</v>
      </c>
      <c r="E11" s="262">
        <f>mvalloc!I11</f>
        <v>1</v>
      </c>
    </row>
    <row r="12" spans="2:5" ht="15.75">
      <c r="B12" s="317" t="s">
        <v>21</v>
      </c>
      <c r="C12" s="314">
        <v>3</v>
      </c>
      <c r="D12" s="314">
        <v>3</v>
      </c>
      <c r="E12" s="262">
        <f>mvalloc!J11</f>
        <v>2</v>
      </c>
    </row>
    <row r="13" spans="2:5" ht="15.75">
      <c r="B13" s="317" t="s">
        <v>113</v>
      </c>
      <c r="C13" s="314"/>
      <c r="D13" s="314"/>
      <c r="E13" s="262">
        <f>inputOth!E71</f>
        <v>0</v>
      </c>
    </row>
    <row r="14" spans="2:5" ht="15.75">
      <c r="B14" s="80" t="s">
        <v>284</v>
      </c>
      <c r="C14" s="314"/>
      <c r="D14" s="314"/>
      <c r="E14" s="262">
        <f>inputOth!E32</f>
        <v>0</v>
      </c>
    </row>
    <row r="15" spans="2:5" ht="15.75">
      <c r="B15" s="319" t="s">
        <v>952</v>
      </c>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v>18</v>
      </c>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319</v>
      </c>
      <c r="D26" s="398">
        <f>SUM(D8:D24)</f>
        <v>332</v>
      </c>
      <c r="E26" s="323">
        <f>SUM(E8:E24)</f>
        <v>18</v>
      </c>
    </row>
    <row r="27" spans="2:5" ht="15.75">
      <c r="B27" s="98" t="s">
        <v>288</v>
      </c>
      <c r="C27" s="398">
        <f>C26+C6</f>
        <v>16675</v>
      </c>
      <c r="D27" s="398">
        <f>D26+D6</f>
        <v>16789</v>
      </c>
      <c r="E27" s="323">
        <f>E26+E6</f>
        <v>16587</v>
      </c>
    </row>
    <row r="28" spans="2:5" ht="15.75">
      <c r="B28" s="80" t="s">
        <v>289</v>
      </c>
      <c r="C28" s="395"/>
      <c r="D28" s="395"/>
      <c r="E28" s="262"/>
    </row>
    <row r="29" spans="2:5" ht="15.75">
      <c r="B29" s="318"/>
      <c r="C29" s="314"/>
      <c r="D29" s="314"/>
      <c r="E29" s="171"/>
    </row>
    <row r="30" spans="2:5" ht="15.75">
      <c r="B30" s="319" t="s">
        <v>53</v>
      </c>
      <c r="C30" s="314">
        <v>180</v>
      </c>
      <c r="D30" s="314">
        <v>180</v>
      </c>
      <c r="E30" s="171">
        <v>180</v>
      </c>
    </row>
    <row r="31" spans="2:5" ht="15.75">
      <c r="B31" s="319" t="s">
        <v>77</v>
      </c>
      <c r="C31" s="314"/>
      <c r="D31" s="314"/>
      <c r="E31" s="171"/>
    </row>
    <row r="32" spans="2:5" ht="15.75">
      <c r="B32" s="319" t="s">
        <v>54</v>
      </c>
      <c r="C32" s="314"/>
      <c r="D32" s="314"/>
      <c r="E32" s="171"/>
    </row>
    <row r="33" spans="2:5" ht="15.75">
      <c r="B33" s="319" t="s">
        <v>300</v>
      </c>
      <c r="C33" s="314"/>
      <c r="D33" s="314"/>
      <c r="E33" s="171">
        <v>16667</v>
      </c>
    </row>
    <row r="34" spans="2:5" ht="15.75">
      <c r="B34" s="318" t="s">
        <v>55</v>
      </c>
      <c r="C34" s="314"/>
      <c r="D34" s="314"/>
      <c r="E34" s="171"/>
    </row>
    <row r="35" spans="2:5" ht="15.75">
      <c r="B35" s="318" t="s">
        <v>78</v>
      </c>
      <c r="C35" s="314"/>
      <c r="D35" s="314"/>
      <c r="E35" s="171"/>
    </row>
    <row r="36" spans="2:5" ht="15.75">
      <c r="B36" s="319" t="s">
        <v>80</v>
      </c>
      <c r="C36" s="314"/>
      <c r="D36" s="314"/>
      <c r="E36" s="171"/>
    </row>
    <row r="37" spans="2:5" ht="15.75">
      <c r="B37" s="319" t="s">
        <v>953</v>
      </c>
      <c r="C37" s="314">
        <v>38</v>
      </c>
      <c r="D37" s="314">
        <v>40</v>
      </c>
      <c r="E37" s="171">
        <v>40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780</v>
      </c>
      <c r="C46" s="397">
        <f>IF(C27*0.25&lt;C45,"Exceeds 25%","")</f>
      </c>
      <c r="D46" s="397">
        <f>IF(D27*0.25&lt;D45,"Exceeds 25%","")</f>
      </c>
      <c r="E46" s="324">
        <f>IF(E27*0.25+E57&lt;E45,"Exceeds 25%","")</f>
      </c>
      <c r="G46" s="733" t="s">
        <v>870</v>
      </c>
      <c r="H46" s="734"/>
      <c r="I46" s="734"/>
      <c r="J46" s="735">
        <f>IF(J43&gt;0,J45-E54,0)</f>
        <v>0</v>
      </c>
    </row>
    <row r="47" spans="2:5" ht="15.75">
      <c r="B47" s="317" t="s">
        <v>234</v>
      </c>
      <c r="C47" s="314"/>
      <c r="D47" s="314"/>
      <c r="E47" s="182">
        <f>ResPub!E6</f>
      </c>
    </row>
    <row r="48" spans="2:10" ht="15.75">
      <c r="B48" s="317" t="s">
        <v>232</v>
      </c>
      <c r="C48" s="314"/>
      <c r="D48" s="314"/>
      <c r="E48" s="171"/>
      <c r="G48" s="824" t="str">
        <f>CONCATENATE("Projected Carryover Into ",E1+1,"")</f>
        <v>Projected Carryover Into 2014</v>
      </c>
      <c r="H48" s="825"/>
      <c r="I48" s="825"/>
      <c r="J48" s="826"/>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218</v>
      </c>
      <c r="D50" s="398">
        <f>SUM(D29:D43,D45,D47:D48)</f>
        <v>220</v>
      </c>
      <c r="E50" s="323">
        <f>SUM(E29:E43,E47:E48,E45)</f>
        <v>16887</v>
      </c>
      <c r="G50" s="556">
        <f>D51</f>
        <v>16569</v>
      </c>
      <c r="H50" s="557" t="str">
        <f>CONCATENATE("",E1-1," Ending Cash Balance (est.)")</f>
        <v>2012 Ending Cash Balance (est.)</v>
      </c>
      <c r="I50" s="558"/>
      <c r="J50" s="555"/>
    </row>
    <row r="51" spans="2:10" ht="15.75">
      <c r="B51" s="80" t="s">
        <v>71</v>
      </c>
      <c r="C51" s="399">
        <f>C27-C50</f>
        <v>16457</v>
      </c>
      <c r="D51" s="399">
        <f>D27-D50</f>
        <v>16569</v>
      </c>
      <c r="E51" s="316" t="s">
        <v>259</v>
      </c>
      <c r="G51" s="556">
        <f>E26</f>
        <v>18</v>
      </c>
      <c r="H51" s="559" t="str">
        <f>CONCATENATE("",E1," Non-AV Receipts (est.)")</f>
        <v>2013 Non-AV Receipts (est.)</v>
      </c>
      <c r="I51" s="558"/>
      <c r="J51" s="555"/>
    </row>
    <row r="52" spans="2:11" ht="15.75">
      <c r="B52" s="117" t="str">
        <f>CONCATENATE("",E1-2,"/",E1-1," Budget Authority Amount:")</f>
        <v>2011/2012 Budget Authority Amount:</v>
      </c>
      <c r="C52" s="339">
        <f>inputOth!B83</f>
        <v>16688</v>
      </c>
      <c r="D52" s="68">
        <f>inputPrYr!D20</f>
        <v>16789</v>
      </c>
      <c r="E52" s="316" t="s">
        <v>259</v>
      </c>
      <c r="F52" s="325"/>
      <c r="G52" s="560">
        <f>IF(D56&gt;0,E55,E57)</f>
        <v>300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16887</v>
      </c>
      <c r="H53" s="559" t="str">
        <f>CONCATENATE("Total ",E1," Resources Available")</f>
        <v>Total 2013 Resources Available</v>
      </c>
      <c r="I53" s="558"/>
      <c r="J53" s="555"/>
    </row>
    <row r="54" spans="2:10" ht="15.75">
      <c r="B54" s="504" t="str">
        <f>CONCATENATE(C74,"      ",D74)</f>
        <v>      </v>
      </c>
      <c r="C54" s="820" t="s">
        <v>732</v>
      </c>
      <c r="D54" s="821"/>
      <c r="E54" s="262">
        <f>E50+E53</f>
        <v>16887</v>
      </c>
      <c r="G54" s="561"/>
      <c r="H54" s="559"/>
      <c r="I54" s="559"/>
      <c r="J54" s="555"/>
    </row>
    <row r="55" spans="2:10" ht="15.75">
      <c r="B55" s="504" t="str">
        <f>CONCATENATE(C75,"       ",D75)</f>
        <v>       </v>
      </c>
      <c r="C55" s="507"/>
      <c r="D55" s="506" t="s">
        <v>292</v>
      </c>
      <c r="E55" s="182">
        <f>IF(E54-E27&gt;0,E54-E27,0)</f>
        <v>300</v>
      </c>
      <c r="G55" s="560">
        <f>ROUND(C50*0.05+C50,0)</f>
        <v>229</v>
      </c>
      <c r="H55" s="559" t="str">
        <f>CONCATENATE("Less ",E1-2," Expenditures + 5%")</f>
        <v>Less 2011 Expenditures + 5%</v>
      </c>
      <c r="I55" s="558"/>
      <c r="J55" s="555"/>
    </row>
    <row r="56" spans="2:10" ht="15.75">
      <c r="B56" s="211"/>
      <c r="C56" s="505" t="s">
        <v>733</v>
      </c>
      <c r="D56" s="729">
        <f>inputOth!$E$77</f>
        <v>0</v>
      </c>
      <c r="E56" s="262">
        <f>ROUND(IF(D56&gt;0,(E55*D56),0),0)</f>
        <v>0</v>
      </c>
      <c r="G56" s="562">
        <f>G53-G55</f>
        <v>16658</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300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0.042</v>
      </c>
      <c r="H60" s="557" t="str">
        <f>CONCATENATE("",E1," Fund Mill Rate")</f>
        <v>2013 Fund Mill Rate</v>
      </c>
      <c r="I60" s="728"/>
      <c r="J60" s="738"/>
      <c r="K60" s="156"/>
    </row>
    <row r="61" spans="2:10" ht="15.75">
      <c r="B61" s="211" t="s">
        <v>273</v>
      </c>
      <c r="C61" s="376">
        <v>4</v>
      </c>
      <c r="D61" s="65"/>
      <c r="E61" s="65"/>
      <c r="G61" s="740">
        <f>summ!E18</f>
        <v>0.06</v>
      </c>
      <c r="H61" s="557" t="str">
        <f>CONCATENATE("",E1-1," Fund Mill Rate")</f>
        <v>2012 Fund Mill Rate</v>
      </c>
      <c r="I61" s="728"/>
      <c r="J61" s="738"/>
    </row>
    <row r="62" spans="7:10" ht="15.75">
      <c r="G62" s="741">
        <f>summ!H36</f>
        <v>0.167</v>
      </c>
      <c r="H62" s="557" t="str">
        <f>CONCATENATE("Total ",E1," Mill Rate")</f>
        <v>Total 2013 Mill Rate</v>
      </c>
      <c r="I62" s="728"/>
      <c r="J62" s="738"/>
    </row>
    <row r="63" spans="2:10" ht="15.75">
      <c r="B63" s="109"/>
      <c r="G63" s="740">
        <f>summ!E36</f>
        <v>0.20099999999999998</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F80" sqref="F80"/>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Liberty Township</v>
      </c>
      <c r="C1" s="623"/>
      <c r="D1" s="624"/>
      <c r="E1" s="625">
        <f>inputPrYr!D9</f>
        <v>2013</v>
      </c>
    </row>
    <row r="2" spans="2:5" ht="15.75">
      <c r="B2" s="624"/>
      <c r="C2" s="624"/>
      <c r="D2" s="624"/>
      <c r="E2" s="627"/>
    </row>
    <row r="3" spans="2:5" ht="15.75">
      <c r="B3" s="628" t="s">
        <v>774</v>
      </c>
      <c r="C3" s="628"/>
      <c r="D3" s="629"/>
      <c r="E3" s="630"/>
    </row>
    <row r="4" spans="2:5" ht="15.75">
      <c r="B4" s="631" t="s">
        <v>274</v>
      </c>
      <c r="C4" s="632" t="s">
        <v>866</v>
      </c>
      <c r="D4" s="633" t="s">
        <v>867</v>
      </c>
      <c r="E4" s="634" t="s">
        <v>868</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869</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737</v>
      </c>
      <c r="H26" s="660"/>
      <c r="I26" s="660"/>
      <c r="J26" s="663">
        <v>0</v>
      </c>
    </row>
    <row r="27" spans="2:10" ht="15.75">
      <c r="B27" s="649"/>
      <c r="C27" s="644"/>
      <c r="D27" s="646"/>
      <c r="E27" s="647"/>
      <c r="G27" s="658" t="s">
        <v>738</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870</v>
      </c>
      <c r="H29" s="670"/>
      <c r="I29" s="670"/>
      <c r="J29" s="671">
        <f>IF(J26&gt;0,J28-E37,0)</f>
        <v>0</v>
      </c>
    </row>
    <row r="30" spans="2:5" ht="15.75">
      <c r="B30" s="672" t="s">
        <v>234</v>
      </c>
      <c r="C30" s="644"/>
      <c r="D30" s="646"/>
      <c r="E30" s="642">
        <f>ResPub!E7</f>
      </c>
    </row>
    <row r="31" spans="2:10" ht="15.75">
      <c r="B31" s="672" t="s">
        <v>232</v>
      </c>
      <c r="C31" s="652"/>
      <c r="D31" s="646"/>
      <c r="E31" s="647"/>
      <c r="G31" s="830" t="str">
        <f>CONCATENATE("Projected Carryover Into ",E1+1,"")</f>
        <v>Projected Carryover Into 2014</v>
      </c>
      <c r="H31" s="833"/>
      <c r="I31" s="833"/>
      <c r="J31" s="834"/>
    </row>
    <row r="32" spans="2:10" ht="15.75">
      <c r="B32" s="672" t="s">
        <v>734</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0.167</v>
      </c>
      <c r="H45" s="677" t="str">
        <f>CONCATENATE("Total ",E1," Mill Rate")</f>
        <v>Total 2013 Mill Rate</v>
      </c>
      <c r="I45" s="701"/>
      <c r="J45" s="702"/>
    </row>
    <row r="46" spans="2:10" ht="15.75">
      <c r="B46" s="639" t="s">
        <v>96</v>
      </c>
      <c r="C46" s="644">
        <v>0</v>
      </c>
      <c r="D46" s="641">
        <f>C74</f>
        <v>0</v>
      </c>
      <c r="E46" s="642">
        <f>D74</f>
        <v>0</v>
      </c>
      <c r="F46" s="680"/>
      <c r="G46" s="704">
        <f>summ!E36</f>
        <v>0.20099999999999998</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869</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737</v>
      </c>
      <c r="H66" s="660"/>
      <c r="I66" s="660"/>
      <c r="J66" s="663">
        <v>0</v>
      </c>
    </row>
    <row r="67" spans="2:10" ht="15.75">
      <c r="B67" s="649"/>
      <c r="C67" s="644"/>
      <c r="D67" s="646"/>
      <c r="E67" s="647"/>
      <c r="G67" s="658" t="s">
        <v>738</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870</v>
      </c>
      <c r="H69" s="670"/>
      <c r="I69" s="670"/>
      <c r="J69" s="671">
        <f>IF(J66&gt;0,J68-E77,0)</f>
        <v>0</v>
      </c>
    </row>
    <row r="70" spans="2:6" ht="15.75">
      <c r="B70" s="648" t="s">
        <v>234</v>
      </c>
      <c r="C70" s="644"/>
      <c r="D70" s="646"/>
      <c r="E70" s="642">
        <f>ResPub!E8</f>
      </c>
      <c r="F70" s="680"/>
    </row>
    <row r="71" spans="2:10" ht="15.75">
      <c r="B71" s="648" t="s">
        <v>232</v>
      </c>
      <c r="C71" s="652"/>
      <c r="D71" s="646"/>
      <c r="E71" s="647"/>
      <c r="F71" s="680"/>
      <c r="G71" s="830" t="str">
        <f>CONCATENATE("Projected Carryover Into ",E1+1,"")</f>
        <v>Projected Carryover Into 2014</v>
      </c>
      <c r="H71" s="840"/>
      <c r="I71" s="840"/>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e">
        <f>IF('Library Grant'!F33="","",IF('Library Grant'!F33="Qualify","Qualifies for State Library Grant","See 'Library Grant' tab"))</f>
        <v>#VALUE!</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0.167</v>
      </c>
      <c r="H85" s="677" t="str">
        <f>CONCATENATE("Total ",E1," Mill Rate")</f>
        <v>Total 2013 Mill Rate</v>
      </c>
      <c r="I85" s="701"/>
      <c r="J85" s="702"/>
    </row>
    <row r="86" spans="7:10" ht="15.75">
      <c r="G86" s="704">
        <f>summ!E36</f>
        <v>0.20099999999999998</v>
      </c>
      <c r="H86" s="707" t="str">
        <f>CONCATENATE("Total ",E1-1," Mill Rate")</f>
        <v>Total 2012 Mill Rate</v>
      </c>
      <c r="I86" s="708"/>
      <c r="J86" s="709"/>
    </row>
    <row r="87" spans="7:10" ht="15.75">
      <c r="G87" s="723"/>
      <c r="H87" s="723"/>
      <c r="I87" s="723"/>
      <c r="J87" s="723"/>
    </row>
    <row r="88" spans="3:4" ht="15.75">
      <c r="C88" s="724" t="s">
        <v>872</v>
      </c>
      <c r="D88" s="724" t="s">
        <v>872</v>
      </c>
    </row>
    <row r="89" spans="3:4" ht="15.75">
      <c r="C89" s="724" t="s">
        <v>872</v>
      </c>
      <c r="D89" s="724" t="s">
        <v>872</v>
      </c>
    </row>
    <row r="91" spans="3:4" ht="15.75">
      <c r="C91" s="724" t="s">
        <v>872</v>
      </c>
      <c r="D91" s="724" t="s">
        <v>872</v>
      </c>
    </row>
    <row r="92" spans="3:4" ht="15.75">
      <c r="C92" s="724" t="s">
        <v>872</v>
      </c>
      <c r="D92" s="724" t="s">
        <v>872</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4">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Liberty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c r="D6" s="395">
        <f>C44</f>
        <v>0</v>
      </c>
      <c r="E6" s="262">
        <f>D44</f>
        <v>0</v>
      </c>
    </row>
    <row r="7" spans="2:5" ht="15.75">
      <c r="B7" s="80" t="s">
        <v>72</v>
      </c>
      <c r="C7" s="395"/>
      <c r="D7" s="395"/>
      <c r="E7" s="316"/>
    </row>
    <row r="8" spans="2:5" ht="15.75">
      <c r="B8" s="80" t="s">
        <v>280</v>
      </c>
      <c r="C8" s="314"/>
      <c r="D8" s="395">
        <f>IF(inputPrYr!H19&gt;0,inputPrYr!G23,inputPrYr!E23)</f>
        <v>0</v>
      </c>
      <c r="E8" s="316" t="s">
        <v>259</v>
      </c>
    </row>
    <row r="9" spans="2:5" ht="15.75">
      <c r="B9" s="80" t="s">
        <v>281</v>
      </c>
      <c r="C9" s="314"/>
      <c r="D9" s="314"/>
      <c r="E9" s="171"/>
    </row>
    <row r="10" spans="2:5" ht="15.75">
      <c r="B10" s="80" t="s">
        <v>282</v>
      </c>
      <c r="C10" s="314"/>
      <c r="D10" s="314"/>
      <c r="E10" s="262">
        <f>mvalloc!G14</f>
        <v>0</v>
      </c>
    </row>
    <row r="11" spans="2:5" ht="15.75">
      <c r="B11" s="80" t="s">
        <v>283</v>
      </c>
      <c r="C11" s="314"/>
      <c r="D11" s="314"/>
      <c r="E11" s="262">
        <f>mvalloc!I14</f>
        <v>0</v>
      </c>
    </row>
    <row r="12" spans="2:5" ht="15.75">
      <c r="B12" s="80" t="s">
        <v>51</v>
      </c>
      <c r="C12" s="314"/>
      <c r="D12" s="314"/>
      <c r="E12" s="262">
        <f>mvalloc!J14</f>
        <v>0</v>
      </c>
    </row>
    <row r="13" spans="2:5" ht="15.75">
      <c r="B13" s="80" t="s">
        <v>52</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0</v>
      </c>
      <c r="D23" s="398">
        <f>SUM(D8:D21)</f>
        <v>0</v>
      </c>
      <c r="E23" s="323">
        <f>SUM(E8:E21)</f>
        <v>0</v>
      </c>
    </row>
    <row r="24" spans="2:5" ht="15.75">
      <c r="B24" s="98" t="s">
        <v>288</v>
      </c>
      <c r="C24" s="398">
        <f>C23+C6</f>
        <v>0</v>
      </c>
      <c r="D24" s="398">
        <f>D23+D6</f>
        <v>0</v>
      </c>
      <c r="E24" s="323">
        <f>E23+E6</f>
        <v>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739</v>
      </c>
      <c r="C39" s="397">
        <f>IF(C24*0.25&lt;C38,"Exceeds 25%","")</f>
      </c>
      <c r="D39" s="397">
        <f>IF(D24*0.25&lt;D38,"Exceeds 25%","")</f>
      </c>
      <c r="E39" s="324">
        <f>IF(E24*0.25+E50&lt;E38,"Exceeds 25%","")</f>
      </c>
      <c r="G39" s="733" t="s">
        <v>870</v>
      </c>
      <c r="H39" s="734"/>
      <c r="I39" s="734"/>
      <c r="J39" s="735">
        <f>IF(J36&gt;0,J38-E47,0)</f>
        <v>0</v>
      </c>
    </row>
    <row r="40" spans="2:5" ht="15.75">
      <c r="B40" s="317" t="s">
        <v>234</v>
      </c>
      <c r="C40" s="314"/>
      <c r="D40" s="314"/>
      <c r="E40" s="182">
        <f>ResPub!E9</f>
      </c>
    </row>
    <row r="41" spans="2:10" ht="15.75">
      <c r="B41" s="317" t="s">
        <v>232</v>
      </c>
      <c r="C41" s="314"/>
      <c r="D41" s="314"/>
      <c r="E41" s="171"/>
      <c r="G41" s="824" t="str">
        <f>CONCATENATE("Projected Carryover Into ",E1+1,"")</f>
        <v>Projected Carryover Into 2014</v>
      </c>
      <c r="H41" s="825"/>
      <c r="I41" s="825"/>
      <c r="J41" s="826"/>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75">
      <c r="B44" s="80" t="s">
        <v>71</v>
      </c>
      <c r="C44" s="399">
        <f>C24-C43</f>
        <v>0</v>
      </c>
      <c r="D44" s="399">
        <f>D24-D43</f>
        <v>0</v>
      </c>
      <c r="E44" s="316" t="s">
        <v>259</v>
      </c>
      <c r="G44" s="556">
        <f>E23</f>
        <v>0</v>
      </c>
      <c r="H44" s="559" t="str">
        <f>CONCATENATE("",E1," Non-AV Receipts (est.)")</f>
        <v>2013 Non-AV Receipts (est.)</v>
      </c>
      <c r="I44" s="558"/>
      <c r="J44" s="555"/>
    </row>
    <row r="45" spans="2:11" ht="15.7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75">
      <c r="B47" s="504" t="str">
        <f>CONCATENATE(C72,"     ",D72)</f>
        <v>     </v>
      </c>
      <c r="C47" s="820" t="s">
        <v>732</v>
      </c>
      <c r="D47" s="821"/>
      <c r="E47" s="262">
        <f>E43+E46</f>
        <v>0</v>
      </c>
      <c r="G47" s="561"/>
      <c r="H47" s="559"/>
      <c r="I47" s="559"/>
      <c r="J47" s="555"/>
    </row>
    <row r="48" spans="2:10" ht="15.7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75">
      <c r="B49" s="211"/>
      <c r="C49" s="505" t="s">
        <v>733</v>
      </c>
      <c r="D49" s="729">
        <f>inputOth!$E$77</f>
        <v>0</v>
      </c>
      <c r="E49" s="262">
        <f>ROUND(IF(D49&gt;0,(E48*D49),0),0)</f>
        <v>0</v>
      </c>
      <c r="G49" s="562">
        <f>G46-G48</f>
        <v>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0.167</v>
      </c>
      <c r="H55" s="557" t="str">
        <f>CONCATENATE("Total ",E1," Mill Rate")</f>
        <v>Total 2013 Mill Rate</v>
      </c>
      <c r="I55" s="728"/>
      <c r="J55" s="738"/>
    </row>
    <row r="56" spans="2:10" ht="15.75">
      <c r="B56" s="105" t="s">
        <v>297</v>
      </c>
      <c r="C56" s="339"/>
      <c r="D56" s="65"/>
      <c r="E56" s="65"/>
      <c r="G56" s="740">
        <f>summ!E36</f>
        <v>0.20099999999999998</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56">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Liberty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ResPub!E10</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0.167</v>
      </c>
      <c r="H45" s="677" t="str">
        <f>CONCATENATE("Total ",E1," Mill Rate")</f>
        <v>Total 2013 Mill Rate</v>
      </c>
      <c r="I45" s="701"/>
      <c r="J45" s="702"/>
      <c r="K45" s="626"/>
    </row>
    <row r="46" spans="2:11" ht="15.75">
      <c r="B46" s="80" t="s">
        <v>70</v>
      </c>
      <c r="C46" s="314"/>
      <c r="D46" s="395">
        <f>C74</f>
        <v>0</v>
      </c>
      <c r="E46" s="262">
        <f>D74</f>
        <v>0</v>
      </c>
      <c r="G46" s="704">
        <f>summ!E36</f>
        <v>0.20099999999999998</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IF(inputPrYr!H19&gt;0,inputPrYr!G25,inputPrYr!E25)</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mvalloc!G16</f>
        <v>0</v>
      </c>
      <c r="G50" s="626"/>
      <c r="H50" s="626"/>
      <c r="I50" s="626"/>
      <c r="J50" s="626"/>
      <c r="K50" s="626"/>
    </row>
    <row r="51" spans="2:11" ht="15.75">
      <c r="B51" s="80" t="s">
        <v>283</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ResPub!E11</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0.167</v>
      </c>
      <c r="H89" s="677" t="str">
        <f>CONCATENATE("Total ",E1," Mill Rate")</f>
        <v>Total 2013 Mill Rate</v>
      </c>
      <c r="I89" s="701"/>
      <c r="J89" s="702"/>
    </row>
    <row r="90" spans="7:10" ht="15.75">
      <c r="G90" s="704">
        <f>summ!E36</f>
        <v>0.20099999999999998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68">
      <selection activeCell="C81" sqref="C8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Liberty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ResPub!E12</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t="str">
        <f>inputPrYr!B27</f>
        <v>Cemetery</v>
      </c>
      <c r="C45" s="394" t="str">
        <f>C5</f>
        <v>Actual for 2011</v>
      </c>
      <c r="D45" s="394" t="str">
        <f>D5</f>
        <v>Estimate for 2012</v>
      </c>
      <c r="E45" s="79" t="str">
        <f>E5</f>
        <v>Year for 2013</v>
      </c>
      <c r="G45" s="706">
        <f>summ!H36</f>
        <v>0.167</v>
      </c>
      <c r="H45" s="677" t="str">
        <f>CONCATENATE("Total ",E1," Mill Rate")</f>
        <v>Total 2013 Mill Rate</v>
      </c>
      <c r="I45" s="701"/>
      <c r="J45" s="702"/>
      <c r="K45" s="626"/>
    </row>
    <row r="46" spans="2:11" ht="15.75">
      <c r="B46" s="80" t="s">
        <v>70</v>
      </c>
      <c r="C46" s="314">
        <v>1423</v>
      </c>
      <c r="D46" s="395">
        <f>C74</f>
        <v>1296</v>
      </c>
      <c r="E46" s="262">
        <f>D74</f>
        <v>1212</v>
      </c>
      <c r="G46" s="704">
        <f>summ!E36</f>
        <v>0.20099999999999998</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v>668</v>
      </c>
      <c r="D48" s="395">
        <f>IF(inputPrYr!H19&gt;0,inputPrYr!G27,inputPrYr!E27)</f>
        <v>700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v>33</v>
      </c>
      <c r="D50" s="314">
        <v>65</v>
      </c>
      <c r="E50" s="262">
        <f>mvalloc!G18</f>
        <v>34</v>
      </c>
      <c r="G50" s="626"/>
      <c r="H50" s="626"/>
      <c r="I50" s="626"/>
      <c r="J50" s="626"/>
      <c r="K50" s="626"/>
    </row>
    <row r="51" spans="2:11" ht="15.75">
      <c r="B51" s="80" t="s">
        <v>283</v>
      </c>
      <c r="C51" s="314">
        <v>0</v>
      </c>
      <c r="D51" s="314">
        <v>4</v>
      </c>
      <c r="E51" s="262">
        <f>mvalloc!I18</f>
        <v>2</v>
      </c>
      <c r="G51" s="626"/>
      <c r="H51" s="626"/>
      <c r="I51" s="626"/>
      <c r="J51" s="626"/>
      <c r="K51" s="626"/>
    </row>
    <row r="52" spans="2:11" ht="15.75">
      <c r="B52" s="80" t="s">
        <v>51</v>
      </c>
      <c r="C52" s="314">
        <v>7</v>
      </c>
      <c r="D52" s="314">
        <v>7</v>
      </c>
      <c r="E52" s="262">
        <f>mvalloc!J18</f>
        <v>5</v>
      </c>
      <c r="G52" s="626"/>
      <c r="H52" s="626"/>
      <c r="I52" s="626"/>
      <c r="J52" s="626"/>
      <c r="K52" s="626"/>
    </row>
    <row r="53" spans="2:11" ht="15.75">
      <c r="B53" s="319" t="s">
        <v>952</v>
      </c>
      <c r="C53" s="314"/>
      <c r="D53" s="314"/>
      <c r="E53" s="171"/>
      <c r="G53" s="626"/>
      <c r="H53" s="626"/>
      <c r="I53" s="626"/>
      <c r="J53" s="626"/>
      <c r="K53" s="626"/>
    </row>
    <row r="54" spans="2:11" ht="15.75">
      <c r="B54" s="319" t="s">
        <v>954</v>
      </c>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708</v>
      </c>
      <c r="D60" s="398">
        <f>SUM(D48:D58)</f>
        <v>776</v>
      </c>
      <c r="E60" s="323">
        <f>SUM(E48:E58)</f>
        <v>41</v>
      </c>
      <c r="G60" s="626"/>
      <c r="H60" s="626"/>
      <c r="I60" s="626"/>
      <c r="J60" s="626"/>
      <c r="K60" s="626"/>
    </row>
    <row r="61" spans="2:11" ht="15.75">
      <c r="B61" s="98" t="s">
        <v>288</v>
      </c>
      <c r="C61" s="398">
        <f>C60+C46</f>
        <v>2131</v>
      </c>
      <c r="D61" s="398">
        <f>D60+D46</f>
        <v>2072</v>
      </c>
      <c r="E61" s="323">
        <f>E60+E46</f>
        <v>1253</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t="s">
        <v>955</v>
      </c>
      <c r="C64" s="314">
        <v>835</v>
      </c>
      <c r="D64" s="314">
        <v>860</v>
      </c>
      <c r="E64" s="171">
        <v>2153</v>
      </c>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ResPub!E13</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835</v>
      </c>
      <c r="D73" s="398">
        <f>SUM(D63:D71)</f>
        <v>860</v>
      </c>
      <c r="E73" s="323">
        <f>SUM(E63:E71)</f>
        <v>2153</v>
      </c>
      <c r="G73" s="676">
        <f>D74</f>
        <v>1212</v>
      </c>
      <c r="H73" s="677" t="str">
        <f>CONCATENATE("",E1-1," Ending Cash Balance (est.)")</f>
        <v>2012 Ending Cash Balance (est.)</v>
      </c>
      <c r="I73" s="678"/>
      <c r="J73" s="713"/>
      <c r="K73" s="626"/>
    </row>
    <row r="74" spans="2:11" ht="15.75">
      <c r="B74" s="80" t="s">
        <v>71</v>
      </c>
      <c r="C74" s="399">
        <f>C61-C73</f>
        <v>1296</v>
      </c>
      <c r="D74" s="399">
        <f>D61-D73</f>
        <v>1212</v>
      </c>
      <c r="E74" s="316" t="s">
        <v>259</v>
      </c>
      <c r="G74" s="676">
        <f>E60</f>
        <v>41</v>
      </c>
      <c r="H74" s="660" t="str">
        <f>CONCATENATE("",E1," Non-AV Receipts (est.)")</f>
        <v>2013 Non-AV Receipts (est.)</v>
      </c>
      <c r="I74" s="678"/>
      <c r="J74" s="713"/>
      <c r="K74" s="626"/>
    </row>
    <row r="75" spans="2:11" ht="15.75">
      <c r="B75" s="117" t="str">
        <f>CONCATENATE("",$E$1-2,"/",$E$1-1," Budget Authority Amount:")</f>
        <v>2011/2012 Budget Authority Amount:</v>
      </c>
      <c r="C75" s="339">
        <f>inputOth!$B90</f>
        <v>1922</v>
      </c>
      <c r="D75" s="83">
        <f>inputPrYr!$D27</f>
        <v>2013</v>
      </c>
      <c r="E75" s="316" t="s">
        <v>259</v>
      </c>
      <c r="F75" s="325"/>
      <c r="G75" s="685">
        <f>IF(E79&gt;0,E78,E80)</f>
        <v>900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2153</v>
      </c>
      <c r="H76" s="660" t="str">
        <f>CONCATENATE("Total ",E1," Resources Available")</f>
        <v>Total 2013 Resources Available</v>
      </c>
      <c r="I76" s="716"/>
      <c r="J76" s="713"/>
      <c r="K76" s="626"/>
    </row>
    <row r="77" spans="2:11" ht="15.75">
      <c r="B77" s="504" t="str">
        <f>CONCATENATE(C87,"     ",D87)</f>
        <v>     </v>
      </c>
      <c r="C77" s="820" t="s">
        <v>732</v>
      </c>
      <c r="D77" s="821"/>
      <c r="E77" s="262">
        <f>E73+E76</f>
        <v>2153</v>
      </c>
      <c r="G77" s="717"/>
      <c r="H77" s="718"/>
      <c r="I77" s="659"/>
      <c r="J77" s="713"/>
      <c r="K77" s="626"/>
    </row>
    <row r="78" spans="2:11" ht="15.75">
      <c r="B78" s="504" t="str">
        <f>CONCATENATE(C88,"     ",D88)</f>
        <v>     </v>
      </c>
      <c r="C78" s="507"/>
      <c r="D78" s="506" t="s">
        <v>292</v>
      </c>
      <c r="E78" s="182">
        <f>IF(E77-E61&gt;0,E77-E61,0)</f>
        <v>900</v>
      </c>
      <c r="G78" s="685">
        <f>ROUND(C73*0.05+C73,0)</f>
        <v>877</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1276</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900</v>
      </c>
      <c r="G80" s="626"/>
      <c r="H80" s="626"/>
      <c r="I80" s="626"/>
      <c r="J80" s="626"/>
      <c r="K80" s="626"/>
    </row>
    <row r="81" spans="2:11" ht="15.75">
      <c r="B81" s="211" t="s">
        <v>273</v>
      </c>
      <c r="C81" s="329">
        <v>5</v>
      </c>
      <c r="D81" s="65"/>
      <c r="E81" s="65"/>
      <c r="G81" s="837" t="s">
        <v>871</v>
      </c>
      <c r="H81" s="838"/>
      <c r="I81" s="838"/>
      <c r="J81" s="839"/>
      <c r="K81" s="626"/>
    </row>
    <row r="82" spans="2:11" ht="15.75">
      <c r="B82" s="113"/>
      <c r="G82" s="700"/>
      <c r="H82" s="677"/>
      <c r="I82" s="701"/>
      <c r="J82" s="702"/>
      <c r="K82" s="626"/>
    </row>
    <row r="83" spans="7:11" ht="15.75">
      <c r="G83" s="703">
        <f>summ!H25</f>
        <v>0.125</v>
      </c>
      <c r="H83" s="677" t="str">
        <f>CONCATENATE("",E1," Fund Mill Rate")</f>
        <v>2013 Fund Mill Rate</v>
      </c>
      <c r="I83" s="701"/>
      <c r="J83" s="702"/>
      <c r="K83" s="626"/>
    </row>
    <row r="84" spans="7:11" ht="15.75">
      <c r="G84" s="704">
        <f>summ!E25</f>
        <v>0.141</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0.167</v>
      </c>
      <c r="H89" s="677" t="str">
        <f>CONCATENATE("Total ",E1," Mill Rate")</f>
        <v>Total 2013 Mill Rate</v>
      </c>
      <c r="I89" s="701"/>
      <c r="J89" s="702"/>
    </row>
    <row r="90" spans="7:10" ht="15.75">
      <c r="G90" s="704">
        <f>summ!E36</f>
        <v>0.20099999999999998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Liberty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ResPub!E14</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0.167</v>
      </c>
      <c r="H45" s="677" t="str">
        <f>CONCATENATE("Total ",E1," Mill Rate")</f>
        <v>Total 2013 Mill Rate</v>
      </c>
      <c r="I45" s="701"/>
      <c r="J45" s="702"/>
      <c r="K45" s="626"/>
    </row>
    <row r="46" spans="2:11" ht="15.75">
      <c r="B46" s="80" t="s">
        <v>70</v>
      </c>
      <c r="C46" s="314"/>
      <c r="D46" s="395">
        <f>C74</f>
        <v>0</v>
      </c>
      <c r="E46" s="262">
        <f>D74</f>
        <v>0</v>
      </c>
      <c r="G46" s="704">
        <f>summ!E36</f>
        <v>0.20099999999999998</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ResPub!E15</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0.167</v>
      </c>
      <c r="H89" s="677" t="str">
        <f>CONCATENATE("Total ",E1," Mill Rate")</f>
        <v>Total 2013 Mill Rate</v>
      </c>
      <c r="I89" s="701"/>
      <c r="J89" s="702"/>
    </row>
    <row r="90" spans="7:10" ht="15.75">
      <c r="G90" s="704">
        <f>summ!E36</f>
        <v>0.20099999999999998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Liberty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ResPub!E16</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0.167</v>
      </c>
      <c r="H45" s="677" t="str">
        <f>CONCATENATE("Total ",E1," Mill Rate")</f>
        <v>Total 2013 Mill Rate</v>
      </c>
      <c r="I45" s="701"/>
      <c r="J45" s="702"/>
      <c r="K45" s="626"/>
    </row>
    <row r="46" spans="2:11" ht="15.75">
      <c r="B46" s="80" t="s">
        <v>70</v>
      </c>
      <c r="C46" s="314"/>
      <c r="D46" s="395">
        <f>C74</f>
        <v>0</v>
      </c>
      <c r="E46" s="262">
        <f>D74</f>
        <v>0</v>
      </c>
      <c r="G46" s="704">
        <f>summ!E36</f>
        <v>0.20099999999999998</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ResPub!E17</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0.167</v>
      </c>
      <c r="H89" s="677" t="str">
        <f>CONCATENATE("Total ",E1," Mill Rate")</f>
        <v>Total 2013 Mill Rate</v>
      </c>
      <c r="I89" s="701"/>
      <c r="J89" s="702"/>
    </row>
    <row r="90" spans="7:10" ht="15.75">
      <c r="G90" s="704">
        <f>summ!E36</f>
        <v>0.20099999999999998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1">
      <selection activeCell="E72" sqref="E72"/>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956</v>
      </c>
      <c r="E3" s="71"/>
    </row>
    <row r="4" spans="1:5" ht="15.75">
      <c r="A4" s="157" t="s">
        <v>228</v>
      </c>
      <c r="B4" s="65"/>
      <c r="C4" s="65"/>
      <c r="D4" s="158" t="s">
        <v>957</v>
      </c>
      <c r="E4" s="71"/>
    </row>
    <row r="5" spans="1:5" ht="15.75">
      <c r="A5" s="65"/>
      <c r="B5" s="65"/>
      <c r="C5" s="65"/>
      <c r="D5" s="65"/>
      <c r="E5" s="65"/>
    </row>
    <row r="6" spans="1:5" ht="15.75">
      <c r="A6" s="159" t="s">
        <v>150</v>
      </c>
      <c r="B6" s="65"/>
      <c r="C6" s="65"/>
      <c r="D6" s="368" t="s">
        <v>958</v>
      </c>
      <c r="E6" s="65"/>
    </row>
    <row r="7" spans="1:5" ht="15.75">
      <c r="A7" s="159" t="s">
        <v>151</v>
      </c>
      <c r="B7" s="65"/>
      <c r="C7" s="65"/>
      <c r="D7" s="111"/>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812</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16789</v>
      </c>
      <c r="E20" s="171">
        <v>300</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c r="E23" s="171"/>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t="s">
        <v>950</v>
      </c>
      <c r="C27" s="488" t="s">
        <v>951</v>
      </c>
      <c r="D27" s="171">
        <v>2013</v>
      </c>
      <c r="E27" s="171">
        <v>700</v>
      </c>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1000</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18802</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0.06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Cemetery</v>
      </c>
      <c r="C56" s="65"/>
      <c r="D56" s="185">
        <v>0.145</v>
      </c>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0.205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1023</v>
      </c>
    </row>
    <row r="64" spans="1:5" ht="15.75">
      <c r="A64" s="188" t="str">
        <f>CONCATENATE("Assessed Valuation (",D9-2," budget column):")</f>
        <v>Assessed Valuation (2011 budget column):</v>
      </c>
      <c r="B64" s="164"/>
      <c r="C64" s="65"/>
      <c r="D64" s="65"/>
      <c r="E64" s="189">
        <v>5046217</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Liberty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Liberty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Liberty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3">
        <f>inputPrYr!B41</f>
        <v>0</v>
      </c>
      <c r="B5" s="844"/>
      <c r="C5" s="843">
        <f>inputPrYr!B42</f>
        <v>0</v>
      </c>
      <c r="D5" s="844"/>
      <c r="E5" s="843">
        <f>inputPrYr!B43</f>
        <v>0</v>
      </c>
      <c r="F5" s="844"/>
      <c r="G5" s="845">
        <f>inputPrYr!B44</f>
        <v>0</v>
      </c>
      <c r="H5" s="844"/>
      <c r="I5" s="845">
        <f>inputPrYr!B45</f>
        <v>0</v>
      </c>
      <c r="J5" s="844"/>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B36">
      <selection activeCell="C54" sqref="C5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92"/>
      <c r="C2" s="792"/>
      <c r="D2" s="792"/>
      <c r="E2" s="792"/>
      <c r="F2" s="792"/>
      <c r="G2" s="792"/>
      <c r="H2" s="792"/>
    </row>
    <row r="3" spans="1:8" ht="15.75">
      <c r="A3" s="367"/>
      <c r="B3" s="65"/>
      <c r="C3" s="65"/>
      <c r="D3" s="65"/>
      <c r="E3" s="65"/>
      <c r="F3" s="72" t="s">
        <v>301</v>
      </c>
      <c r="G3" s="72" t="s">
        <v>302</v>
      </c>
      <c r="H3" s="65"/>
    </row>
    <row r="4" spans="1:8" ht="15.75">
      <c r="A4" s="788" t="s">
        <v>303</v>
      </c>
      <c r="B4" s="788"/>
      <c r="C4" s="788"/>
      <c r="D4" s="788"/>
      <c r="E4" s="788"/>
      <c r="F4" s="788"/>
      <c r="G4" s="788"/>
      <c r="H4" s="788"/>
    </row>
    <row r="5" spans="1:8" ht="15.75">
      <c r="A5" s="791" t="str">
        <f>inputPrYr!D3</f>
        <v>Liberty Township</v>
      </c>
      <c r="B5" s="791"/>
      <c r="C5" s="791"/>
      <c r="D5" s="791"/>
      <c r="E5" s="791"/>
      <c r="F5" s="791"/>
      <c r="G5" s="791"/>
      <c r="H5" s="791"/>
    </row>
    <row r="6" spans="1:8" ht="15.75">
      <c r="A6" s="791" t="str">
        <f>inputPrYr!D4</f>
        <v>Coffey County</v>
      </c>
      <c r="B6" s="791"/>
      <c r="C6" s="791"/>
      <c r="D6" s="791"/>
      <c r="E6" s="791"/>
      <c r="F6" s="791"/>
      <c r="G6" s="791"/>
      <c r="H6" s="791"/>
    </row>
    <row r="7" spans="1:8" ht="15.75">
      <c r="A7" s="856" t="str">
        <f>CONCATENATE("will meet on ",inputBudSum!B8," at ",inputBudSum!B10," at ",inputBudSum!B12," for the purpose of hearing and")</f>
        <v>will meet on September 10, 2012 at 7:00 P.M. at Harvey Lingenfelters' Residence for the purpose of hearing and</v>
      </c>
      <c r="B7" s="856"/>
      <c r="C7" s="856"/>
      <c r="D7" s="856"/>
      <c r="E7" s="856"/>
      <c r="F7" s="856"/>
      <c r="G7" s="856"/>
      <c r="H7" s="856"/>
    </row>
    <row r="8" spans="1:8" ht="15.75">
      <c r="A8" s="788" t="s">
        <v>412</v>
      </c>
      <c r="B8" s="790"/>
      <c r="C8" s="790"/>
      <c r="D8" s="790"/>
      <c r="E8" s="790"/>
      <c r="F8" s="790"/>
      <c r="G8" s="790"/>
      <c r="H8" s="790"/>
    </row>
    <row r="9" spans="1:8" ht="15.75">
      <c r="A9" s="786" t="str">
        <f>CONCATENATE("Detailed budget information is available at ",inputBudSum!B15," and will be available at this hearing.")</f>
        <v>Detailed budget information is available at Harvey Lingenfelters' Residence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80" t="str">
        <f>CONCATENATE("Amount of ",H1-1," Ad Valorem Tax")</f>
        <v>Amount of 2012 Ad Valorem Tax</v>
      </c>
      <c r="H15" s="74" t="s">
        <v>304</v>
      </c>
      <c r="I15" s="199"/>
    </row>
    <row r="16" spans="1:9" ht="15.75">
      <c r="A16" s="75"/>
      <c r="B16" s="76"/>
      <c r="C16" s="76" t="s">
        <v>305</v>
      </c>
      <c r="D16" s="76"/>
      <c r="E16" s="76" t="s">
        <v>305</v>
      </c>
      <c r="F16" s="500" t="s">
        <v>177</v>
      </c>
      <c r="G16" s="854"/>
      <c r="H16" s="76" t="s">
        <v>305</v>
      </c>
      <c r="I16" s="199"/>
    </row>
    <row r="17" spans="1:10" ht="15.75">
      <c r="A17" s="79" t="s">
        <v>255</v>
      </c>
      <c r="B17" s="79" t="s">
        <v>306</v>
      </c>
      <c r="C17" s="79" t="s">
        <v>307</v>
      </c>
      <c r="D17" s="79" t="s">
        <v>306</v>
      </c>
      <c r="E17" s="79" t="s">
        <v>307</v>
      </c>
      <c r="F17" s="499" t="s">
        <v>730</v>
      </c>
      <c r="G17" s="855"/>
      <c r="H17" s="79" t="s">
        <v>307</v>
      </c>
      <c r="I17" s="199"/>
      <c r="J17" s="532"/>
    </row>
    <row r="18" spans="1:10" ht="15.75">
      <c r="A18" s="90" t="str">
        <f>inputPrYr!B20</f>
        <v>General</v>
      </c>
      <c r="B18" s="90">
        <f>IF(gen!$C$50&lt;&gt;0,gen!$C$50,"  ")</f>
        <v>218</v>
      </c>
      <c r="C18" s="93">
        <f>IF(inputPrYr!D49&gt;0,inputPrYr!D49,"  ")</f>
        <v>0.06</v>
      </c>
      <c r="D18" s="90">
        <f>IF(gen!$D$50&lt;&gt;0,gen!$D$50,"  ")</f>
        <v>220</v>
      </c>
      <c r="E18" s="93">
        <f>IF(inputOth!D37&gt;0,inputOth!D37,"  ")</f>
        <v>0.06</v>
      </c>
      <c r="F18" s="90">
        <f>IF(gen!$E$50&lt;&gt;0,gen!$E$50,"  ")</f>
        <v>16887</v>
      </c>
      <c r="G18" s="90">
        <f>IF(gen!$E$57&lt;&gt;0,gen!$E$57,"")</f>
        <v>300</v>
      </c>
      <c r="H18" s="93">
        <f>IF(gen!E57&gt;0,ROUND(G18/F40*1000,3)," ")</f>
        <v>0.042</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75">
      <c r="A25" s="90" t="str">
        <f>IF(inputPrYr!$B27&gt;"  ",inputPrYr!$B27,"  ")</f>
        <v>Cemetery</v>
      </c>
      <c r="B25" s="90">
        <f>IF(levypage10!$C$73&lt;&gt;0,levypage10!$C$73,"  ")</f>
        <v>835</v>
      </c>
      <c r="C25" s="93">
        <f>IF(inputPrYr!D56&gt;0,inputPrYr!D56,"  ")</f>
        <v>0.145</v>
      </c>
      <c r="D25" s="90">
        <f>IF(levypage10!$D$73&lt;&gt;0,levypage10!$D$73,"  ")</f>
        <v>860</v>
      </c>
      <c r="E25" s="93">
        <f>IF(inputOth!D44&gt;0,inputOth!D44,"  ")</f>
        <v>0.141</v>
      </c>
      <c r="F25" s="90">
        <f>IF(levypage10!$E$73&lt;&gt;0,levypage10!$E$73,"  ")</f>
        <v>2153</v>
      </c>
      <c r="G25" s="90">
        <f>IF(levypage10!$E$80&lt;&gt;0,levypage10!$E$80,"  ")</f>
        <v>900</v>
      </c>
      <c r="H25" s="93">
        <f>IF(levypage10!E80&gt;0,ROUND(G25/F40*1000,3)," ")</f>
        <v>0.125</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7210</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5306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0.20099999999999998</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75">
      <c r="A34" s="90" t="str">
        <f>IF((inputPrYr!$B41&gt;"  "),(nonbud!$A3),"  ")</f>
        <v>  </v>
      </c>
      <c r="B34" s="746" t="str">
        <f>IF((nonbud!$K$28)&lt;&gt;0,(nonbud!$K$28),"  ")</f>
        <v>  </v>
      </c>
      <c r="C34" s="339"/>
      <c r="D34" s="90"/>
      <c r="E34" s="93"/>
      <c r="F34" s="90"/>
      <c r="G34" s="90"/>
      <c r="H34" s="93"/>
      <c r="J34" s="519" t="s">
        <v>750</v>
      </c>
      <c r="K34" s="516"/>
      <c r="L34" s="516"/>
      <c r="M34" s="518">
        <f>M46*-1</f>
        <v>249</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1053</v>
      </c>
      <c r="C36" s="481">
        <f t="shared" si="0"/>
        <v>0.205</v>
      </c>
      <c r="D36" s="480">
        <f t="shared" si="0"/>
        <v>1080</v>
      </c>
      <c r="E36" s="481">
        <f t="shared" si="0"/>
        <v>0.20099999999999998</v>
      </c>
      <c r="F36" s="480">
        <f t="shared" si="0"/>
        <v>19040</v>
      </c>
      <c r="G36" s="480">
        <f t="shared" si="0"/>
        <v>1200</v>
      </c>
      <c r="H36" s="481">
        <f t="shared" si="0"/>
        <v>0.167</v>
      </c>
      <c r="J36" s="846" t="str">
        <f>CONCATENATE("Impact On Keeping The Same Mill Rate As For ",H1-1,"")</f>
        <v>Impact On Keeping The Same Mill Rate As For 2012</v>
      </c>
      <c r="K36" s="849"/>
      <c r="L36" s="849"/>
      <c r="M36" s="850"/>
    </row>
    <row r="37" spans="1:13" ht="15.75">
      <c r="A37" s="105" t="s">
        <v>308</v>
      </c>
      <c r="B37" s="90">
        <f>transfer!C29</f>
        <v>0</v>
      </c>
      <c r="C37" s="65"/>
      <c r="D37" s="90">
        <f>transfer!D29</f>
        <v>0</v>
      </c>
      <c r="E37" s="208"/>
      <c r="F37" s="90">
        <f>transfer!E29</f>
        <v>0</v>
      </c>
      <c r="G37" s="65"/>
      <c r="H37" s="65"/>
      <c r="J37" s="525"/>
      <c r="K37" s="530"/>
      <c r="L37" s="530"/>
      <c r="M37" s="524"/>
    </row>
    <row r="38" spans="1:13" ht="16.5" thickBot="1">
      <c r="A38" s="105" t="s">
        <v>309</v>
      </c>
      <c r="B38" s="484">
        <f>B36-B37</f>
        <v>1053</v>
      </c>
      <c r="C38" s="65"/>
      <c r="D38" s="484">
        <f>D36-D37</f>
        <v>1080</v>
      </c>
      <c r="E38" s="65"/>
      <c r="F38" s="484">
        <f>F36-F37</f>
        <v>19040</v>
      </c>
      <c r="G38" s="65"/>
      <c r="H38" s="65"/>
      <c r="J38" s="525" t="str">
        <f>CONCATENATE("",H1," Ad Valorem Tax Rev(Township Only):")</f>
        <v>2013 Ad Valorem Tax Rev(Township Only):</v>
      </c>
      <c r="K38" s="530"/>
      <c r="L38" s="530"/>
      <c r="M38" s="529">
        <f>SUM(G21:G24)</f>
        <v>0</v>
      </c>
    </row>
    <row r="39" spans="1:13" ht="16.5" thickTop="1">
      <c r="A39" s="105" t="s">
        <v>0</v>
      </c>
      <c r="B39" s="231">
        <f>inputPrYr!E63</f>
        <v>1023</v>
      </c>
      <c r="C39" s="208"/>
      <c r="D39" s="231">
        <f>inputPrYr!E32</f>
        <v>1000</v>
      </c>
      <c r="E39" s="65"/>
      <c r="F39" s="485" t="s">
        <v>259</v>
      </c>
      <c r="G39" s="65"/>
      <c r="H39" s="65"/>
      <c r="J39" s="525" t="str">
        <f>CONCATENATE("",H1," Ad Valorem Tax Rev(Township Tot):")</f>
        <v>2013 Ad Valorem Tax Rev(Township Tot):</v>
      </c>
      <c r="K39" s="530"/>
      <c r="L39" s="530"/>
      <c r="M39" s="543">
        <f>SUM(G18,G19,G20,G25,G26,G27,G28,G29)</f>
        <v>1200</v>
      </c>
    </row>
    <row r="40" spans="1:13" ht="15.75">
      <c r="A40" s="105" t="s">
        <v>184</v>
      </c>
      <c r="B40" s="90">
        <f>inputPrYr!E64</f>
        <v>5046217</v>
      </c>
      <c r="C40" s="208"/>
      <c r="D40" s="90">
        <f>inputOth!E55</f>
        <v>8148363</v>
      </c>
      <c r="E40" s="208"/>
      <c r="F40" s="90">
        <f>inputOth!E11</f>
        <v>7210485</v>
      </c>
      <c r="G40" s="65"/>
      <c r="H40" s="65"/>
      <c r="J40" s="525" t="str">
        <f>CONCATENATE("Total ",H1," Ad Valorem Tax Revenue:")</f>
        <v>Total 2013 Ad Valorem Tax Revenue:</v>
      </c>
      <c r="K40" s="511"/>
      <c r="L40" s="511"/>
      <c r="M40" s="544">
        <f>M38+M39</f>
        <v>1200</v>
      </c>
    </row>
    <row r="41" spans="1:14" ht="15.75">
      <c r="A41" s="80" t="s">
        <v>239</v>
      </c>
      <c r="B41" s="209"/>
      <c r="C41" s="65"/>
      <c r="D41" s="178"/>
      <c r="E41" s="65"/>
      <c r="F41" s="90">
        <f>inputOth!E8</f>
        <v>5306244</v>
      </c>
      <c r="G41" s="65"/>
      <c r="H41" s="65"/>
      <c r="J41" s="525" t="str">
        <f>CONCATENATE("",H1-1," Ad Valorem Tax Rev(Township Only):")</f>
        <v>2012 Ad Valorem Tax Rev(Township Only):</v>
      </c>
      <c r="K41" s="530"/>
      <c r="L41" s="530"/>
      <c r="M41" s="545">
        <f>ROUND(SUM(E21:E24)*F41/1000,0)</f>
        <v>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1449</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1449</v>
      </c>
      <c r="O43" s="537"/>
    </row>
    <row r="44" spans="1:13" ht="15.75">
      <c r="A44" s="72" t="s">
        <v>2</v>
      </c>
      <c r="B44" s="210">
        <f>H1-3</f>
        <v>2010</v>
      </c>
      <c r="C44" s="65"/>
      <c r="D44" s="210">
        <f>H1-2</f>
        <v>2011</v>
      </c>
      <c r="E44" s="65"/>
      <c r="F44" s="210">
        <f>H1-1</f>
        <v>2012</v>
      </c>
      <c r="G44" s="65"/>
      <c r="H44" s="65"/>
      <c r="J44" s="522" t="s">
        <v>740</v>
      </c>
      <c r="K44" s="521"/>
      <c r="L44" s="521"/>
      <c r="M44" s="520">
        <f>M40-M43</f>
        <v>-249</v>
      </c>
    </row>
    <row r="45" spans="1:13" ht="15.75">
      <c r="A45" s="72" t="s">
        <v>3</v>
      </c>
      <c r="B45" s="83">
        <f>inputPrYr!D67</f>
        <v>0</v>
      </c>
      <c r="C45" s="69"/>
      <c r="D45" s="83">
        <f>inputPrYr!E67</f>
        <v>0</v>
      </c>
      <c r="E45" s="69"/>
      <c r="F45" s="83">
        <f>debt!F11</f>
        <v>0</v>
      </c>
      <c r="G45" s="65"/>
      <c r="H45" s="65"/>
      <c r="J45" s="548" t="s">
        <v>745</v>
      </c>
      <c r="K45" s="549"/>
      <c r="L45" s="549"/>
      <c r="M45" s="544">
        <f>M38-M41</f>
        <v>0</v>
      </c>
    </row>
    <row r="46" spans="1:13" ht="15.75">
      <c r="A46" s="72" t="s">
        <v>285</v>
      </c>
      <c r="B46" s="83">
        <f>inputPrYr!D68</f>
        <v>0</v>
      </c>
      <c r="C46" s="69"/>
      <c r="D46" s="83">
        <f>inputPrYr!E68</f>
        <v>0</v>
      </c>
      <c r="E46" s="69"/>
      <c r="F46" s="83">
        <f>debt!F15</f>
        <v>0</v>
      </c>
      <c r="G46" s="65"/>
      <c r="H46" s="367"/>
      <c r="J46" s="519" t="s">
        <v>744</v>
      </c>
      <c r="K46" s="516"/>
      <c r="L46" s="516"/>
      <c r="M46" s="518">
        <f>M39-M42</f>
        <v>-249</v>
      </c>
    </row>
    <row r="47" spans="1:8" ht="15.7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6" t="s">
        <v>741</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3" t="str">
        <f>inputBudSum!B4</f>
        <v>Harvey Lingenfelter</v>
      </c>
      <c r="B51" s="853"/>
      <c r="C51" s="65"/>
      <c r="D51" s="65"/>
      <c r="E51" s="65"/>
      <c r="F51" s="65"/>
      <c r="G51" s="65"/>
      <c r="H51" s="65"/>
      <c r="J51" s="525" t="str">
        <f>CONCATENATE("Current ",$H$1," Estimated Mill Rate:")</f>
        <v>Current 2013 Estimated Mill Rate:</v>
      </c>
      <c r="K51" s="530"/>
      <c r="L51" s="530"/>
      <c r="M51" s="540">
        <f>IF(M50=0,0,$H$36)</f>
        <v>0.167</v>
      </c>
    </row>
    <row r="52" spans="1:13" ht="15.75">
      <c r="A52" s="857" t="str">
        <f>inputBudSum!B6</f>
        <v>Treasurer</v>
      </c>
      <c r="B52" s="858"/>
      <c r="C52" s="65"/>
      <c r="D52" s="65"/>
      <c r="E52" s="65"/>
      <c r="F52" s="65"/>
      <c r="G52" s="65"/>
      <c r="H52" s="65"/>
      <c r="J52" s="525" t="s">
        <v>746</v>
      </c>
      <c r="K52" s="530"/>
      <c r="L52" s="530"/>
      <c r="M52" s="541">
        <f>M50-M51</f>
        <v>11.833</v>
      </c>
    </row>
    <row r="53" spans="1:13" ht="15.75">
      <c r="A53" s="65"/>
      <c r="B53" s="65"/>
      <c r="C53" s="65"/>
      <c r="D53" s="65"/>
      <c r="E53" s="65"/>
      <c r="F53" s="65"/>
      <c r="G53" s="65"/>
      <c r="H53" s="65"/>
      <c r="J53" s="510" t="s">
        <v>747</v>
      </c>
      <c r="K53" s="71"/>
      <c r="L53" s="71"/>
      <c r="M53" s="538">
        <f>IF(M50=0,0,ROUND(SUM(H21:H24)/M51,2))</f>
        <v>0</v>
      </c>
    </row>
    <row r="54" spans="1:13" ht="15.75">
      <c r="A54" s="65"/>
      <c r="B54" s="211" t="s">
        <v>273</v>
      </c>
      <c r="C54" s="212">
        <v>6</v>
      </c>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0</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11" sqref="F11"/>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Liberty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t="str">
        <f>IF(inputPrYr!B27&gt;0,inputPrYr!B27,"")</f>
        <v>Cemetery</v>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7210485</v>
      </c>
      <c r="E21" s="65"/>
      <c r="F21" s="192"/>
    </row>
    <row r="22" spans="1:6" ht="15.75">
      <c r="A22" s="65"/>
      <c r="B22" s="65"/>
      <c r="C22" s="65"/>
      <c r="D22" s="65"/>
      <c r="E22" s="65"/>
      <c r="F22" s="192"/>
    </row>
    <row r="23" spans="1:6" ht="15.75">
      <c r="A23" s="65"/>
      <c r="B23" s="861" t="s">
        <v>379</v>
      </c>
      <c r="C23" s="861"/>
      <c r="D23" s="349">
        <f>IF(D21&gt;0,(D21*0.001),"")</f>
        <v>7210.485000000001</v>
      </c>
      <c r="E23" s="65"/>
      <c r="F23" s="192"/>
    </row>
    <row r="24" spans="1:6" ht="15.75">
      <c r="A24" s="65"/>
      <c r="B24" s="117"/>
      <c r="C24" s="117"/>
      <c r="D24" s="350"/>
      <c r="E24" s="65"/>
      <c r="F24" s="192"/>
    </row>
    <row r="25" spans="1:6" ht="15.75">
      <c r="A25" s="859" t="s">
        <v>380</v>
      </c>
      <c r="B25" s="792"/>
      <c r="C25" s="792"/>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9">
      <selection activeCell="B48" sqref="B48"/>
    </sheetView>
  </sheetViews>
  <sheetFormatPr defaultColWidth="8.796875" defaultRowHeight="15.75"/>
  <sheetData>
    <row r="1" spans="1:7" ht="15.75">
      <c r="A1" s="867" t="s">
        <v>81</v>
      </c>
      <c r="B1" s="867"/>
      <c r="C1" s="867"/>
      <c r="D1" s="867"/>
      <c r="E1" s="867"/>
      <c r="F1" s="867"/>
      <c r="G1" s="867"/>
    </row>
    <row r="2" ht="15.75">
      <c r="A2" s="21"/>
    </row>
    <row r="3" spans="1:7" ht="15.75">
      <c r="A3" s="868" t="s">
        <v>82</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869" t="str">
        <f>CONCATENATE("   with respect to financing the ",inputPrYr!D9," annual budget for ",(inputPrYr!D3)," , ",(inputPrYr!D4)," , Kansas.")</f>
        <v>   with respect to financing the 2013 annual budget for Liberty Township , Coffey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Liberty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88</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84</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Liberty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Coffey County, Kansas that is our desire to notify the public of increased property taxes to finance the 2013 Liberty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Liberty Township Board, Coffey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Liberty Township Board</v>
      </c>
      <c r="E33" s="863"/>
      <c r="F33" s="863"/>
      <c r="G33" s="863"/>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273</v>
      </c>
      <c r="D50" s="63">
        <v>7</v>
      </c>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8">
      <selection activeCell="B91" sqref="B9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Liberty Township</v>
      </c>
      <c r="B1" s="30"/>
      <c r="C1" s="30"/>
      <c r="D1" s="30"/>
      <c r="E1" s="30">
        <f>inputPrYr!D9</f>
        <v>2013</v>
      </c>
    </row>
    <row r="2" spans="1:5" ht="15.75">
      <c r="A2" s="41" t="str">
        <f>inputPrYr!D4</f>
        <v>Coffey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5306244</v>
      </c>
    </row>
    <row r="9" spans="1:5" ht="15.75">
      <c r="A9" s="15" t="str">
        <f>inputPrYr!$D$6</f>
        <v>Gridley City</v>
      </c>
      <c r="B9" s="16"/>
      <c r="C9" s="16"/>
      <c r="D9" s="16"/>
      <c r="E9" s="35">
        <v>1904241</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7210485</v>
      </c>
    </row>
    <row r="12" spans="1:5" ht="15.75">
      <c r="A12" s="54" t="str">
        <f>CONCATENATE("New Improvements for ",E1-1,":")</f>
        <v>New Improvements for 2012:</v>
      </c>
      <c r="B12" s="10"/>
      <c r="C12" s="10"/>
      <c r="D12" s="10"/>
      <c r="E12" s="34"/>
    </row>
    <row r="13" spans="1:5" ht="15.75">
      <c r="A13" s="13" t="s">
        <v>159</v>
      </c>
      <c r="B13" s="14"/>
      <c r="C13" s="14"/>
      <c r="D13" s="14"/>
      <c r="E13" s="52"/>
    </row>
    <row r="14" spans="1:5" ht="15.75">
      <c r="A14" s="15" t="str">
        <f>inputPrYr!$D$6</f>
        <v>Gridley City</v>
      </c>
      <c r="B14" s="14"/>
      <c r="C14" s="14"/>
      <c r="D14" s="14"/>
      <c r="E14" s="3">
        <v>0</v>
      </c>
    </row>
    <row r="15" spans="1:5" ht="15.75">
      <c r="A15" s="15">
        <f>inputPrYr!$D$7</f>
        <v>0</v>
      </c>
      <c r="B15" s="14"/>
      <c r="C15" s="14"/>
      <c r="D15" s="14"/>
      <c r="E15" s="3">
        <v>0</v>
      </c>
    </row>
    <row r="16" spans="1:5" ht="15.75">
      <c r="A16" s="15" t="str">
        <f>CONCATENATE("Total New Improvements for ",$E$1-1,"")</f>
        <v>Total New Improvements for 2012</v>
      </c>
      <c r="B16" s="16"/>
      <c r="C16" s="16"/>
      <c r="D16" s="16"/>
      <c r="E16" s="51">
        <f>SUM(E13:E15)</f>
        <v>0</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511527</v>
      </c>
    </row>
    <row r="19" spans="1:5" ht="15.75">
      <c r="A19" s="15" t="str">
        <f>inputPrYr!$D$6</f>
        <v>Gridley City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511527</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0</v>
      </c>
    </row>
    <row r="24" spans="1:5" ht="15.75">
      <c r="A24" s="15" t="str">
        <f>inputPrYr!$D$6</f>
        <v>Gridley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0</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168702</v>
      </c>
    </row>
    <row r="29" spans="1:5" ht="15.75">
      <c r="A29" s="15" t="str">
        <f>inputPrYr!$D$6</f>
        <v>Gridley City</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168702</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0.06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Cemetery</v>
      </c>
      <c r="B44" s="16"/>
      <c r="C44" s="10"/>
      <c r="D44" s="50">
        <v>0.141</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0.20099999999999998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4963821</v>
      </c>
    </row>
    <row r="53" spans="1:5" ht="15.75">
      <c r="A53" s="16" t="str">
        <f>inputPrYr!D6</f>
        <v>Gridley City</v>
      </c>
      <c r="B53" s="16"/>
      <c r="C53" s="16"/>
      <c r="D53" s="20"/>
      <c r="E53" s="4">
        <v>3184542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8148363</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49</v>
      </c>
    </row>
    <row r="60" spans="1:5" ht="15.75">
      <c r="A60" s="15" t="s">
        <v>246</v>
      </c>
      <c r="B60" s="16"/>
      <c r="C60" s="16"/>
      <c r="D60" s="40"/>
      <c r="E60" s="2">
        <v>3</v>
      </c>
    </row>
    <row r="61" spans="1:5" ht="15.75">
      <c r="A61" s="15" t="s">
        <v>112</v>
      </c>
      <c r="B61" s="16"/>
      <c r="C61" s="16"/>
      <c r="D61" s="40"/>
      <c r="E61" s="2">
        <v>7</v>
      </c>
    </row>
    <row r="62" spans="1:5" ht="15.75">
      <c r="A62" s="44" t="s">
        <v>156</v>
      </c>
      <c r="B62" s="45"/>
      <c r="C62" s="16"/>
      <c r="D62" s="40"/>
      <c r="E62" s="31"/>
    </row>
    <row r="63" spans="1:5" ht="15.75">
      <c r="A63" s="13" t="s">
        <v>153</v>
      </c>
      <c r="B63" s="16"/>
      <c r="C63" s="16"/>
      <c r="D63" s="40"/>
      <c r="E63" s="2"/>
    </row>
    <row r="64" spans="1:5" ht="15.75">
      <c r="A64" s="15" t="s">
        <v>154</v>
      </c>
      <c r="B64" s="16"/>
      <c r="C64" s="16"/>
      <c r="D64" s="40"/>
      <c r="E64" s="2"/>
    </row>
    <row r="65" spans="1:5" ht="15.75">
      <c r="A65" s="15" t="s">
        <v>155</v>
      </c>
      <c r="B65" s="16"/>
      <c r="C65" s="16"/>
      <c r="D65" s="40"/>
      <c r="E65" s="2"/>
    </row>
    <row r="66" spans="1:5" ht="15.75">
      <c r="A66" s="44" t="s">
        <v>157</v>
      </c>
      <c r="B66" s="45"/>
      <c r="C66" s="16"/>
      <c r="D66" s="40"/>
      <c r="E66" s="31"/>
    </row>
    <row r="67" spans="1:5" ht="15.75">
      <c r="A67" s="13" t="s">
        <v>153</v>
      </c>
      <c r="B67" s="16"/>
      <c r="C67" s="16"/>
      <c r="D67" s="40"/>
      <c r="E67" s="2"/>
    </row>
    <row r="68" spans="1:5" ht="15.75">
      <c r="A68" s="15" t="s">
        <v>154</v>
      </c>
      <c r="B68" s="16"/>
      <c r="C68" s="16"/>
      <c r="D68" s="40"/>
      <c r="E68" s="2"/>
    </row>
    <row r="69" spans="1:5" ht="15.75">
      <c r="A69" s="15" t="s">
        <v>155</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16688</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Cemetery</v>
      </c>
      <c r="B90" s="4">
        <v>1922</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2" t="s">
        <v>661</v>
      </c>
      <c r="C6" s="873"/>
      <c r="D6" s="873"/>
      <c r="E6" s="873"/>
      <c r="F6" s="873"/>
      <c r="G6" s="873"/>
      <c r="H6" s="873"/>
      <c r="I6" s="873"/>
      <c r="J6" s="873"/>
      <c r="K6" s="873"/>
      <c r="L6" s="402"/>
    </row>
    <row r="7" spans="1:12" ht="40.5" customHeight="1">
      <c r="A7" s="400"/>
      <c r="B7" s="874" t="s">
        <v>662</v>
      </c>
      <c r="C7" s="875"/>
      <c r="D7" s="875"/>
      <c r="E7" s="875"/>
      <c r="F7" s="875"/>
      <c r="G7" s="875"/>
      <c r="H7" s="875"/>
      <c r="I7" s="875"/>
      <c r="J7" s="875"/>
      <c r="K7" s="875"/>
      <c r="L7" s="400"/>
    </row>
    <row r="8" spans="1:12" ht="14.25">
      <c r="A8" s="400"/>
      <c r="B8" s="876" t="s">
        <v>663</v>
      </c>
      <c r="C8" s="876"/>
      <c r="D8" s="876"/>
      <c r="E8" s="876"/>
      <c r="F8" s="876"/>
      <c r="G8" s="876"/>
      <c r="H8" s="876"/>
      <c r="I8" s="876"/>
      <c r="J8" s="876"/>
      <c r="K8" s="876"/>
      <c r="L8" s="400"/>
    </row>
    <row r="9" spans="1:12" ht="14.25">
      <c r="A9" s="400"/>
      <c r="L9" s="400"/>
    </row>
    <row r="10" spans="1:12" ht="14.25">
      <c r="A10" s="400"/>
      <c r="B10" s="876" t="s">
        <v>664</v>
      </c>
      <c r="C10" s="876"/>
      <c r="D10" s="876"/>
      <c r="E10" s="876"/>
      <c r="F10" s="876"/>
      <c r="G10" s="876"/>
      <c r="H10" s="876"/>
      <c r="I10" s="876"/>
      <c r="J10" s="876"/>
      <c r="K10" s="876"/>
      <c r="L10" s="400"/>
    </row>
    <row r="11" spans="1:12" ht="14.25">
      <c r="A11" s="400"/>
      <c r="B11" s="403"/>
      <c r="C11" s="403"/>
      <c r="D11" s="403"/>
      <c r="E11" s="403"/>
      <c r="F11" s="403"/>
      <c r="G11" s="403"/>
      <c r="H11" s="403"/>
      <c r="I11" s="403"/>
      <c r="J11" s="403"/>
      <c r="K11" s="403"/>
      <c r="L11" s="400"/>
    </row>
    <row r="12" spans="1:12" ht="32.25" customHeight="1">
      <c r="A12" s="400"/>
      <c r="B12" s="877" t="s">
        <v>665</v>
      </c>
      <c r="C12" s="877"/>
      <c r="D12" s="877"/>
      <c r="E12" s="877"/>
      <c r="F12" s="877"/>
      <c r="G12" s="877"/>
      <c r="H12" s="877"/>
      <c r="I12" s="877"/>
      <c r="J12" s="877"/>
      <c r="K12" s="877"/>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71">
        <v>133685008</v>
      </c>
      <c r="G23" s="871"/>
      <c r="L23" s="400"/>
    </row>
    <row r="24" spans="1:12" ht="14.25">
      <c r="A24" s="400"/>
      <c r="L24" s="400"/>
    </row>
    <row r="25" spans="1:12" ht="14.25">
      <c r="A25" s="400"/>
      <c r="C25" s="878">
        <f>F23</f>
        <v>133685008</v>
      </c>
      <c r="D25" s="878"/>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9" t="s">
        <v>662</v>
      </c>
      <c r="C30" s="879"/>
      <c r="D30" s="879"/>
      <c r="E30" s="879"/>
      <c r="F30" s="879"/>
      <c r="G30" s="879"/>
      <c r="H30" s="879"/>
      <c r="I30" s="879"/>
      <c r="J30" s="879"/>
      <c r="K30" s="879"/>
      <c r="L30" s="400"/>
    </row>
    <row r="31" spans="1:12" ht="14.25">
      <c r="A31" s="400"/>
      <c r="B31" s="876" t="s">
        <v>676</v>
      </c>
      <c r="C31" s="876"/>
      <c r="D31" s="876"/>
      <c r="E31" s="876"/>
      <c r="F31" s="876"/>
      <c r="G31" s="876"/>
      <c r="H31" s="876"/>
      <c r="I31" s="876"/>
      <c r="J31" s="876"/>
      <c r="K31" s="876"/>
      <c r="L31" s="400"/>
    </row>
    <row r="32" spans="1:12" ht="14.25">
      <c r="A32" s="400"/>
      <c r="L32" s="400"/>
    </row>
    <row r="33" spans="1:12" ht="14.25">
      <c r="A33" s="400"/>
      <c r="B33" s="876" t="s">
        <v>677</v>
      </c>
      <c r="C33" s="876"/>
      <c r="D33" s="876"/>
      <c r="E33" s="876"/>
      <c r="F33" s="876"/>
      <c r="G33" s="876"/>
      <c r="H33" s="876"/>
      <c r="I33" s="876"/>
      <c r="J33" s="876"/>
      <c r="K33" s="876"/>
      <c r="L33" s="400"/>
    </row>
    <row r="34" spans="1:12" ht="14.25">
      <c r="A34" s="400"/>
      <c r="L34" s="400"/>
    </row>
    <row r="35" spans="1:12" ht="89.25" customHeight="1">
      <c r="A35" s="400"/>
      <c r="B35" s="877" t="s">
        <v>678</v>
      </c>
      <c r="C35" s="880"/>
      <c r="D35" s="880"/>
      <c r="E35" s="880"/>
      <c r="F35" s="880"/>
      <c r="G35" s="880"/>
      <c r="H35" s="880"/>
      <c r="I35" s="880"/>
      <c r="J35" s="880"/>
      <c r="K35" s="880"/>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81">
        <v>3120000</v>
      </c>
      <c r="D41" s="881"/>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71">
        <v>133685008</v>
      </c>
      <c r="C48" s="871"/>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82" t="s">
        <v>686</v>
      </c>
      <c r="H50" s="883"/>
      <c r="I50" s="412" t="s">
        <v>672</v>
      </c>
      <c r="J50" s="422">
        <f>B50/F50</f>
        <v>52.8690023342034</v>
      </c>
      <c r="K50" s="414"/>
      <c r="L50" s="400"/>
    </row>
    <row r="51" spans="1:15" ht="15" thickBot="1">
      <c r="A51" s="400"/>
      <c r="B51" s="415"/>
      <c r="C51" s="416"/>
      <c r="D51" s="416"/>
      <c r="E51" s="416"/>
      <c r="F51" s="416"/>
      <c r="G51" s="416"/>
      <c r="H51" s="416"/>
      <c r="I51" s="884" t="s">
        <v>687</v>
      </c>
      <c r="J51" s="884"/>
      <c r="K51" s="885"/>
      <c r="L51" s="400"/>
      <c r="O51" s="423"/>
    </row>
    <row r="52" spans="1:12" ht="40.5" customHeight="1">
      <c r="A52" s="400"/>
      <c r="B52" s="879" t="s">
        <v>662</v>
      </c>
      <c r="C52" s="879"/>
      <c r="D52" s="879"/>
      <c r="E52" s="879"/>
      <c r="F52" s="879"/>
      <c r="G52" s="879"/>
      <c r="H52" s="879"/>
      <c r="I52" s="879"/>
      <c r="J52" s="879"/>
      <c r="K52" s="879"/>
      <c r="L52" s="400"/>
    </row>
    <row r="53" spans="1:12" ht="14.25">
      <c r="A53" s="400"/>
      <c r="B53" s="876" t="s">
        <v>688</v>
      </c>
      <c r="C53" s="876"/>
      <c r="D53" s="876"/>
      <c r="E53" s="876"/>
      <c r="F53" s="876"/>
      <c r="G53" s="876"/>
      <c r="H53" s="876"/>
      <c r="I53" s="876"/>
      <c r="J53" s="876"/>
      <c r="K53" s="876"/>
      <c r="L53" s="400"/>
    </row>
    <row r="54" spans="1:12" ht="14.25">
      <c r="A54" s="400"/>
      <c r="B54" s="403"/>
      <c r="C54" s="403"/>
      <c r="D54" s="403"/>
      <c r="E54" s="403"/>
      <c r="F54" s="403"/>
      <c r="G54" s="403"/>
      <c r="H54" s="403"/>
      <c r="I54" s="403"/>
      <c r="J54" s="403"/>
      <c r="K54" s="403"/>
      <c r="L54" s="400"/>
    </row>
    <row r="55" spans="1:12" ht="14.25">
      <c r="A55" s="400"/>
      <c r="B55" s="872" t="s">
        <v>689</v>
      </c>
      <c r="C55" s="872"/>
      <c r="D55" s="872"/>
      <c r="E55" s="872"/>
      <c r="F55" s="872"/>
      <c r="G55" s="872"/>
      <c r="H55" s="872"/>
      <c r="I55" s="872"/>
      <c r="J55" s="872"/>
      <c r="K55" s="872"/>
      <c r="L55" s="400"/>
    </row>
    <row r="56" spans="1:12" ht="15" customHeight="1">
      <c r="A56" s="400"/>
      <c r="L56" s="400"/>
    </row>
    <row r="57" spans="1:24" ht="74.25" customHeight="1">
      <c r="A57" s="400"/>
      <c r="B57" s="877" t="s">
        <v>690</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71">
        <v>133685008</v>
      </c>
      <c r="D74" s="871"/>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71">
        <v>5000</v>
      </c>
      <c r="D77" s="871"/>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71">
        <v>100000</v>
      </c>
      <c r="D80" s="871"/>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9" t="s">
        <v>662</v>
      </c>
      <c r="C85" s="879"/>
      <c r="D85" s="879"/>
      <c r="E85" s="879"/>
      <c r="F85" s="879"/>
      <c r="G85" s="879"/>
      <c r="H85" s="879"/>
      <c r="I85" s="879"/>
      <c r="J85" s="879"/>
      <c r="K85" s="879"/>
      <c r="L85" s="400"/>
    </row>
    <row r="86" spans="1:12" ht="14.25">
      <c r="A86" s="400"/>
      <c r="B86" s="872" t="s">
        <v>710</v>
      </c>
      <c r="C86" s="872"/>
      <c r="D86" s="872"/>
      <c r="E86" s="872"/>
      <c r="F86" s="872"/>
      <c r="G86" s="872"/>
      <c r="H86" s="872"/>
      <c r="I86" s="872"/>
      <c r="J86" s="872"/>
      <c r="K86" s="872"/>
      <c r="L86" s="400"/>
    </row>
    <row r="87" spans="1:12" ht="14.25">
      <c r="A87" s="400"/>
      <c r="B87" s="439"/>
      <c r="C87" s="439"/>
      <c r="D87" s="439"/>
      <c r="E87" s="439"/>
      <c r="F87" s="439"/>
      <c r="G87" s="439"/>
      <c r="H87" s="439"/>
      <c r="I87" s="439"/>
      <c r="J87" s="439"/>
      <c r="K87" s="439"/>
      <c r="L87" s="400"/>
    </row>
    <row r="88" spans="1:12" ht="14.25">
      <c r="A88" s="400"/>
      <c r="B88" s="872" t="s">
        <v>711</v>
      </c>
      <c r="C88" s="872"/>
      <c r="D88" s="872"/>
      <c r="E88" s="872"/>
      <c r="F88" s="872"/>
      <c r="G88" s="872"/>
      <c r="H88" s="872"/>
      <c r="I88" s="872"/>
      <c r="J88" s="872"/>
      <c r="K88" s="872"/>
      <c r="L88" s="400"/>
    </row>
    <row r="89" spans="1:12" ht="14.25">
      <c r="A89" s="400"/>
      <c r="B89" s="440"/>
      <c r="C89" s="440"/>
      <c r="D89" s="440"/>
      <c r="E89" s="440"/>
      <c r="F89" s="440"/>
      <c r="G89" s="440"/>
      <c r="H89" s="440"/>
      <c r="I89" s="440"/>
      <c r="J89" s="440"/>
      <c r="K89" s="440"/>
      <c r="L89" s="400"/>
    </row>
    <row r="90" spans="1:12" ht="45" customHeight="1">
      <c r="A90" s="400"/>
      <c r="B90" s="877" t="s">
        <v>712</v>
      </c>
      <c r="C90" s="877"/>
      <c r="D90" s="877"/>
      <c r="E90" s="877"/>
      <c r="F90" s="877"/>
      <c r="G90" s="877"/>
      <c r="H90" s="877"/>
      <c r="I90" s="877"/>
      <c r="J90" s="877"/>
      <c r="K90" s="877"/>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71">
        <v>133685008</v>
      </c>
      <c r="D94" s="871"/>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71">
        <v>50000</v>
      </c>
      <c r="D97" s="871"/>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71">
        <v>2500000</v>
      </c>
      <c r="D100" s="871"/>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662</v>
      </c>
      <c r="C105" s="887"/>
      <c r="D105" s="887"/>
      <c r="E105" s="887"/>
      <c r="F105" s="887"/>
      <c r="G105" s="887"/>
      <c r="H105" s="887"/>
      <c r="I105" s="887"/>
      <c r="J105" s="887"/>
      <c r="K105" s="887"/>
      <c r="L105" s="400"/>
    </row>
    <row r="106" spans="1:12" ht="15" customHeight="1">
      <c r="A106" s="400"/>
      <c r="B106" s="888" t="s">
        <v>714</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715</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716</v>
      </c>
      <c r="C110" s="880"/>
      <c r="D110" s="880"/>
      <c r="E110" s="880"/>
      <c r="F110" s="880"/>
      <c r="G110" s="880"/>
      <c r="H110" s="880"/>
      <c r="I110" s="880"/>
      <c r="J110" s="880"/>
      <c r="K110" s="880"/>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71">
        <v>133685008</v>
      </c>
      <c r="D114" s="871"/>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71">
        <v>50000</v>
      </c>
      <c r="D117" s="871"/>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71">
        <v>2500000</v>
      </c>
      <c r="D120" s="871"/>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9" t="s">
        <v>662</v>
      </c>
      <c r="C125" s="879"/>
      <c r="D125" s="879"/>
      <c r="E125" s="879"/>
      <c r="F125" s="879"/>
      <c r="G125" s="879"/>
      <c r="H125" s="879"/>
      <c r="I125" s="879"/>
      <c r="J125" s="879"/>
      <c r="K125" s="879"/>
      <c r="L125" s="454"/>
    </row>
    <row r="126" spans="1:12" ht="14.25">
      <c r="A126" s="400"/>
      <c r="B126" s="872" t="s">
        <v>717</v>
      </c>
      <c r="C126" s="872"/>
      <c r="D126" s="872"/>
      <c r="E126" s="872"/>
      <c r="F126" s="872"/>
      <c r="G126" s="872"/>
      <c r="H126" s="872"/>
      <c r="I126" s="872"/>
      <c r="J126" s="872"/>
      <c r="K126" s="872"/>
      <c r="L126" s="454"/>
    </row>
    <row r="127" spans="1:12" ht="14.25">
      <c r="A127" s="400"/>
      <c r="B127" s="403"/>
      <c r="C127" s="403"/>
      <c r="D127" s="403"/>
      <c r="E127" s="403"/>
      <c r="F127" s="403"/>
      <c r="G127" s="403"/>
      <c r="H127" s="403"/>
      <c r="I127" s="403"/>
      <c r="J127" s="403"/>
      <c r="K127" s="403"/>
      <c r="L127" s="454"/>
    </row>
    <row r="128" spans="1:12" ht="14.25">
      <c r="A128" s="400"/>
      <c r="B128" s="872" t="s">
        <v>718</v>
      </c>
      <c r="C128" s="872"/>
      <c r="D128" s="872"/>
      <c r="E128" s="872"/>
      <c r="F128" s="872"/>
      <c r="G128" s="872"/>
      <c r="H128" s="872"/>
      <c r="I128" s="872"/>
      <c r="J128" s="872"/>
      <c r="K128" s="872"/>
      <c r="L128" s="454"/>
    </row>
    <row r="129" spans="1:12" ht="14.25">
      <c r="A129" s="400"/>
      <c r="B129" s="440"/>
      <c r="C129" s="440"/>
      <c r="D129" s="440"/>
      <c r="E129" s="440"/>
      <c r="F129" s="440"/>
      <c r="G129" s="440"/>
      <c r="H129" s="440"/>
      <c r="I129" s="440"/>
      <c r="J129" s="440"/>
      <c r="K129" s="440"/>
      <c r="L129" s="454"/>
    </row>
    <row r="130" spans="1:12" ht="74.25" customHeight="1">
      <c r="A130" s="400"/>
      <c r="B130" s="877" t="s">
        <v>719</v>
      </c>
      <c r="C130" s="877"/>
      <c r="D130" s="877"/>
      <c r="E130" s="877"/>
      <c r="F130" s="877"/>
      <c r="G130" s="877"/>
      <c r="H130" s="877"/>
      <c r="I130" s="877"/>
      <c r="J130" s="877"/>
      <c r="K130" s="877"/>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900" t="s">
        <v>720</v>
      </c>
      <c r="D133" s="900"/>
      <c r="E133" s="411"/>
      <c r="F133" s="412" t="s">
        <v>721</v>
      </c>
      <c r="G133" s="411"/>
      <c r="H133" s="900" t="s">
        <v>706</v>
      </c>
      <c r="I133" s="900"/>
      <c r="J133" s="411"/>
      <c r="K133" s="414"/>
      <c r="L133" s="400"/>
    </row>
    <row r="134" spans="1:12" ht="14.25">
      <c r="A134" s="400"/>
      <c r="B134" s="420" t="s">
        <v>699</v>
      </c>
      <c r="C134" s="871">
        <v>100000</v>
      </c>
      <c r="D134" s="871"/>
      <c r="E134" s="412" t="s">
        <v>259</v>
      </c>
      <c r="F134" s="412">
        <v>0.115</v>
      </c>
      <c r="G134" s="412" t="s">
        <v>672</v>
      </c>
      <c r="H134" s="890">
        <f>C134*F134</f>
        <v>11500</v>
      </c>
      <c r="I134" s="890"/>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91" t="s">
        <v>706</v>
      </c>
      <c r="D136" s="891"/>
      <c r="E136" s="431"/>
      <c r="F136" s="432" t="s">
        <v>722</v>
      </c>
      <c r="G136" s="432"/>
      <c r="H136" s="431"/>
      <c r="I136" s="431"/>
      <c r="J136" s="431" t="s">
        <v>723</v>
      </c>
      <c r="K136" s="433"/>
      <c r="L136" s="400"/>
    </row>
    <row r="137" spans="1:12" ht="14.25">
      <c r="A137" s="400"/>
      <c r="B137" s="420" t="s">
        <v>702</v>
      </c>
      <c r="C137" s="890">
        <f>H134</f>
        <v>11500</v>
      </c>
      <c r="D137" s="890"/>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3" t="s">
        <v>726</v>
      </c>
      <c r="C144" s="894"/>
      <c r="D144" s="894"/>
      <c r="E144" s="894"/>
      <c r="F144" s="894"/>
      <c r="G144" s="894"/>
      <c r="H144" s="894"/>
      <c r="I144" s="894"/>
      <c r="J144" s="894"/>
      <c r="K144" s="895"/>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90" t="s">
        <v>727</v>
      </c>
      <c r="D147" s="890"/>
      <c r="E147" s="412"/>
      <c r="F147" s="472" t="s">
        <v>728</v>
      </c>
      <c r="G147" s="412"/>
      <c r="H147" s="412"/>
      <c r="I147" s="412"/>
      <c r="J147" s="896" t="s">
        <v>729</v>
      </c>
      <c r="K147" s="897"/>
      <c r="L147" s="400"/>
    </row>
    <row r="148" spans="1:12" ht="14.25">
      <c r="A148" s="400"/>
      <c r="B148" s="420"/>
      <c r="C148" s="898">
        <v>52.869</v>
      </c>
      <c r="D148" s="898"/>
      <c r="E148" s="412" t="s">
        <v>259</v>
      </c>
      <c r="F148" s="477">
        <v>133685008</v>
      </c>
      <c r="G148" s="478" t="s">
        <v>673</v>
      </c>
      <c r="H148" s="412">
        <v>1000</v>
      </c>
      <c r="I148" s="412" t="s">
        <v>672</v>
      </c>
      <c r="J148" s="890">
        <f>C148*(F148/1000)</f>
        <v>7067792.687952</v>
      </c>
      <c r="K148" s="899"/>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81"/>
  <sheetViews>
    <sheetView zoomScalePageLayoutView="0" workbookViewId="0" topLeftCell="A1">
      <selection activeCell="A3" sqref="A3"/>
    </sheetView>
  </sheetViews>
  <sheetFormatPr defaultColWidth="8.796875" defaultRowHeight="15.75"/>
  <cols>
    <col min="1" max="1" width="72.09765625" style="113" customWidth="1"/>
    <col min="2" max="16384" width="8.796875" style="113" customWidth="1"/>
  </cols>
  <sheetData>
    <row r="1" ht="15.75">
      <c r="A1" s="570" t="s">
        <v>948</v>
      </c>
    </row>
    <row r="2" ht="15.75">
      <c r="A2" s="113" t="s">
        <v>949</v>
      </c>
    </row>
    <row r="4" ht="15.75">
      <c r="A4" s="570" t="s">
        <v>946</v>
      </c>
    </row>
    <row r="5" ht="15.75">
      <c r="A5" s="754" t="s">
        <v>947</v>
      </c>
    </row>
    <row r="7" ht="15.75">
      <c r="A7" s="570" t="s">
        <v>942</v>
      </c>
    </row>
    <row r="8" ht="15.75">
      <c r="A8" s="751" t="s">
        <v>913</v>
      </c>
    </row>
    <row r="9" ht="15.75">
      <c r="A9" s="751" t="s">
        <v>914</v>
      </c>
    </row>
    <row r="10" ht="15.75">
      <c r="A10" s="751" t="s">
        <v>915</v>
      </c>
    </row>
    <row r="11" ht="15.75">
      <c r="A11" s="751" t="s">
        <v>916</v>
      </c>
    </row>
    <row r="12" ht="15.75">
      <c r="A12" s="751" t="s">
        <v>917</v>
      </c>
    </row>
    <row r="13" ht="15.75">
      <c r="A13" s="751" t="s">
        <v>918</v>
      </c>
    </row>
    <row r="14" ht="15.75">
      <c r="A14" s="751" t="s">
        <v>919</v>
      </c>
    </row>
    <row r="15" ht="15.75">
      <c r="A15" s="751" t="s">
        <v>920</v>
      </c>
    </row>
    <row r="16" ht="15.75">
      <c r="A16" s="751" t="s">
        <v>921</v>
      </c>
    </row>
    <row r="17" ht="15.75">
      <c r="A17" s="751" t="s">
        <v>922</v>
      </c>
    </row>
    <row r="18" ht="15.75">
      <c r="A18" s="751" t="s">
        <v>923</v>
      </c>
    </row>
    <row r="19" ht="15.75">
      <c r="A19" s="751" t="s">
        <v>924</v>
      </c>
    </row>
    <row r="20" ht="15.75">
      <c r="A20" s="751" t="s">
        <v>925</v>
      </c>
    </row>
    <row r="21" ht="15.75">
      <c r="A21" s="751" t="s">
        <v>926</v>
      </c>
    </row>
    <row r="22" ht="15.75">
      <c r="A22" s="751" t="s">
        <v>927</v>
      </c>
    </row>
    <row r="23" ht="15.75">
      <c r="A23" s="751" t="s">
        <v>928</v>
      </c>
    </row>
    <row r="24" ht="15.75">
      <c r="A24" s="751" t="s">
        <v>929</v>
      </c>
    </row>
    <row r="25" ht="15.75">
      <c r="A25" s="751" t="s">
        <v>930</v>
      </c>
    </row>
    <row r="26" ht="15.75">
      <c r="A26" s="751" t="s">
        <v>931</v>
      </c>
    </row>
    <row r="27" ht="15.75">
      <c r="A27" s="751" t="s">
        <v>932</v>
      </c>
    </row>
    <row r="28" ht="15.75">
      <c r="A28" s="751" t="s">
        <v>933</v>
      </c>
    </row>
    <row r="29" ht="15.75">
      <c r="A29" s="751" t="s">
        <v>934</v>
      </c>
    </row>
    <row r="30" ht="15.75">
      <c r="A30" s="751" t="s">
        <v>935</v>
      </c>
    </row>
    <row r="31" ht="15.75">
      <c r="A31" s="751" t="s">
        <v>936</v>
      </c>
    </row>
    <row r="32" ht="15.75">
      <c r="A32" s="751" t="s">
        <v>937</v>
      </c>
    </row>
    <row r="33" ht="15.75">
      <c r="A33" s="751" t="s">
        <v>938</v>
      </c>
    </row>
    <row r="34" ht="15.75">
      <c r="A34" s="751" t="s">
        <v>939</v>
      </c>
    </row>
    <row r="35" ht="15.75">
      <c r="A35" s="751" t="s">
        <v>940</v>
      </c>
    </row>
    <row r="36" ht="15.75">
      <c r="A36" s="751" t="s">
        <v>941</v>
      </c>
    </row>
    <row r="39" ht="15.75">
      <c r="A39" s="570" t="s">
        <v>781</v>
      </c>
    </row>
    <row r="40" ht="15.75">
      <c r="A40" s="113" t="s">
        <v>782</v>
      </c>
    </row>
    <row r="41" ht="15.75">
      <c r="A41" s="113" t="s">
        <v>783</v>
      </c>
    </row>
    <row r="43" ht="15.75">
      <c r="A43" s="570" t="s">
        <v>778</v>
      </c>
    </row>
    <row r="44" ht="15.75">
      <c r="A44" s="551" t="s">
        <v>779</v>
      </c>
    </row>
    <row r="46" ht="15.75">
      <c r="A46" s="389" t="s">
        <v>751</v>
      </c>
    </row>
    <row r="47" ht="15.75">
      <c r="A47" s="551" t="s">
        <v>752</v>
      </c>
    </row>
    <row r="48" ht="15.75">
      <c r="A48" s="551" t="s">
        <v>753</v>
      </c>
    </row>
    <row r="49" ht="31.5">
      <c r="A49" s="550" t="s">
        <v>754</v>
      </c>
    </row>
    <row r="50" ht="15.75">
      <c r="A50" s="551" t="s">
        <v>755</v>
      </c>
    </row>
    <row r="51" ht="15.75">
      <c r="A51" s="551" t="s">
        <v>756</v>
      </c>
    </row>
    <row r="52" ht="15.75">
      <c r="A52" s="551" t="s">
        <v>757</v>
      </c>
    </row>
    <row r="53" ht="15.75">
      <c r="A53" s="551" t="s">
        <v>758</v>
      </c>
    </row>
    <row r="54" ht="15.75">
      <c r="A54" s="551" t="s">
        <v>759</v>
      </c>
    </row>
    <row r="55" ht="15.75">
      <c r="A55" s="551" t="s">
        <v>760</v>
      </c>
    </row>
    <row r="56" ht="15.75">
      <c r="A56" s="551" t="s">
        <v>761</v>
      </c>
    </row>
    <row r="57" ht="15.75">
      <c r="A57" s="551" t="s">
        <v>762</v>
      </c>
    </row>
    <row r="58" ht="15.75">
      <c r="A58" s="551" t="s">
        <v>763</v>
      </c>
    </row>
    <row r="59" ht="15.75">
      <c r="A59" s="551" t="s">
        <v>764</v>
      </c>
    </row>
    <row r="60" ht="15.75">
      <c r="A60" s="551" t="s">
        <v>765</v>
      </c>
    </row>
    <row r="61" ht="15.75">
      <c r="A61" s="551" t="s">
        <v>766</v>
      </c>
    </row>
    <row r="62" ht="15.75">
      <c r="A62" s="551" t="s">
        <v>767</v>
      </c>
    </row>
    <row r="63" ht="15.75">
      <c r="A63" s="551" t="s">
        <v>768</v>
      </c>
    </row>
    <row r="64" ht="15.75">
      <c r="A64" s="551" t="s">
        <v>769</v>
      </c>
    </row>
    <row r="65" ht="15.75">
      <c r="A65" s="551" t="s">
        <v>770</v>
      </c>
    </row>
    <row r="66" ht="15.75">
      <c r="A66" s="551" t="s">
        <v>771</v>
      </c>
    </row>
    <row r="67" ht="15.75">
      <c r="A67" s="551" t="s">
        <v>772</v>
      </c>
    </row>
    <row r="68" ht="15.75">
      <c r="A68" s="551" t="s">
        <v>773</v>
      </c>
    </row>
    <row r="69" ht="15.75">
      <c r="A69" s="113" t="s">
        <v>777</v>
      </c>
    </row>
    <row r="71" ht="15.75">
      <c r="A71" s="389" t="s">
        <v>638</v>
      </c>
    </row>
    <row r="72" ht="36" customHeight="1">
      <c r="A72" s="216" t="s">
        <v>639</v>
      </c>
    </row>
    <row r="74" ht="15.75">
      <c r="A74" s="389" t="s">
        <v>634</v>
      </c>
    </row>
    <row r="75" ht="15.75">
      <c r="A75" s="113" t="s">
        <v>635</v>
      </c>
    </row>
    <row r="76" ht="15.75">
      <c r="A76" s="113" t="s">
        <v>636</v>
      </c>
    </row>
    <row r="77" ht="15.75">
      <c r="A77" s="113" t="s">
        <v>637</v>
      </c>
    </row>
    <row r="79" ht="15.75">
      <c r="A79" s="389" t="s">
        <v>623</v>
      </c>
    </row>
    <row r="80" ht="15.75">
      <c r="A80" s="113" t="s">
        <v>633</v>
      </c>
    </row>
    <row r="82" ht="15.75">
      <c r="A82" s="388" t="s">
        <v>386</v>
      </c>
    </row>
    <row r="83" ht="15.75">
      <c r="A83" s="113" t="s">
        <v>387</v>
      </c>
    </row>
    <row r="84" ht="15.75">
      <c r="A84" s="113" t="s">
        <v>388</v>
      </c>
    </row>
    <row r="85" ht="15.75">
      <c r="A85" s="113" t="s">
        <v>409</v>
      </c>
    </row>
    <row r="86" ht="15.75">
      <c r="A86" s="113" t="s">
        <v>410</v>
      </c>
    </row>
    <row r="87" ht="15.75">
      <c r="A87" s="113" t="s">
        <v>411</v>
      </c>
    </row>
    <row r="88" ht="15.75">
      <c r="A88" s="113" t="s">
        <v>621</v>
      </c>
    </row>
    <row r="90" ht="15.75">
      <c r="A90" s="388" t="s">
        <v>326</v>
      </c>
    </row>
    <row r="91" ht="15.75">
      <c r="A91" s="113" t="s">
        <v>327</v>
      </c>
    </row>
    <row r="92" ht="15.75">
      <c r="A92" s="113" t="s">
        <v>328</v>
      </c>
    </row>
    <row r="93" ht="15.75">
      <c r="A93" s="113" t="s">
        <v>329</v>
      </c>
    </row>
    <row r="94" ht="15.75">
      <c r="A94" s="113" t="s">
        <v>330</v>
      </c>
    </row>
    <row r="95" ht="15.75">
      <c r="A95" s="113" t="s">
        <v>331</v>
      </c>
    </row>
    <row r="96" ht="15.75">
      <c r="A96" s="113" t="s">
        <v>332</v>
      </c>
    </row>
    <row r="97" ht="15.75">
      <c r="A97" s="113" t="s">
        <v>333</v>
      </c>
    </row>
    <row r="98" ht="15.75">
      <c r="A98" s="113" t="s">
        <v>335</v>
      </c>
    </row>
    <row r="99" ht="15.75">
      <c r="A99" s="113" t="s">
        <v>336</v>
      </c>
    </row>
    <row r="100" ht="15.75">
      <c r="A100" s="113" t="s">
        <v>352</v>
      </c>
    </row>
    <row r="101" ht="15.75">
      <c r="A101" s="113" t="s">
        <v>353</v>
      </c>
    </row>
    <row r="102" ht="15.75">
      <c r="A102" s="113" t="s">
        <v>354</v>
      </c>
    </row>
    <row r="103" ht="15.75">
      <c r="A103" s="113" t="s">
        <v>355</v>
      </c>
    </row>
    <row r="104" ht="15.75">
      <c r="A104" s="113" t="s">
        <v>369</v>
      </c>
    </row>
    <row r="105" ht="15.75">
      <c r="A105" s="113" t="s">
        <v>370</v>
      </c>
    </row>
    <row r="106" ht="15.75">
      <c r="A106" s="113" t="s">
        <v>382</v>
      </c>
    </row>
    <row r="107" ht="15.75">
      <c r="A107" s="366" t="s">
        <v>383</v>
      </c>
    </row>
    <row r="109" ht="15.75">
      <c r="A109" s="388" t="s">
        <v>321</v>
      </c>
    </row>
    <row r="110" ht="15.75">
      <c r="A110" s="113" t="s">
        <v>322</v>
      </c>
    </row>
    <row r="112" ht="15.75">
      <c r="A112" s="388" t="s">
        <v>319</v>
      </c>
    </row>
    <row r="113" ht="15.75">
      <c r="A113" s="113" t="s">
        <v>320</v>
      </c>
    </row>
    <row r="115" ht="15.75">
      <c r="A115" s="388" t="s">
        <v>315</v>
      </c>
    </row>
    <row r="116" ht="15.75">
      <c r="A116" s="113" t="s">
        <v>316</v>
      </c>
    </row>
    <row r="117" ht="15.75">
      <c r="A117" s="113" t="s">
        <v>317</v>
      </c>
    </row>
    <row r="118" ht="15.75">
      <c r="A118" s="113" t="s">
        <v>318</v>
      </c>
    </row>
    <row r="120" ht="15.75">
      <c r="A120" s="388" t="s">
        <v>311</v>
      </c>
    </row>
    <row r="121" ht="15.75">
      <c r="A121" s="113" t="s">
        <v>312</v>
      </c>
    </row>
    <row r="122" ht="15.75">
      <c r="A122" s="113" t="s">
        <v>313</v>
      </c>
    </row>
    <row r="124" ht="15.75">
      <c r="A124" s="388" t="s">
        <v>226</v>
      </c>
    </row>
    <row r="125" ht="15.75">
      <c r="A125" s="113" t="s">
        <v>198</v>
      </c>
    </row>
    <row r="126" ht="31.5">
      <c r="A126" s="216" t="s">
        <v>199</v>
      </c>
    </row>
    <row r="127" ht="15.75">
      <c r="A127" s="113" t="s">
        <v>212</v>
      </c>
    </row>
    <row r="128" ht="15.75">
      <c r="A128" s="113" t="s">
        <v>213</v>
      </c>
    </row>
    <row r="129" ht="15.75">
      <c r="A129" s="113" t="s">
        <v>214</v>
      </c>
    </row>
    <row r="130" ht="15.75">
      <c r="A130" s="113" t="s">
        <v>215</v>
      </c>
    </row>
    <row r="131" ht="31.5">
      <c r="A131" s="216" t="s">
        <v>207</v>
      </c>
    </row>
    <row r="132" ht="31.5">
      <c r="A132" s="216" t="s">
        <v>216</v>
      </c>
    </row>
    <row r="133" ht="31.5">
      <c r="A133" s="216" t="s">
        <v>217</v>
      </c>
    </row>
    <row r="134" ht="15.75">
      <c r="A134" s="216" t="s">
        <v>218</v>
      </c>
    </row>
    <row r="135" ht="31.5">
      <c r="A135" s="216" t="s">
        <v>219</v>
      </c>
    </row>
    <row r="136" ht="15.75">
      <c r="A136" s="113" t="s">
        <v>220</v>
      </c>
    </row>
    <row r="137" ht="15.75">
      <c r="A137" s="113" t="s">
        <v>221</v>
      </c>
    </row>
    <row r="138" ht="15.75">
      <c r="A138" s="113" t="s">
        <v>222</v>
      </c>
    </row>
    <row r="139" ht="15.75">
      <c r="A139" s="113" t="s">
        <v>223</v>
      </c>
    </row>
    <row r="140" ht="31.5">
      <c r="A140" s="216" t="s">
        <v>224</v>
      </c>
    </row>
    <row r="141" ht="15.75">
      <c r="A141" s="216" t="s">
        <v>200</v>
      </c>
    </row>
    <row r="142" ht="31.5">
      <c r="A142" s="216" t="s">
        <v>208</v>
      </c>
    </row>
    <row r="143" ht="15.75">
      <c r="A143" s="216" t="s">
        <v>201</v>
      </c>
    </row>
    <row r="144" ht="15.75">
      <c r="A144" s="216" t="s">
        <v>202</v>
      </c>
    </row>
    <row r="145" ht="15.75">
      <c r="A145" s="216" t="s">
        <v>203</v>
      </c>
    </row>
    <row r="146" ht="31.5">
      <c r="A146" s="216" t="s">
        <v>204</v>
      </c>
    </row>
    <row r="147" ht="31.5">
      <c r="A147" s="216" t="s">
        <v>209</v>
      </c>
    </row>
    <row r="148" ht="31.5">
      <c r="A148" s="216" t="s">
        <v>205</v>
      </c>
    </row>
    <row r="149" ht="31.5">
      <c r="A149" s="216" t="s">
        <v>210</v>
      </c>
    </row>
    <row r="150" ht="15.75">
      <c r="A150" s="216" t="s">
        <v>211</v>
      </c>
    </row>
    <row r="151" ht="15.75">
      <c r="A151" s="216"/>
    </row>
    <row r="152" ht="15.75">
      <c r="A152" s="388" t="s">
        <v>138</v>
      </c>
    </row>
    <row r="153" ht="47.25">
      <c r="A153" s="216" t="s">
        <v>169</v>
      </c>
    </row>
    <row r="154" ht="15.75">
      <c r="A154" s="113" t="s">
        <v>139</v>
      </c>
    </row>
    <row r="155" ht="15.75">
      <c r="A155" s="113" t="s">
        <v>143</v>
      </c>
    </row>
    <row r="156" ht="15.75">
      <c r="A156" s="113" t="s">
        <v>144</v>
      </c>
    </row>
    <row r="157" ht="15.75">
      <c r="A157" s="113" t="s">
        <v>140</v>
      </c>
    </row>
    <row r="158" ht="15.75">
      <c r="A158" s="113" t="s">
        <v>141</v>
      </c>
    </row>
    <row r="159" ht="15.75">
      <c r="A159" s="113" t="s">
        <v>142</v>
      </c>
    </row>
    <row r="160" ht="15.75">
      <c r="A160" s="216" t="s">
        <v>237</v>
      </c>
    </row>
    <row r="161" ht="15.75">
      <c r="A161" s="113" t="s">
        <v>145</v>
      </c>
    </row>
    <row r="162" ht="15.75">
      <c r="A162" s="113" t="s">
        <v>146</v>
      </c>
    </row>
    <row r="163" ht="15.75">
      <c r="A163" s="113" t="s">
        <v>170</v>
      </c>
    </row>
    <row r="164" ht="15.75">
      <c r="A164" s="113" t="s">
        <v>160</v>
      </c>
    </row>
    <row r="165" ht="15.75">
      <c r="A165" s="113" t="s">
        <v>171</v>
      </c>
    </row>
    <row r="166" ht="15.75">
      <c r="A166" s="113" t="s">
        <v>147</v>
      </c>
    </row>
    <row r="167" ht="15.75">
      <c r="A167" s="113" t="s">
        <v>238</v>
      </c>
    </row>
    <row r="168" ht="15.75">
      <c r="A168" s="113" t="s">
        <v>148</v>
      </c>
    </row>
    <row r="169" ht="15.75">
      <c r="A169" s="113" t="s">
        <v>161</v>
      </c>
    </row>
    <row r="170" ht="31.5">
      <c r="A170" s="216" t="s">
        <v>162</v>
      </c>
    </row>
    <row r="171" ht="15.75">
      <c r="A171" s="113" t="s">
        <v>163</v>
      </c>
    </row>
    <row r="172" ht="15.75">
      <c r="A172" s="113" t="s">
        <v>172</v>
      </c>
    </row>
    <row r="173" ht="15.75">
      <c r="A173" s="113" t="s">
        <v>206</v>
      </c>
    </row>
    <row r="174" ht="15.75">
      <c r="A174" s="113" t="s">
        <v>236</v>
      </c>
    </row>
    <row r="175" ht="15.75">
      <c r="A175" s="113" t="s">
        <v>174</v>
      </c>
    </row>
    <row r="176" ht="15.75">
      <c r="A176" s="113" t="s">
        <v>235</v>
      </c>
    </row>
    <row r="177" ht="15.75">
      <c r="A177" s="113" t="s">
        <v>175</v>
      </c>
    </row>
    <row r="178" ht="15.75">
      <c r="A178" s="113" t="s">
        <v>180</v>
      </c>
    </row>
    <row r="179" ht="15.75">
      <c r="A179" s="113" t="s">
        <v>181</v>
      </c>
    </row>
    <row r="180" ht="15.75">
      <c r="A180" s="113" t="s">
        <v>189</v>
      </c>
    </row>
    <row r="181" ht="15.75">
      <c r="A181"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959</v>
      </c>
      <c r="J4" s="579" t="s">
        <v>798</v>
      </c>
    </row>
    <row r="5" spans="1:10" ht="15.75">
      <c r="A5" s="1"/>
      <c r="B5" s="581"/>
      <c r="J5" s="579" t="s">
        <v>799</v>
      </c>
    </row>
    <row r="6" spans="1:10" ht="15.75">
      <c r="A6" s="1" t="s">
        <v>808</v>
      </c>
      <c r="B6" s="580" t="s">
        <v>960</v>
      </c>
      <c r="J6" s="579" t="s">
        <v>800</v>
      </c>
    </row>
    <row r="7" spans="4:10" ht="15.75">
      <c r="D7" s="370"/>
      <c r="J7" s="579" t="s">
        <v>801</v>
      </c>
    </row>
    <row r="8" spans="1:10" ht="15.75">
      <c r="A8" s="215" t="s">
        <v>389</v>
      </c>
      <c r="B8" s="371" t="s">
        <v>961</v>
      </c>
      <c r="C8" s="372"/>
      <c r="D8" s="215" t="s">
        <v>794</v>
      </c>
      <c r="J8" s="579" t="s">
        <v>802</v>
      </c>
    </row>
    <row r="9" spans="1:10" ht="15.75">
      <c r="A9" s="215"/>
      <c r="B9" s="373"/>
      <c r="C9" s="374"/>
      <c r="D9" s="582" t="str">
        <f>IF(B8="","",CONCATENATE("Latest date for notice to be published in your newspaper: ",G19," ",G23,", ",G24))</f>
        <v>Latest date for notice to be published in your newspaper: August 31, 2012</v>
      </c>
      <c r="J9" s="579" t="s">
        <v>803</v>
      </c>
    </row>
    <row r="10" spans="1:10" ht="15.75">
      <c r="A10" s="215" t="s">
        <v>390</v>
      </c>
      <c r="B10" s="371" t="s">
        <v>962</v>
      </c>
      <c r="C10" s="375"/>
      <c r="D10" s="215"/>
      <c r="J10" s="579" t="s">
        <v>804</v>
      </c>
    </row>
    <row r="11" spans="1:10" ht="15.75">
      <c r="A11" s="215"/>
      <c r="B11" s="215"/>
      <c r="C11" s="215"/>
      <c r="D11" s="215"/>
      <c r="J11" s="579" t="s">
        <v>805</v>
      </c>
    </row>
    <row r="12" spans="1:10" ht="15.75">
      <c r="A12" s="215" t="s">
        <v>391</v>
      </c>
      <c r="B12" s="376" t="s">
        <v>963</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963</v>
      </c>
      <c r="C15" s="376"/>
      <c r="D15" s="376"/>
      <c r="E15" s="377"/>
    </row>
    <row r="18" spans="1:5" ht="15.75">
      <c r="A18" s="778" t="s">
        <v>395</v>
      </c>
      <c r="B18" s="778"/>
      <c r="C18" s="215"/>
      <c r="D18" s="215"/>
      <c r="E18" s="215"/>
    </row>
    <row r="19" spans="1:7" ht="15.75">
      <c r="A19" s="215"/>
      <c r="B19" s="215"/>
      <c r="C19" s="215"/>
      <c r="D19" s="215"/>
      <c r="E19" s="215"/>
      <c r="G19" s="579" t="str">
        <f ca="1">IF(B8="","",INDIRECT(G20))</f>
        <v>August</v>
      </c>
    </row>
    <row r="20" spans="1:7" ht="15.75">
      <c r="A20" s="215" t="s">
        <v>389</v>
      </c>
      <c r="B20" s="373" t="s">
        <v>393</v>
      </c>
      <c r="C20" s="215"/>
      <c r="D20" s="215"/>
      <c r="E20" s="215"/>
      <c r="G20" s="583" t="str">
        <f>IF(B8="","",CONCATENATE("J",G22))</f>
        <v>J8</v>
      </c>
    </row>
    <row r="21" spans="1:7" ht="15.75">
      <c r="A21" s="215"/>
      <c r="B21" s="215"/>
      <c r="C21" s="215"/>
      <c r="D21" s="215"/>
      <c r="E21" s="215"/>
      <c r="G21" s="584">
        <f>B8-10</f>
        <v>41152</v>
      </c>
    </row>
    <row r="22" spans="1:7" ht="15.75">
      <c r="A22" s="215" t="s">
        <v>390</v>
      </c>
      <c r="B22" s="215" t="s">
        <v>396</v>
      </c>
      <c r="C22" s="215"/>
      <c r="D22" s="215"/>
      <c r="E22" s="215"/>
      <c r="G22" s="585">
        <f>IF(B8="","",MONTH(G21))</f>
        <v>8</v>
      </c>
    </row>
    <row r="23" spans="1:7" ht="15.75">
      <c r="A23" s="215"/>
      <c r="B23" s="215"/>
      <c r="C23" s="215"/>
      <c r="D23" s="215"/>
      <c r="E23" s="215"/>
      <c r="G23" s="586">
        <f>IF(B8="","",DAY(G21))</f>
        <v>31</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9">
      <selection activeCell="B56" sqref="B5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9" t="s">
        <v>22</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Coffey County, State of Kansas</v>
      </c>
      <c r="B3" s="792"/>
      <c r="C3" s="792"/>
      <c r="D3" s="792"/>
      <c r="E3" s="792"/>
      <c r="F3" s="792"/>
    </row>
    <row r="4" spans="1:6" s="65" customFormat="1" ht="15.75">
      <c r="A4" s="788" t="s">
        <v>104</v>
      </c>
      <c r="B4" s="790"/>
      <c r="C4" s="790"/>
      <c r="D4" s="790"/>
      <c r="E4" s="790"/>
      <c r="F4" s="790"/>
    </row>
    <row r="5" spans="1:6" s="65" customFormat="1" ht="15.75">
      <c r="A5" s="791" t="str">
        <f>inputPrYr!D3</f>
        <v>Liberty Township</v>
      </c>
      <c r="B5" s="790"/>
      <c r="C5" s="790"/>
      <c r="D5" s="790"/>
      <c r="E5" s="790"/>
      <c r="F5" s="790"/>
    </row>
    <row r="6" spans="1:6" s="65" customFormat="1" ht="15.75">
      <c r="A6" s="786" t="s">
        <v>102</v>
      </c>
      <c r="B6" s="787"/>
      <c r="C6" s="787"/>
      <c r="D6" s="787"/>
      <c r="E6" s="787"/>
      <c r="F6" s="787"/>
    </row>
    <row r="7" spans="1:6" s="65" customFormat="1" ht="15.75" customHeight="1">
      <c r="A7" s="788" t="s">
        <v>103</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75">
      <c r="A12" s="72"/>
      <c r="C12" s="70"/>
      <c r="D12" s="73" t="s">
        <v>247</v>
      </c>
      <c r="E12" s="780" t="str">
        <f>CONCATENATE("Amount of ",G1-1," Ad Valorem Tax")</f>
        <v>Amount of 2012 Ad Valorem Tax</v>
      </c>
      <c r="F12" s="74" t="s">
        <v>248</v>
      </c>
    </row>
    <row r="13" spans="3:6" s="65" customFormat="1" ht="15.75">
      <c r="C13" s="74" t="s">
        <v>249</v>
      </c>
      <c r="D13" s="501" t="s">
        <v>177</v>
      </c>
      <c r="E13" s="781"/>
      <c r="F13" s="76" t="s">
        <v>250</v>
      </c>
    </row>
    <row r="14" spans="1:6" s="65" customFormat="1" ht="15.75">
      <c r="A14" s="77" t="s">
        <v>251</v>
      </c>
      <c r="B14" s="78"/>
      <c r="C14" s="79" t="s">
        <v>252</v>
      </c>
      <c r="D14" s="502" t="s">
        <v>730</v>
      </c>
      <c r="E14" s="782"/>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f>IF(gen!C61&gt;0,gen!C61,"  ")</f>
        <v>4</v>
      </c>
      <c r="D21" s="588">
        <f>IF(gen!$E$50&lt;&gt;0,gen!$E$50,"  ")</f>
        <v>16887</v>
      </c>
      <c r="E21" s="588">
        <f>IF(gen!$E$57&lt;&gt;0,gen!$E$57,0)</f>
        <v>300</v>
      </c>
      <c r="F21" s="589" t="str">
        <f>IF(AND(gen!E57=0,$B$47&gt;=0)," ",IF(AND(E21&gt;0,$B$47=0)," ",IF(AND(E21&gt;0,$B$47&gt;0),ROUND(E21/$B$47*1000,3))))</f>
        <v> </v>
      </c>
    </row>
    <row r="22" spans="1:6" s="65" customFormat="1" ht="15.7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IF(levypage10!C81&gt;0,levypage10!C81,"  ")</f>
        <v>5</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Cemetery</v>
      </c>
      <c r="B28" s="91" t="str">
        <f>IF(inputPrYr!C27&gt;0,inputPrYr!C27,"  ")</f>
        <v>17-1344</v>
      </c>
      <c r="C28" s="92">
        <f>IF(levypage10!C81&gt;0,levypage10!C81,"  ")</f>
        <v>5</v>
      </c>
      <c r="D28" s="588">
        <f>IF(levypage10!$E$73&lt;&gt;0,levypage10!$E$73,"  ")</f>
        <v>2153</v>
      </c>
      <c r="E28" s="588">
        <f>IF(levypage10!$E$80&lt;&gt;0,levypage10!$E$80,"  ")</f>
        <v>900</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19040</v>
      </c>
      <c r="E39" s="591">
        <f>SUM(E21:E38)</f>
        <v>1200</v>
      </c>
      <c r="F39" s="592">
        <f>IF(SUM(F21:F38)&gt;0,SUM(F21:F38),"")</f>
      </c>
    </row>
    <row r="40" spans="1:3" s="65" customFormat="1" ht="16.5" thickTop="1">
      <c r="A40" s="85" t="s">
        <v>118</v>
      </c>
      <c r="B40" s="81"/>
      <c r="C40" s="96">
        <f>summ!C54</f>
        <v>6</v>
      </c>
    </row>
    <row r="41" spans="1:5" s="65" customFormat="1" ht="15.75">
      <c r="A41" s="80" t="s">
        <v>173</v>
      </c>
      <c r="B41" s="81"/>
      <c r="C41" s="96">
        <f>IF(ResPub!C40&gt;0,ResPub!C40,"")</f>
      </c>
      <c r="D41" s="101" t="s">
        <v>109</v>
      </c>
      <c r="E41" s="102" t="str">
        <f>IF(E39&gt;computation!J34,"Yes","No")</f>
        <v>Yes</v>
      </c>
    </row>
    <row r="42" spans="1:5" s="65" customFormat="1" ht="15.75">
      <c r="A42" s="85" t="s">
        <v>108</v>
      </c>
      <c r="B42" s="81"/>
      <c r="C42" s="96">
        <f>IF(Resolution!D50&gt;0,Resolution!D50,"")</f>
        <v>7</v>
      </c>
      <c r="D42" s="103"/>
      <c r="E42" s="104"/>
    </row>
    <row r="43" spans="1:6" s="65" customFormat="1" ht="15.75">
      <c r="A43" s="80" t="s">
        <v>50</v>
      </c>
      <c r="B43" s="793" t="s">
        <v>76</v>
      </c>
      <c r="C43" s="794"/>
      <c r="D43" s="106"/>
      <c r="F43" s="72" t="s">
        <v>260</v>
      </c>
    </row>
    <row r="44" spans="1:6" s="65" customFormat="1" ht="15.75">
      <c r="A44" s="80" t="str">
        <f>inputPrYr!D3</f>
        <v>Liberty Township</v>
      </c>
      <c r="B44" s="795"/>
      <c r="C44" s="796"/>
      <c r="D44" s="107"/>
      <c r="F44" s="72"/>
    </row>
    <row r="45" spans="1:6" s="65" customFormat="1" ht="15.75">
      <c r="A45" s="80" t="str">
        <f>inputPrYr!D6</f>
        <v>Gridley City</v>
      </c>
      <c r="B45" s="795"/>
      <c r="C45" s="802"/>
      <c r="D45" s="107"/>
      <c r="F45" s="72"/>
    </row>
    <row r="46" spans="1:6" s="65" customFormat="1" ht="15.75">
      <c r="A46" s="80">
        <f>inputPrYr!D7</f>
        <v>0</v>
      </c>
      <c r="B46" s="795"/>
      <c r="C46" s="802"/>
      <c r="D46" s="107"/>
      <c r="F46" s="72"/>
    </row>
    <row r="47" spans="1:6" s="65" customFormat="1" ht="15.75">
      <c r="A47" s="80" t="s">
        <v>184</v>
      </c>
      <c r="B47" s="800">
        <f>SUM(B44:C46)</f>
        <v>0</v>
      </c>
      <c r="C47" s="801"/>
      <c r="D47" s="107"/>
      <c r="F47" s="72"/>
    </row>
    <row r="48" spans="1:6" s="65" customFormat="1" ht="15.75">
      <c r="A48" s="108"/>
      <c r="B48" s="797" t="str">
        <f>CONCATENATE("Nov. 1, ",G1-1," Valuation")</f>
        <v>Nov. 1, 2012 Valuation</v>
      </c>
      <c r="C48" s="798"/>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810</v>
      </c>
      <c r="E52" s="71"/>
      <c r="F52" s="71"/>
    </row>
    <row r="53" spans="1:6" s="65" customFormat="1" ht="15.75">
      <c r="A53" s="110"/>
      <c r="C53" s="72"/>
      <c r="D53" s="71"/>
      <c r="E53" s="71"/>
      <c r="F53" s="71"/>
    </row>
    <row r="54" spans="1:6" s="65" customFormat="1" ht="15.75">
      <c r="A54" s="111"/>
      <c r="B54" s="72"/>
      <c r="D54" s="71" t="s">
        <v>810</v>
      </c>
      <c r="E54" s="70"/>
      <c r="F54" s="70"/>
    </row>
    <row r="55" spans="1:7" ht="15.75">
      <c r="A55" s="108" t="s">
        <v>809</v>
      </c>
      <c r="B55" s="70"/>
      <c r="C55" s="65"/>
      <c r="D55" s="71"/>
      <c r="E55" s="71"/>
      <c r="F55" s="71"/>
      <c r="G55" s="112"/>
    </row>
    <row r="56" spans="1:7" ht="15.75">
      <c r="A56" s="110"/>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99" t="s">
        <v>262</v>
      </c>
      <c r="E61" s="792"/>
      <c r="F61" s="79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5">
      <selection activeCell="G11" sqref="G1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Liberty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1000</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1000</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511527</v>
      </c>
      <c r="F14" s="265"/>
      <c r="G14" s="190"/>
      <c r="H14" s="190"/>
      <c r="I14" s="269"/>
      <c r="J14" s="190"/>
    </row>
    <row r="15" spans="1:10" ht="15.75">
      <c r="A15" s="264"/>
      <c r="B15" s="65" t="s">
        <v>40</v>
      </c>
      <c r="C15" s="65" t="str">
        <f>CONCATENATE("Personal Property ",J1-2,"")</f>
        <v>Personal Property 2011</v>
      </c>
      <c r="D15" s="264" t="s">
        <v>35</v>
      </c>
      <c r="E15" s="268">
        <f>inputOth!E31</f>
        <v>168702</v>
      </c>
      <c r="F15" s="265"/>
      <c r="G15" s="269"/>
      <c r="H15" s="269"/>
      <c r="I15" s="190"/>
      <c r="J15" s="190"/>
    </row>
    <row r="16" spans="1:10" ht="15.75">
      <c r="A16" s="264"/>
      <c r="B16" s="65" t="s">
        <v>41</v>
      </c>
      <c r="C16" s="65" t="s">
        <v>60</v>
      </c>
      <c r="D16" s="65"/>
      <c r="E16" s="190"/>
      <c r="F16" s="190" t="s">
        <v>279</v>
      </c>
      <c r="G16" s="242">
        <f>IF(E14&gt;E15,E14-E15,0)</f>
        <v>342825</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0</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342825</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7210485</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6867660</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0.04991874961777374</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50</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1050</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1050</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29">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Liberty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787</v>
      </c>
      <c r="C6" s="792"/>
      <c r="D6" s="792"/>
      <c r="E6" s="792"/>
      <c r="F6" s="792"/>
      <c r="G6" s="792"/>
      <c r="H6" s="792"/>
      <c r="I6" s="792"/>
      <c r="J6" s="792"/>
      <c r="K6" s="792"/>
    </row>
    <row r="7" spans="1:11" ht="16.5">
      <c r="A7" s="65"/>
      <c r="B7" s="779"/>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300</v>
      </c>
      <c r="E11" s="234">
        <f>IF(inputOth!D37&gt;0,inputOth!D37,"  ")</f>
        <v>0.06</v>
      </c>
      <c r="F11" s="235"/>
      <c r="G11" s="90">
        <f>IF(inputPrYr!E20=0,0,G25-SUM(G12:G22))</f>
        <v>15</v>
      </c>
      <c r="H11" s="236"/>
      <c r="I11" s="90">
        <f>IF(inputPrYr!E20=0,0,I27-SUM(I12:I22))</f>
        <v>1</v>
      </c>
      <c r="J11" s="90">
        <f>IF(inputPrYr!E20=0,0,J29-SUM(J12:J22))</f>
        <v>2</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Cemetery</v>
      </c>
      <c r="C18" s="233"/>
      <c r="D18" s="90">
        <f>IF(inputPrYr!E27&gt;0,inputPrYr!E27,"  ")</f>
        <v>700</v>
      </c>
      <c r="E18" s="234">
        <f>IF(inputOth!D44&gt;0,inputOth!D44,"  ")</f>
        <v>0.141</v>
      </c>
      <c r="F18" s="235"/>
      <c r="G18" s="90">
        <f>IF(inputPrYr!E27=0,0,ROUND(D18*$G$31,0))</f>
        <v>34</v>
      </c>
      <c r="H18" s="236"/>
      <c r="I18" s="90">
        <f>IF(inputPrYr!$E$27=0,0,ROUND($D$18*$I$33,0))</f>
        <v>2</v>
      </c>
      <c r="J18" s="90">
        <f>IF(inputPrYr!E27=0,0,ROUND($D18*$J$35,0))</f>
        <v>5</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1000</v>
      </c>
      <c r="E23" s="239">
        <f>SUM(E11:E22)</f>
        <v>0.20099999999999998</v>
      </c>
      <c r="F23" s="240"/>
      <c r="G23" s="238">
        <f t="shared" si="0"/>
        <v>49</v>
      </c>
      <c r="H23" s="238"/>
      <c r="I23" s="238">
        <f t="shared" si="0"/>
        <v>3</v>
      </c>
      <c r="J23" s="238">
        <f t="shared" si="0"/>
        <v>7</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49</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3</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7</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0.049</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0.003</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0.007</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Liberty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9" t="s">
        <v>119</v>
      </c>
      <c r="B5" s="779"/>
      <c r="C5" s="779"/>
      <c r="D5" s="779"/>
      <c r="E5" s="779"/>
      <c r="F5" s="779"/>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628</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2012-08-31T13:58:30Z</cp:lastPrinted>
  <dcterms:created xsi:type="dcterms:W3CDTF">1998-08-26T16:30:41Z</dcterms:created>
  <dcterms:modified xsi:type="dcterms:W3CDTF">2013-01-22T16:53:58Z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