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5"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'summ'!$A$1:$I$41</definedName>
  </definedNames>
  <calcPr fullCalcOnLoad="1"/>
</workbook>
</file>

<file path=xl/sharedStrings.xml><?xml version="1.0" encoding="utf-8"?>
<sst xmlns="http://schemas.openxmlformats.org/spreadsheetml/2006/main" count="1133" uniqueCount="764">
  <si>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</si>
  <si>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</si>
  <si>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</si>
  <si>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</si>
  <si>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</si>
  <si>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</si>
  <si>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</si>
  <si>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</si>
  <si>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</si>
  <si>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</si>
  <si>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</si>
  <si>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</si>
  <si>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</si>
  <si>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</si>
  <si>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</si>
  <si>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</si>
  <si>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</si>
  <si>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</si>
  <si>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</si>
  <si>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</si>
  <si>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</si>
  <si>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</si>
  <si>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</si>
  <si>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</si>
  <si>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</si>
  <si>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</si>
  <si>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</si>
  <si>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</si>
  <si>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</si>
  <si>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</si>
  <si>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</si>
  <si>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</si>
  <si>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</si>
  <si>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</si>
  <si>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</si>
  <si>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</si>
  <si>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</si>
  <si>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</si>
  <si>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</si>
  <si>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</si>
  <si>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</si>
  <si>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</si>
  <si>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</si>
  <si>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</si>
  <si>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</si>
  <si>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</si>
  <si>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</si>
  <si>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</si>
  <si>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</si>
  <si>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</si>
  <si>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</si>
  <si>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</si>
  <si>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</si>
  <si>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</si>
  <si>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</si>
  <si>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</si>
  <si>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</si>
  <si>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</si>
  <si>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</si>
  <si>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</si>
  <si>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</si>
  <si>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</si>
  <si>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</si>
  <si>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</si>
  <si>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</si>
  <si>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</si>
  <si>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</si>
  <si>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</si>
  <si>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</si>
  <si>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</si>
  <si>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</si>
  <si>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</si>
  <si>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</si>
  <si>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</si>
  <si>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</si>
  <si>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</si>
  <si>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</si>
  <si>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</si>
  <si>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</si>
  <si>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</si>
  <si>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</si>
  <si>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</si>
  <si>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</si>
  <si>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</si>
  <si>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</si>
  <si>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</si>
  <si>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</si>
  <si>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</si>
  <si>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</si>
  <si>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</si>
  <si>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</si>
  <si>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</si>
  <si>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</si>
  <si>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</si>
  <si>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</si>
  <si>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</si>
  <si>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</si>
  <si>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</si>
  <si>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</si>
  <si>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</si>
  <si>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</si>
  <si>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</si>
  <si>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</si>
  <si>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</si>
  <si>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</si>
  <si>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</si>
  <si>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</si>
  <si>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</si>
  <si>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</si>
  <si>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</si>
  <si>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</si>
  <si>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</si>
  <si>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</si>
  <si>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</si>
  <si>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</si>
  <si>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</si>
  <si>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</si>
  <si>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</si>
  <si>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</si>
  <si>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</si>
  <si>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</si>
  <si>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</si>
  <si>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</si>
  <si>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</si>
  <si>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</si>
  <si>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</si>
  <si>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</si>
  <si>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</si>
  <si>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</si>
  <si>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</si>
  <si>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</si>
  <si>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</si>
  <si>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</si>
  <si>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</si>
  <si>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</si>
  <si>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</si>
  <si>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</si>
  <si>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</si>
  <si>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</si>
  <si>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</si>
  <si>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</si>
  <si>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</si>
  <si>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</si>
  <si>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</si>
  <si>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</si>
  <si>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</si>
  <si>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</si>
  <si>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</si>
  <si>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</si>
  <si>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</si>
  <si>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</si>
  <si>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</si>
  <si>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</si>
  <si>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</si>
  <si>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</si>
  <si>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</si>
  <si>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</si>
  <si>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</si>
  <si>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</si>
  <si>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</si>
  <si>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</si>
  <si>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</si>
  <si>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</si>
  <si>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</si>
  <si>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</si>
  <si>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</si>
  <si>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</si>
  <si>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</si>
  <si>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</si>
  <si>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</si>
  <si>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</si>
  <si>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</si>
  <si>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</si>
  <si>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</si>
  <si>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</si>
  <si>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</si>
  <si>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</si>
  <si>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</si>
  <si>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</si>
  <si>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</si>
  <si>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</si>
  <si>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</si>
  <si>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</si>
  <si>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</si>
  <si>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</si>
  <si>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</si>
  <si>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</si>
  <si>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</si>
  <si>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</si>
  <si>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</si>
  <si>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</si>
  <si>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</si>
  <si>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</si>
  <si>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</si>
  <si>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</si>
  <si>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</si>
  <si>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</si>
  <si>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</si>
  <si>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</si>
  <si>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</si>
  <si>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</si>
  <si>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</si>
  <si>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</si>
  <si>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</si>
  <si>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</si>
  <si>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</si>
  <si>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</si>
  <si>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</si>
  <si>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</si>
  <si>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</si>
  <si>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</si>
  <si>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</si>
  <si>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</si>
  <si>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</si>
  <si>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</si>
  <si>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</si>
  <si>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</si>
  <si>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</si>
  <si>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</si>
  <si>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</si>
  <si>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</si>
  <si>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</si>
  <si>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</si>
  <si>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</si>
  <si>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</si>
  <si>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</si>
  <si>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</si>
  <si>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</si>
  <si>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</si>
  <si>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</si>
  <si>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</si>
  <si>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</si>
  <si>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</si>
  <si>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</si>
  <si>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</si>
  <si>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</si>
  <si>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</si>
  <si>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</si>
  <si>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</si>
  <si>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</si>
  <si>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</si>
  <si>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</si>
  <si>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</si>
  <si>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</si>
  <si>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</si>
  <si>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</si>
  <si>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</si>
  <si>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</si>
  <si>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</si>
  <si>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</si>
  <si>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</si>
  <si>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</si>
  <si>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</si>
  <si>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</si>
  <si>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</si>
  <si>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</si>
  <si>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</si>
  <si>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</si>
  <si>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</si>
  <si>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</si>
  <si>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</si>
  <si>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</si>
  <si>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</si>
  <si>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</si>
  <si>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</si>
  <si>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</si>
  <si>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</si>
  <si>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</si>
  <si>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</si>
  <si>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</si>
  <si>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</si>
  <si>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</si>
  <si>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</si>
  <si>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</si>
  <si>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</si>
  <si>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</si>
  <si>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</si>
  <si>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</si>
  <si>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</si>
  <si>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</si>
  <si>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</si>
  <si>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</si>
  <si>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</si>
  <si>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</si>
  <si>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</si>
  <si>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</si>
  <si>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</si>
  <si>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</si>
  <si>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</si>
  <si>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</si>
  <si>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</si>
  <si>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</si>
  <si>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</si>
  <si>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</si>
  <si>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</si>
  <si>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</si>
  <si>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</si>
  <si>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</si>
  <si>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</si>
  <si>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</si>
  <si>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</si>
  <si>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</si>
  <si>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</si>
  <si>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</si>
  <si>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</si>
  <si>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</si>
  <si>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</si>
  <si>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</si>
  <si>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</si>
  <si>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</si>
  <si>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</si>
  <si>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</si>
  <si>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</si>
  <si>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</si>
  <si>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</si>
  <si>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</si>
  <si>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</si>
  <si>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</si>
  <si>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</si>
  <si>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</si>
  <si>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</si>
  <si>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</si>
  <si>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</si>
  <si>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</si>
  <si>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</si>
  <si>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</si>
  <si>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</si>
  <si>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</si>
  <si>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</si>
  <si>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</si>
  <si>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</si>
  <si>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</si>
  <si>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</si>
  <si>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</si>
  <si>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</si>
  <si>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</si>
  <si>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</si>
  <si>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</si>
  <si>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</si>
  <si>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</si>
  <si>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</si>
  <si>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</si>
  <si>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</si>
  <si>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</si>
  <si>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</si>
  <si>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</si>
  <si>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</si>
  <si>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</si>
  <si>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</si>
  <si>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</si>
  <si>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</si>
  <si>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</si>
  <si>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</si>
  <si>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</si>
  <si>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</si>
  <si>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</si>
  <si>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</si>
  <si>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</si>
  <si>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</si>
  <si>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</si>
  <si>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</si>
  <si>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</si>
  <si>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</si>
  <si>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</si>
  <si>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</si>
  <si>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</si>
  <si>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</si>
  <si>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</si>
  <si>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</si>
  <si>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</si>
  <si>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</si>
  <si>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</si>
  <si>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</si>
  <si>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</si>
  <si>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</si>
  <si>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</si>
  <si>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</si>
  <si>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</si>
  <si>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</si>
  <si>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</si>
  <si>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</si>
  <si>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</si>
  <si>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</si>
  <si>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</si>
  <si>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</si>
  <si>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</si>
  <si>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</si>
  <si>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</si>
  <si>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</si>
  <si>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</si>
  <si>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</si>
  <si>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</si>
  <si>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</si>
  <si>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</si>
  <si>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</si>
  <si>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</si>
  <si>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</si>
  <si>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</si>
  <si>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</si>
  <si>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</si>
  <si>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</si>
  <si>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</si>
  <si>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</si>
  <si>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</si>
  <si>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</si>
  <si>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</si>
  <si>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</si>
  <si>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</si>
  <si>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</si>
  <si>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</si>
  <si>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</si>
  <si>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</si>
  <si>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</si>
  <si>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</si>
  <si>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</si>
  <si>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</si>
  <si>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</si>
  <si>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</si>
  <si>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</si>
  <si>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</si>
  <si>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</si>
  <si>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</si>
  <si>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</si>
  <si>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</si>
  <si>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</si>
  <si>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</si>
  <si>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</si>
  <si>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</si>
  <si>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</si>
  <si>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</si>
  <si>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</si>
  <si>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</si>
  <si>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</si>
  <si>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</si>
  <si>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</si>
  <si>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</si>
  <si>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</si>
  <si>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</si>
  <si>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</si>
  <si>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</si>
  <si>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</si>
  <si>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</si>
  <si>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</si>
  <si>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</si>
  <si>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</si>
  <si>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</si>
  <si>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</si>
  <si>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</si>
  <si>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</si>
  <si>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</si>
  <si>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</si>
  <si>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</si>
  <si>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</si>
  <si>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</si>
  <si>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</si>
  <si>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</si>
  <si>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</si>
  <si>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</si>
  <si>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</si>
  <si>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</si>
  <si>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</si>
  <si>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</si>
  <si>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</si>
  <si>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</si>
  <si>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</si>
  <si>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</si>
  <si>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</si>
  <si>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</si>
  <si>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</si>
  <si>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</si>
  <si>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</si>
  <si>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</si>
  <si>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</si>
  <si>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</si>
  <si>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</si>
  <si>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</si>
  <si>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</si>
  <si>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</si>
  <si>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</si>
  <si>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</si>
  <si>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</si>
  <si>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</si>
  <si>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</si>
  <si>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</si>
  <si>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</si>
  <si>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</si>
  <si>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</si>
  <si>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</si>
  <si>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</si>
  <si>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</si>
  <si>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</si>
  <si>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</si>
  <si>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</si>
  <si>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</si>
  <si>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</si>
  <si>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</si>
  <si>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</si>
  <si>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</si>
  <si>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</si>
  <si>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</si>
  <si>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</si>
  <si>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</si>
  <si>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</si>
  <si>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</si>
  <si>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</si>
  <si>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</si>
  <si>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</si>
  <si>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</si>
  <si>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</si>
  <si>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</si>
  <si>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</si>
  <si>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</si>
  <si>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</si>
  <si>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</si>
  <si>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</si>
  <si>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</si>
  <si>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</si>
  <si>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</si>
  <si>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</si>
  <si>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</si>
  <si>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</si>
  <si>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</si>
  <si>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</si>
  <si>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</si>
  <si>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</si>
  <si>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</si>
  <si>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</si>
  <si>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</si>
  <si>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</si>
  <si>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</si>
  <si>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</si>
  <si>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</si>
  <si>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</si>
  <si>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</si>
  <si>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</si>
  <si>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</si>
  <si>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</si>
  <si>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</si>
  <si>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</si>
  <si>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</si>
  <si>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</si>
  <si>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</si>
  <si>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</si>
  <si>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</si>
  <si>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</si>
  <si>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</si>
  <si>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</si>
  <si>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</si>
  <si>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</si>
  <si>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</si>
  <si>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</si>
  <si>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</si>
  <si>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</si>
  <si>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</si>
  <si>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</si>
  <si>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</si>
  <si>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</si>
  <si>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</si>
  <si>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</si>
  <si>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</si>
  <si>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</si>
  <si>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</si>
  <si>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</si>
  <si>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</si>
  <si>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</si>
  <si>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</si>
  <si>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</si>
  <si>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</si>
  <si>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</si>
  <si>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</si>
  <si>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</si>
  <si>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</si>
  <si>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</si>
  <si>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</si>
  <si>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</si>
  <si>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</si>
  <si>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</si>
  <si>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</si>
  <si>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</si>
  <si>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</si>
  <si>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</si>
  <si>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</si>
  <si>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</si>
  <si>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</si>
  <si>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</si>
  <si>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</si>
  <si>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</si>
  <si>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</si>
  <si>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</si>
  <si>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</si>
  <si>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</si>
  <si>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</si>
  <si>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</si>
  <si>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</si>
  <si>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</si>
  <si>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</si>
  <si>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</si>
  <si>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</si>
  <si>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</si>
  <si>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</si>
  <si>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</si>
  <si>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</si>
  <si>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</si>
  <si>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</si>
  <si>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</si>
  <si>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</si>
  <si>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</si>
  <si>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</si>
  <si>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</si>
  <si>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</si>
  <si>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</si>
  <si>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</si>
  <si>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</si>
  <si>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</si>
  <si>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</si>
  <si>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</si>
  <si>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</si>
  <si>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</si>
  <si>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</si>
  <si>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</si>
  <si>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</si>
  <si>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</si>
  <si>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</si>
  <si>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</si>
  <si>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</si>
  <si>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</si>
  <si>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</si>
  <si>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</si>
  <si>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</si>
  <si>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</si>
  <si>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</si>
  <si>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</si>
  <si>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</si>
  <si>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</si>
  <si>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</si>
  <si>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</si>
  <si>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</si>
  <si>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</si>
  <si>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</si>
  <si>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</si>
  <si>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</si>
  <si>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</si>
  <si>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</si>
  <si>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</si>
  <si>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</si>
  <si>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</si>
  <si>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</si>
  <si>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</si>
  <si>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</si>
  <si>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</si>
  <si>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</si>
  <si>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</si>
  <si>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</si>
  <si>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</si>
  <si>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</si>
  <si>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</si>
  <si>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</si>
  <si>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</si>
  <si>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</si>
  <si>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</si>
  <si>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</si>
  <si>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</si>
  <si>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</si>
  <si>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</si>
  <si>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</si>
  <si>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</si>
  <si>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</si>
  <si>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</si>
  <si>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</si>
  <si>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</si>
  <si>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</si>
  <si>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</si>
  <si>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</si>
  <si>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</si>
  <si>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</si>
  <si>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</si>
  <si>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</si>
  <si>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</si>
  <si>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</si>
  <si>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</si>
  <si>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</si>
  <si>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</si>
  <si>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</si>
  <si>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</si>
  <si>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</si>
  <si>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</si>
  <si>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</si>
  <si>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</si>
  <si>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</si>
  <si>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</si>
  <si>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</si>
  <si>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</si>
  <si>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</si>
  <si>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</si>
  <si>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</si>
  <si>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</si>
  <si>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</si>
  <si>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</si>
  <si>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</si>
  <si>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</si>
  <si>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</si>
  <si>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</si>
  <si>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</si>
  <si>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</si>
  <si>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</si>
  <si>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</si>
  <si>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</si>
  <si>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</si>
  <si>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</si>
  <si>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</si>
  <si>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</si>
  <si>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</si>
  <si>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</si>
  <si>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</si>
  <si>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</si>
  <si>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</si>
  <si>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</si>
  <si>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</si>
  <si>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</si>
  <si>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</si>
  <si>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</si>
  <si>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</si>
  <si>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</si>
  <si>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</si>
  <si>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</si>
  <si>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</si>
  <si>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</si>
  <si>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</si>
  <si>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</si>
  <si>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</si>
  <si>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</si>
  <si>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</si>
  <si>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</si>
  <si>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</si>
  <si>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</si>
  <si>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</si>
  <si>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</si>
  <si>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</si>
  <si>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</si>
  <si>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</si>
  <si>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</si>
  <si>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</si>
  <si>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</si>
  <si>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</si>
  <si>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Furley Improvement District</t>
  </si>
  <si>
    <t>Sedgwick County</t>
  </si>
  <si>
    <t>August 13, 2012</t>
  </si>
  <si>
    <t>7:00 p.m.</t>
  </si>
  <si>
    <t>10730 N Ave E,  Valley Center, Ks 67147</t>
  </si>
  <si>
    <t>Specials Bond &amp; Int</t>
  </si>
  <si>
    <t>Sewer Revenue</t>
  </si>
  <si>
    <t>none</t>
  </si>
  <si>
    <t>Service Chg</t>
  </si>
  <si>
    <t>Delinq Service Chg Transfer From Spec</t>
  </si>
  <si>
    <t>Maintenance &amp; Repairs</t>
  </si>
  <si>
    <t>Permits</t>
  </si>
  <si>
    <t>Publication Costs</t>
  </si>
  <si>
    <t>Treasurer's Bond</t>
  </si>
  <si>
    <t>Real Estate Tax</t>
  </si>
  <si>
    <t>Insurance &amp; Legal</t>
  </si>
  <si>
    <t>19-2765</t>
  </si>
  <si>
    <t>Specials/Bond &amp; Int</t>
  </si>
  <si>
    <t>Delinquent Sewer Revenue</t>
  </si>
  <si>
    <t>Transfer to Sewer Revenue acct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</si>
</sst>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8" sqref="A8"/>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
      <selection activeCell="B29" sqref="B29"/>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Furley Improvement District</v>
      </c>
      <c r="B1" s="18"/>
      <c r="C1" s="18"/>
      <c r="D1" s="18"/>
      <c r="E1" s="18"/>
      <c r="F1" s="18"/>
      <c r="G1" s="18"/>
      <c r="H1" s="18"/>
      <c r="I1" s="18"/>
      <c r="J1" s="18"/>
      <c r="K1" s="192">
        <f>inputPrYr!D6</f>
        <v>2013</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t="s">
        <v>751</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205" t="s">
        <v>751</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t="s">
        <v>751</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t="s">
        <v>751</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4">
      <selection activeCell="B32" sqref="B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Furley Improvement District</v>
      </c>
      <c r="C1" s="241"/>
      <c r="D1" s="18"/>
      <c r="E1" s="192"/>
    </row>
    <row r="2" spans="2:5" ht="15.75">
      <c r="B2" s="18" t="str">
        <f>inputPrYr!D4</f>
        <v>Sedgwick County</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163</v>
      </c>
      <c r="D7" s="404">
        <f>C51</f>
        <v>163</v>
      </c>
      <c r="E7" s="47">
        <f>D51</f>
        <v>163</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0</v>
      </c>
      <c r="D28" s="399">
        <f>SUM(D9:D26)</f>
        <v>0</v>
      </c>
      <c r="E28" s="254">
        <f>SUM(E9:E26)</f>
        <v>0</v>
      </c>
    </row>
    <row r="29" spans="2:5" ht="15.75">
      <c r="B29" s="253" t="s">
        <v>40</v>
      </c>
      <c r="C29" s="399">
        <f>C7+C28</f>
        <v>163</v>
      </c>
      <c r="D29" s="399">
        <f>D7+D28</f>
        <v>163</v>
      </c>
      <c r="E29" s="254">
        <f>E7+E28</f>
        <v>163</v>
      </c>
    </row>
    <row r="30" spans="2:5" ht="15.75">
      <c r="B30" s="122" t="s">
        <v>41</v>
      </c>
      <c r="C30" s="126"/>
      <c r="D30" s="126"/>
      <c r="E30" s="38"/>
    </row>
    <row r="31" spans="2:5" ht="15.75">
      <c r="B31" s="248" t="s">
        <v>751</v>
      </c>
      <c r="C31" s="397"/>
      <c r="D31" s="397"/>
      <c r="E31" s="209"/>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163</v>
      </c>
      <c r="H45" s="553" t="str">
        <f>CONCATENATE("",F3-1," Ending Cash Balance (est.)")</f>
        <v>2012 Ending Cash Balance (est.)</v>
      </c>
      <c r="I45" s="543"/>
      <c r="J45" s="544"/>
    </row>
    <row r="46" spans="2:10" ht="15.75">
      <c r="B46" s="248"/>
      <c r="C46" s="397"/>
      <c r="D46" s="397"/>
      <c r="E46" s="209"/>
      <c r="G46" s="554">
        <f>E28</f>
        <v>0</v>
      </c>
      <c r="H46" s="543" t="str">
        <f>CONCATENATE("",F3," Non-AV Receipts (est.)")</f>
        <v>2013 Non-AV Receipts (est.)</v>
      </c>
      <c r="I46" s="543"/>
      <c r="J46" s="544"/>
    </row>
    <row r="47" spans="2:10" ht="15.75">
      <c r="B47" s="126" t="s">
        <v>229</v>
      </c>
      <c r="C47" s="397"/>
      <c r="D47" s="397"/>
      <c r="E47" s="214">
        <f>Nhood!E7</f>
      </c>
      <c r="G47" s="542">
        <f>E57</f>
        <v>0</v>
      </c>
      <c r="H47" s="543" t="str">
        <f>CONCATENATE("",F3," Ad Valorem Tax (est.)")</f>
        <v>2013 Ad Valorem Tax (est.)</v>
      </c>
      <c r="I47" s="543"/>
      <c r="J47" s="544"/>
    </row>
    <row r="48" spans="2:10" ht="15.75">
      <c r="B48" s="126" t="s">
        <v>228</v>
      </c>
      <c r="C48" s="397"/>
      <c r="D48" s="397"/>
      <c r="E48" s="37"/>
      <c r="G48" s="554">
        <f>SUM(G45:G47)</f>
        <v>163</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0</v>
      </c>
      <c r="E50" s="254">
        <f>SUM(E31:E48)</f>
        <v>0</v>
      </c>
      <c r="G50" s="542">
        <f>C50*0.05+C50</f>
        <v>0</v>
      </c>
      <c r="H50" s="543" t="str">
        <f>CONCATENATE("Less ",F3-2," Expenditures + 5%")</f>
        <v>Less 2011 Expenditures + 5%</v>
      </c>
      <c r="I50" s="543"/>
      <c r="J50" s="544"/>
    </row>
    <row r="51" spans="2:10" ht="15.75">
      <c r="B51" s="122" t="s">
        <v>129</v>
      </c>
      <c r="C51" s="400">
        <f>C29-C50</f>
        <v>163</v>
      </c>
      <c r="D51" s="400">
        <f>D29-D50</f>
        <v>163</v>
      </c>
      <c r="E51" s="135" t="s">
        <v>28</v>
      </c>
      <c r="G51" s="540">
        <f>G48-G50</f>
        <v>163</v>
      </c>
      <c r="H51" s="539" t="str">
        <f>CONCATENATE("Projected ",F3+1," Carryover (est.)")</f>
        <v>Projected 2014 Carryover (est.)</v>
      </c>
      <c r="I51" s="525"/>
      <c r="J51" s="538"/>
    </row>
    <row r="52" spans="2:10" ht="15.75">
      <c r="B52" s="145" t="str">
        <f>CONCATENATE("",F3-2,"/",F3-1," Budget Authority Amount:")</f>
        <v>2011/2012 Budget Authority Amount:</v>
      </c>
      <c r="C52" s="123">
        <f>inputOth!B42</f>
        <v>0</v>
      </c>
      <c r="D52" s="425">
        <f>inputPrYr!D19</f>
        <v>0</v>
      </c>
      <c r="E52" s="135" t="s">
        <v>28</v>
      </c>
      <c r="F52" s="255"/>
      <c r="G52" s="16"/>
      <c r="H52" s="16"/>
      <c r="I52" s="16"/>
      <c r="J52" s="16"/>
    </row>
    <row r="53" spans="2:10" ht="15.75">
      <c r="B53" s="145"/>
      <c r="C53" s="637" t="s">
        <v>684</v>
      </c>
      <c r="D53" s="638"/>
      <c r="E53" s="37"/>
      <c r="F53" s="255">
        <f>IF(E50/0.95-E50&lt;E53,"Exceeds 5%","")</f>
      </c>
      <c r="G53" s="537">
        <f>IF(inputOth!E7=0,"",ROUND(gen!E57/inputOth!E7*1000,3))</f>
      </c>
      <c r="H53" s="536" t="str">
        <f>CONCATENATE("Projected ",F3-1," Mill Rate (est.)")</f>
        <v>Projected 2012 Mill Rate (est.)</v>
      </c>
      <c r="I53" s="535"/>
      <c r="J53" s="534"/>
    </row>
    <row r="54" spans="2:10" ht="15.75">
      <c r="B54" s="423" t="str">
        <f>CONCATENATE(C70,"     ",D70)</f>
        <v>     </v>
      </c>
      <c r="C54" s="639" t="s">
        <v>685</v>
      </c>
      <c r="D54" s="640"/>
      <c r="E54" s="47">
        <f>E50+E53</f>
        <v>0</v>
      </c>
      <c r="G54" s="533"/>
      <c r="H54" s="533"/>
      <c r="I54" s="533"/>
      <c r="J54" s="533"/>
    </row>
    <row r="55" spans="2:10" ht="15.75">
      <c r="B55" s="423" t="str">
        <f>CONCATENATE(C71,"     ",D71)</f>
        <v>     </v>
      </c>
      <c r="C55" s="559"/>
      <c r="D55" s="558" t="s">
        <v>686</v>
      </c>
      <c r="E55" s="44">
        <f>IF(E54-E29&gt;0,E54-E29,0)</f>
        <v>0</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Furley Improvement District</v>
      </c>
      <c r="B4" s="598"/>
      <c r="C4" s="598"/>
      <c r="D4" s="598"/>
      <c r="E4" s="598"/>
      <c r="F4" s="598"/>
      <c r="G4" s="598"/>
      <c r="H4" s="598"/>
    </row>
    <row r="5" spans="1:8" ht="15.75">
      <c r="A5" s="661" t="str">
        <f>inputPrYr!D4</f>
        <v>Sedgwick County</v>
      </c>
      <c r="B5" s="661"/>
      <c r="C5" s="661"/>
      <c r="D5" s="661"/>
      <c r="E5" s="661"/>
      <c r="F5" s="661"/>
      <c r="G5" s="661"/>
      <c r="H5" s="661"/>
    </row>
    <row r="6" spans="1:8" ht="15.75">
      <c r="A6" s="650" t="str">
        <f>CONCATENATE("will meet on ",inputBudSum!B5," at ",inputBudSum!B7," at ",inputBudSum!B9," for the purpose of hearing and")</f>
        <v>will meet on August 13, 2012 at 7:00 p.m. at 10730 N Ave E,  Valley Center, Ks 67147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10730 N Ave E,  Valley Center, Ks 67147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0</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t="str">
        <f>IF(gen!$C$50&lt;&gt;0,gen!$C$50,"  ")</f>
        <v>  </v>
      </c>
      <c r="C16" s="125" t="str">
        <f>IF(inputPrYr!D38&gt;0,inputPrYr!D38,"  ")</f>
        <v>  </v>
      </c>
      <c r="D16" s="128" t="str">
        <f>IF(gen!$D$50&lt;&gt;0,gen!$D$50,"  ")</f>
        <v>  </v>
      </c>
      <c r="E16" s="125" t="str">
        <f>IF(inputOth!D16&gt;0,inputOth!D16,"  ")</f>
        <v>  </v>
      </c>
      <c r="F16" s="128" t="str">
        <f>IF(gen!$E$50&lt;&gt;0,gen!$E$50,"  ")</f>
        <v>  </v>
      </c>
      <c r="G16" s="128" t="str">
        <f>IF(gen!$E$57&lt;&gt;0,gen!$E$57,"  ")</f>
        <v>  </v>
      </c>
      <c r="H16" s="125" t="str">
        <f>IF(gen!E57&gt;0,ROUND(G16/$F$27*1000,3)," ")</f>
        <v> </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none</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Sewer Revenue</v>
      </c>
      <c r="B20" s="128">
        <f>IF(nolevypage9!$C$31&lt;&gt;0,nolevypage9!$C$31,"  ")</f>
        <v>2378</v>
      </c>
      <c r="C20" s="38"/>
      <c r="D20" s="128">
        <f>IF(nolevypage9!$D$31&lt;&gt;0,nolevypage9!$D$31,"  ")</f>
        <v>9170</v>
      </c>
      <c r="E20" s="38"/>
      <c r="F20" s="128">
        <f>IF(nolevypage9!$E$31&lt;&gt;0,nolevypage9!$E$31,"  ")</f>
        <v>13745</v>
      </c>
      <c r="G20" s="128"/>
      <c r="H20" s="38"/>
      <c r="J20" s="576">
        <f>IF(M20&gt;0,"Increased By:","")</f>
      </c>
      <c r="K20" s="577"/>
      <c r="L20" s="577"/>
      <c r="M20" s="578">
        <f>IF(M27&lt;0,M27*-1,0)</f>
        <v>0</v>
      </c>
    </row>
    <row r="21" spans="1:13" ht="15.75">
      <c r="A21" s="38" t="str">
        <f>IF(inputPrYr!$B27&gt;"  ",inputPrYr!$B27,"  ")</f>
        <v>Specials/Bond &amp; Int</v>
      </c>
      <c r="B21" s="128">
        <f>IF(nolevypage9!$C$64&lt;&gt;0,nolevypage9!$C$64,"  ")</f>
        <v>301</v>
      </c>
      <c r="C21" s="38"/>
      <c r="D21" s="128">
        <f>IF(nolevypage9!$D$64&lt;&gt;0,nolevypage9!$D$64,"  ")</f>
        <v>151</v>
      </c>
      <c r="E21" s="38"/>
      <c r="F21" s="128">
        <f>IF(nolevypage9!$E$64&lt;&gt;0,nolevypage9!$E$64,"  ")</f>
        <v>151</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2679</v>
      </c>
      <c r="C23" s="549">
        <f aca="true" t="shared" si="0" ref="C23:H23">SUM(C16:C21)</f>
        <v>0</v>
      </c>
      <c r="D23" s="321">
        <f t="shared" si="0"/>
        <v>9321</v>
      </c>
      <c r="E23" s="549">
        <f t="shared" si="0"/>
        <v>0</v>
      </c>
      <c r="F23" s="321">
        <f t="shared" si="0"/>
        <v>13896</v>
      </c>
      <c r="G23" s="321">
        <f t="shared" si="0"/>
        <v>0</v>
      </c>
      <c r="H23" s="549">
        <f t="shared" si="0"/>
        <v>0</v>
      </c>
      <c r="J23" s="651" t="str">
        <f>CONCATENATE("Impact On Keeping The Same Mill Rate As For ",I3-1,"")</f>
        <v>Impact On Keeping The Same Mill Rate As For 2012</v>
      </c>
      <c r="K23" s="656"/>
      <c r="L23" s="656"/>
      <c r="M23" s="657"/>
    </row>
    <row r="24" spans="1:13" ht="15.75">
      <c r="A24" s="35" t="s">
        <v>173</v>
      </c>
      <c r="B24" s="214">
        <f>transfers!C26</f>
        <v>301</v>
      </c>
      <c r="C24" s="133"/>
      <c r="D24" s="214">
        <f>transfers!D26</f>
        <v>151</v>
      </c>
      <c r="E24" s="133"/>
      <c r="F24" s="318">
        <f>transfers!E26</f>
        <v>151</v>
      </c>
      <c r="G24" s="260"/>
      <c r="H24" s="319"/>
      <c r="J24" s="573"/>
      <c r="K24" s="568"/>
      <c r="L24" s="568"/>
      <c r="M24" s="574"/>
    </row>
    <row r="25" spans="1:13" ht="16.5" thickBot="1">
      <c r="A25" s="35" t="s">
        <v>174</v>
      </c>
      <c r="B25" s="136">
        <f>SUM(B23-B24)</f>
        <v>2378</v>
      </c>
      <c r="C25" s="320"/>
      <c r="D25" s="136">
        <f>SUM(D23-D24)</f>
        <v>9170</v>
      </c>
      <c r="E25" s="320"/>
      <c r="F25" s="546">
        <f>SUM(F23-F24)</f>
        <v>13745</v>
      </c>
      <c r="G25" s="260"/>
      <c r="H25" s="319"/>
      <c r="J25" s="573" t="str">
        <f>CONCATENATE("",I3," Ad Valorem Tax Revenue:")</f>
        <v>2013 Ad Valorem Tax Revenue:</v>
      </c>
      <c r="K25" s="568"/>
      <c r="L25" s="568"/>
      <c r="M25" s="569">
        <f>G23</f>
        <v>0</v>
      </c>
    </row>
    <row r="26" spans="1:13" ht="16.5" thickTop="1">
      <c r="A26" s="35" t="s">
        <v>54</v>
      </c>
      <c r="B26" s="321">
        <f>inputPrYr!E44</f>
        <v>0</v>
      </c>
      <c r="C26" s="230"/>
      <c r="D26" s="321">
        <f>inputPrYr!E24</f>
        <v>0</v>
      </c>
      <c r="E26" s="230"/>
      <c r="F26" s="322" t="s">
        <v>179</v>
      </c>
      <c r="G26" s="18"/>
      <c r="H26" s="18"/>
      <c r="J26" s="573" t="str">
        <f>CONCATENATE("",I3-1," Ad Valorem Tax Revenue:")</f>
        <v>2012 Ad Valorem Tax Revenue:</v>
      </c>
      <c r="K26" s="568"/>
      <c r="L26" s="568"/>
      <c r="M26" s="582">
        <f>ROUND(F27*M18/1000,0)</f>
        <v>0</v>
      </c>
    </row>
    <row r="27" spans="1:13" ht="15.75">
      <c r="A27" s="35" t="s">
        <v>175</v>
      </c>
      <c r="B27" s="214">
        <f>inputPrYr!E45</f>
        <v>434475</v>
      </c>
      <c r="C27" s="230"/>
      <c r="D27" s="214">
        <f>inputOth!E24</f>
        <v>451912</v>
      </c>
      <c r="E27" s="230"/>
      <c r="F27" s="214">
        <f>inputOth!E7</f>
        <v>0</v>
      </c>
      <c r="G27" s="18"/>
      <c r="H27" s="18"/>
      <c r="J27" s="583" t="s">
        <v>693</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10</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43">
      <selection activeCell="F63" sqref="F63"/>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Furley Improvement District</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v>0</v>
      </c>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v>7</v>
      </c>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62">
      <selection activeCell="C81" sqref="C8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Furley Improvement District</v>
      </c>
      <c r="C1" s="18"/>
      <c r="D1" s="18"/>
      <c r="E1" s="192"/>
    </row>
    <row r="2" spans="2:5" ht="15.75">
      <c r="B2" s="18" t="str">
        <f>inputPrYr!D4</f>
        <v>Sedgwick County</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t="str">
        <f>inputPrYr!B22</f>
        <v>none</v>
      </c>
      <c r="C6" s="403" t="str">
        <f>CONCATENATE("Actual ",$F$3-2,"")</f>
        <v>Actual 2011</v>
      </c>
      <c r="D6" s="403" t="str">
        <f>CONCATENATE("Estimate ",F3-1,"")</f>
        <v>Estimate 2012</v>
      </c>
      <c r="E6" s="244" t="str">
        <f>CONCATENATE("Year ",F3,"")</f>
        <v>Year 2013</v>
      </c>
    </row>
    <row r="7" spans="2:5" ht="15.75">
      <c r="B7" s="122" t="s">
        <v>128</v>
      </c>
      <c r="C7" s="397">
        <v>0</v>
      </c>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v>8</v>
      </c>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42">
      <selection activeCell="C7" sqref="C7"/>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Furley Improvement District</v>
      </c>
      <c r="C1" s="241"/>
      <c r="D1" s="18"/>
      <c r="E1" s="192"/>
    </row>
    <row r="2" spans="2:5" ht="15.75">
      <c r="B2" s="18" t="str">
        <f>inputPrYr!D4</f>
        <v>Sedgwick County</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t="str">
        <f>inputPrYr!B26</f>
        <v>Sewer Revenue</v>
      </c>
      <c r="C6" s="244" t="str">
        <f>CONCATENATE("Actual ",F3-2,"")</f>
        <v>Actual 2011</v>
      </c>
      <c r="D6" s="244" t="str">
        <f>CONCATENATE("Estimate ",F3-1,"")</f>
        <v>Estimate 2012</v>
      </c>
      <c r="E6" s="244" t="str">
        <f>CONCATENATE("Year ",F3,"")</f>
        <v>Year 2013</v>
      </c>
    </row>
    <row r="7" spans="2:5" ht="15.75">
      <c r="B7" s="122" t="s">
        <v>128</v>
      </c>
      <c r="C7" s="37">
        <v>62274</v>
      </c>
      <c r="D7" s="47">
        <f>C32</f>
        <v>64678</v>
      </c>
      <c r="E7" s="47">
        <f>D32</f>
        <v>60177</v>
      </c>
    </row>
    <row r="8" spans="2:5" ht="15.75">
      <c r="B8" s="246" t="s">
        <v>130</v>
      </c>
      <c r="C8" s="38"/>
      <c r="D8" s="38"/>
      <c r="E8" s="38"/>
    </row>
    <row r="9" spans="2:5" ht="15.75">
      <c r="B9" s="248" t="s">
        <v>752</v>
      </c>
      <c r="C9" s="209">
        <v>4481</v>
      </c>
      <c r="D9" s="209">
        <v>4518</v>
      </c>
      <c r="E9" s="209">
        <v>4518</v>
      </c>
    </row>
    <row r="10" spans="2:5" ht="15.75">
      <c r="B10" s="248" t="s">
        <v>753</v>
      </c>
      <c r="C10" s="209">
        <v>301</v>
      </c>
      <c r="D10" s="209">
        <v>151</v>
      </c>
      <c r="E10" s="209">
        <v>151</v>
      </c>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4782</v>
      </c>
      <c r="D19" s="254">
        <f>SUM(D9:D17)</f>
        <v>4669</v>
      </c>
      <c r="E19" s="254">
        <f>SUM(E9:E17)</f>
        <v>4669</v>
      </c>
    </row>
    <row r="20" spans="2:5" ht="15.75">
      <c r="B20" s="253" t="s">
        <v>40</v>
      </c>
      <c r="C20" s="254">
        <f>C19+C7</f>
        <v>67056</v>
      </c>
      <c r="D20" s="254">
        <f>D19+D7</f>
        <v>69347</v>
      </c>
      <c r="E20" s="254">
        <f>E19+E7</f>
        <v>64846</v>
      </c>
    </row>
    <row r="21" spans="2:5" ht="15.75">
      <c r="B21" s="122" t="s">
        <v>41</v>
      </c>
      <c r="C21" s="38"/>
      <c r="D21" s="38"/>
      <c r="E21" s="38"/>
    </row>
    <row r="22" spans="2:5" ht="15.75">
      <c r="B22" s="248" t="s">
        <v>754</v>
      </c>
      <c r="C22" s="209">
        <v>1050</v>
      </c>
      <c r="D22" s="209">
        <v>3500</v>
      </c>
      <c r="E22" s="209">
        <v>8000</v>
      </c>
    </row>
    <row r="23" spans="2:5" ht="15.75">
      <c r="B23" s="248" t="s">
        <v>755</v>
      </c>
      <c r="C23" s="209">
        <v>185</v>
      </c>
      <c r="D23" s="209">
        <v>400</v>
      </c>
      <c r="E23" s="209">
        <v>400</v>
      </c>
    </row>
    <row r="24" spans="2:5" ht="15.75">
      <c r="B24" s="248" t="s">
        <v>756</v>
      </c>
      <c r="C24" s="209">
        <v>75</v>
      </c>
      <c r="D24" s="209">
        <v>150</v>
      </c>
      <c r="E24" s="209">
        <v>175</v>
      </c>
    </row>
    <row r="25" spans="2:5" ht="15.75">
      <c r="B25" s="248" t="s">
        <v>757</v>
      </c>
      <c r="C25" s="209">
        <v>100</v>
      </c>
      <c r="D25" s="209">
        <v>150</v>
      </c>
      <c r="E25" s="209">
        <v>150</v>
      </c>
    </row>
    <row r="26" spans="2:5" ht="15.75">
      <c r="B26" s="248" t="s">
        <v>758</v>
      </c>
      <c r="C26" s="209">
        <v>14</v>
      </c>
      <c r="D26" s="209">
        <v>20</v>
      </c>
      <c r="E26" s="209">
        <v>20</v>
      </c>
    </row>
    <row r="27" spans="2:5" ht="15.75">
      <c r="B27" s="248" t="s">
        <v>759</v>
      </c>
      <c r="C27" s="209">
        <v>954</v>
      </c>
      <c r="D27" s="209">
        <v>4500</v>
      </c>
      <c r="E27" s="209">
        <v>4500</v>
      </c>
    </row>
    <row r="28" spans="2:5" ht="15.75">
      <c r="B28" s="248"/>
      <c r="C28" s="209"/>
      <c r="D28" s="209"/>
      <c r="E28" s="209"/>
    </row>
    <row r="29" spans="2:5" ht="15.75">
      <c r="B29" s="126" t="s">
        <v>228</v>
      </c>
      <c r="C29" s="37"/>
      <c r="D29" s="245">
        <v>450</v>
      </c>
      <c r="E29" s="245">
        <v>500</v>
      </c>
    </row>
    <row r="30" spans="2:5" ht="15.75">
      <c r="B30" s="126" t="s">
        <v>581</v>
      </c>
      <c r="C30" s="424">
        <f>IF(C31*0.1&lt;C29,"Exceed 10% Rule","")</f>
      </c>
      <c r="D30" s="252">
        <f>IF(D31*0.1&lt;D29,"Exceed 10% Rule","")</f>
      </c>
      <c r="E30" s="252">
        <f>IF(E31*0.1&lt;E29,"Exceed 10% Rule","")</f>
      </c>
    </row>
    <row r="31" spans="2:5" ht="15.75">
      <c r="B31" s="253" t="s">
        <v>42</v>
      </c>
      <c r="C31" s="254">
        <f>SUM(C22:C29)</f>
        <v>2378</v>
      </c>
      <c r="D31" s="254">
        <f>SUM(D22:D29)</f>
        <v>9170</v>
      </c>
      <c r="E31" s="254">
        <f>SUM(E22:E29)</f>
        <v>13745</v>
      </c>
    </row>
    <row r="32" spans="2:5" ht="15.75">
      <c r="B32" s="122" t="s">
        <v>129</v>
      </c>
      <c r="C32" s="44">
        <f>C20-C31</f>
        <v>64678</v>
      </c>
      <c r="D32" s="44">
        <f>D20-D31</f>
        <v>60177</v>
      </c>
      <c r="E32" s="44">
        <f>E20-E31</f>
        <v>51101</v>
      </c>
    </row>
    <row r="33" spans="2:5" ht="15.75">
      <c r="B33" s="145" t="str">
        <f>CONCATENATE("",F3-2,"/",F3-1," Budget Authority Amount:")</f>
        <v>2011/2012 Budget Authority Amount:</v>
      </c>
      <c r="C33" s="123">
        <f>inputOth!B46</f>
        <v>13745</v>
      </c>
      <c r="D33" s="123">
        <f>inputPrYr!D26</f>
        <v>13745</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t="str">
        <f>inputPrYr!B27</f>
        <v>Specials/Bond &amp; Int</v>
      </c>
      <c r="C39" s="244" t="str">
        <f>C6</f>
        <v>Actual 2011</v>
      </c>
      <c r="D39" s="244" t="str">
        <f>D6</f>
        <v>Estimate 2012</v>
      </c>
      <c r="E39" s="244" t="str">
        <f>E6</f>
        <v>Year 2013</v>
      </c>
    </row>
    <row r="40" spans="2:5" ht="15.75">
      <c r="B40" s="122" t="s">
        <v>128</v>
      </c>
      <c r="C40" s="37">
        <v>156</v>
      </c>
      <c r="D40" s="47">
        <f>C65</f>
        <v>156</v>
      </c>
      <c r="E40" s="47">
        <f>D65</f>
        <v>156</v>
      </c>
    </row>
    <row r="41" spans="2:5" ht="15.75">
      <c r="B41" s="246" t="s">
        <v>130</v>
      </c>
      <c r="C41" s="38"/>
      <c r="D41" s="38"/>
      <c r="E41" s="38"/>
    </row>
    <row r="42" spans="2:5" ht="15.75">
      <c r="B42" s="248" t="s">
        <v>762</v>
      </c>
      <c r="C42" s="209">
        <v>301</v>
      </c>
      <c r="D42" s="209">
        <v>151</v>
      </c>
      <c r="E42" s="209">
        <v>151</v>
      </c>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301</v>
      </c>
      <c r="D52" s="254">
        <f>SUM(D42:D50)</f>
        <v>151</v>
      </c>
      <c r="E52" s="254">
        <f>SUM(E42:E50)</f>
        <v>151</v>
      </c>
    </row>
    <row r="53" spans="2:5" ht="15.75">
      <c r="B53" s="253" t="s">
        <v>40</v>
      </c>
      <c r="C53" s="254">
        <f>C52+C40</f>
        <v>457</v>
      </c>
      <c r="D53" s="254">
        <f>D52+D40</f>
        <v>307</v>
      </c>
      <c r="E53" s="254">
        <f>E52+E40</f>
        <v>307</v>
      </c>
    </row>
    <row r="54" spans="2:5" ht="15.75">
      <c r="B54" s="122" t="s">
        <v>41</v>
      </c>
      <c r="C54" s="38"/>
      <c r="D54" s="38"/>
      <c r="E54" s="38"/>
    </row>
    <row r="55" spans="2:5" ht="15.75">
      <c r="B55" s="248" t="s">
        <v>763</v>
      </c>
      <c r="C55" s="209">
        <v>301</v>
      </c>
      <c r="D55" s="209">
        <v>151</v>
      </c>
      <c r="E55" s="209">
        <v>151</v>
      </c>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301</v>
      </c>
      <c r="D64" s="254">
        <f>SUM(D55:D62)</f>
        <v>151</v>
      </c>
      <c r="E64" s="254">
        <f>SUM(E55:E62)</f>
        <v>151</v>
      </c>
    </row>
    <row r="65" spans="2:5" ht="15.75">
      <c r="B65" s="122" t="s">
        <v>129</v>
      </c>
      <c r="C65" s="44">
        <f>C53-C64</f>
        <v>156</v>
      </c>
      <c r="D65" s="44">
        <f>D53-D64</f>
        <v>156</v>
      </c>
      <c r="E65" s="44">
        <f>E53-E64</f>
        <v>156</v>
      </c>
    </row>
    <row r="66" spans="2:5" ht="15.75">
      <c r="B66" s="145" t="str">
        <f>CONCATENATE("",F3-2,"/",F3-1," Budget Authority Amount:")</f>
        <v>2011/2012 Budget Authority Amount:</v>
      </c>
      <c r="C66" s="123">
        <f>inputOth!B47</f>
        <v>301</v>
      </c>
      <c r="D66" s="123">
        <f>inputPrYr!D27</f>
        <v>151</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9</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Furley Improvement District</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none</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Furley Improvement District</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none</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0</v>
      </c>
      <c r="E16" s="18"/>
      <c r="F16" s="54"/>
    </row>
    <row r="17" spans="1:6" ht="15.75">
      <c r="A17" s="18"/>
      <c r="B17" s="18"/>
      <c r="C17" s="18"/>
      <c r="D17" s="18"/>
      <c r="E17" s="18"/>
      <c r="F17" s="54"/>
    </row>
    <row r="18" spans="1:6" ht="15.75">
      <c r="A18" s="18"/>
      <c r="B18" s="665" t="s">
        <v>329</v>
      </c>
      <c r="C18" s="665"/>
      <c r="D18" s="335">
        <f>IF(D16&gt;0,(D16*0.001),"")</f>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Furley Improvement District District with respect to financing the 2013 annual budget for Furley Improvement District , Sedgwick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Furley Improvement District district budget exceed the amount levied to finance the</v>
      </c>
      <c r="C9"/>
      <c r="D9"/>
      <c r="E9"/>
      <c r="F9"/>
      <c r="G9"/>
      <c r="H9"/>
    </row>
    <row r="10" spans="2:8" ht="15.75">
      <c r="B10" s="12" t="str">
        <f>CONCATENATE("",inputPrYr!D6-1," ",inputPrYr!D3," except with regard to revenue produced and attributable to the")</f>
        <v>2012 Furley Improvement District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Furley Improvement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Furley Improvement District that is our desire to notify the public of the possibility of increased property taxes to finance the 2013 Furley Improvement District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Furley Improvement District District Board, Sedgwick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Furley Improvement District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D28" sqref="D2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t="s">
        <v>760</v>
      </c>
      <c r="D19" s="37">
        <v>0</v>
      </c>
      <c r="E19" s="37">
        <v>0</v>
      </c>
    </row>
    <row r="20" spans="1:5" ht="15.75">
      <c r="A20" s="18"/>
      <c r="B20" s="35" t="s">
        <v>282</v>
      </c>
      <c r="C20" s="114" t="s">
        <v>160</v>
      </c>
      <c r="D20" s="37">
        <v>0</v>
      </c>
      <c r="E20" s="37">
        <v>0</v>
      </c>
    </row>
    <row r="21" spans="1:5" ht="15.75">
      <c r="A21" s="17" t="s">
        <v>11</v>
      </c>
      <c r="B21" s="18"/>
      <c r="C21" s="18"/>
      <c r="D21" s="39"/>
      <c r="E21" s="40"/>
    </row>
    <row r="22" spans="1:5" ht="15.75">
      <c r="A22" s="18"/>
      <c r="B22" s="36" t="s">
        <v>751</v>
      </c>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0</v>
      </c>
    </row>
    <row r="25" spans="1:5" ht="15.75">
      <c r="A25" s="45" t="s">
        <v>12</v>
      </c>
      <c r="B25" s="18"/>
      <c r="C25" s="18"/>
      <c r="D25" s="18"/>
      <c r="E25" s="18"/>
    </row>
    <row r="26" spans="1:5" ht="15.75">
      <c r="A26" s="18"/>
      <c r="B26" s="36" t="s">
        <v>750</v>
      </c>
      <c r="C26" s="18"/>
      <c r="D26" s="37">
        <v>13745</v>
      </c>
      <c r="E26" s="18"/>
    </row>
    <row r="27" spans="1:5" ht="15.75">
      <c r="A27" s="18"/>
      <c r="B27" s="36" t="s">
        <v>761</v>
      </c>
      <c r="C27" s="18"/>
      <c r="D27" s="37">
        <v>151</v>
      </c>
      <c r="E27" s="18"/>
    </row>
    <row r="28" spans="1:5" ht="15.75">
      <c r="A28" s="42" t="str">
        <f>CONCATENATE("Total Expenditures for ",D6-1," Budgeted Year")</f>
        <v>Total Expenditures for 2012 Budgeted Year</v>
      </c>
      <c r="B28" s="42"/>
      <c r="C28" s="46"/>
      <c r="D28" s="47">
        <f>SUM(D19:D20,D22:D23,D26:D27)</f>
        <v>13896</v>
      </c>
      <c r="E28" s="39"/>
    </row>
    <row r="29" spans="1:5" ht="15.75">
      <c r="A29" s="18" t="s">
        <v>254</v>
      </c>
      <c r="B29" s="18"/>
      <c r="C29" s="18"/>
      <c r="D29" s="18"/>
      <c r="E29" s="39"/>
    </row>
    <row r="30" spans="1:5" ht="15.75">
      <c r="A30" s="18">
        <v>1</v>
      </c>
      <c r="B30" s="48" t="s">
        <v>751</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0</v>
      </c>
      <c r="E38" s="39"/>
    </row>
    <row r="39" spans="1:5" ht="15.75">
      <c r="A39" s="18"/>
      <c r="B39" s="38" t="str">
        <f>B20</f>
        <v>Debt Service</v>
      </c>
      <c r="C39" s="18"/>
      <c r="D39" s="49">
        <v>0</v>
      </c>
      <c r="E39" s="39"/>
    </row>
    <row r="40" spans="1:5" ht="15.75">
      <c r="A40" s="18"/>
      <c r="B40" s="38" t="str">
        <f>B22</f>
        <v>none</v>
      </c>
      <c r="C40" s="18"/>
      <c r="D40" s="49">
        <v>0</v>
      </c>
      <c r="E40" s="39"/>
    </row>
    <row r="41" spans="1:5" ht="15.75">
      <c r="A41" s="18"/>
      <c r="B41" s="38">
        <f>B23</f>
        <v>0</v>
      </c>
      <c r="C41" s="18"/>
      <c r="D41" s="49">
        <v>0</v>
      </c>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0</v>
      </c>
    </row>
    <row r="45" spans="1:5" ht="15.75">
      <c r="A45" s="51" t="str">
        <f>CONCATENATE("Assessed Valuation (",D6-2," budget column)")</f>
        <v>Assessed Valuation (2011 budget column)</v>
      </c>
      <c r="B45" s="29"/>
      <c r="C45" s="18"/>
      <c r="D45" s="18"/>
      <c r="E45" s="53">
        <v>434475</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v>0</v>
      </c>
      <c r="E52" s="58">
        <v>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B22">
      <selection activeCell="B48" sqref="B4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Furley Improvement District</v>
      </c>
      <c r="B1" s="62"/>
      <c r="C1" s="62"/>
      <c r="D1" s="62"/>
      <c r="E1" s="62">
        <f>inputPrYr!D6</f>
        <v>2013</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0</v>
      </c>
    </row>
    <row r="8" spans="1:5" ht="15.75">
      <c r="A8" s="68" t="str">
        <f>CONCATENATE("New Improvements for ",inputPrYr!D6-1,"")</f>
        <v>New Improvements for 2012</v>
      </c>
      <c r="B8" s="69"/>
      <c r="C8" s="69"/>
      <c r="D8" s="69"/>
      <c r="E8" s="70">
        <v>21688</v>
      </c>
    </row>
    <row r="9" spans="1:5" ht="15.75">
      <c r="A9" s="68" t="str">
        <f>CONCATENATE("Personal Property excluding oil, gas, and mobile homes- ",inputPrYr!D6-1,"")</f>
        <v>Personal Property excluding oil, gas, and mobile homes- 2012</v>
      </c>
      <c r="B9" s="69"/>
      <c r="C9" s="69"/>
      <c r="D9" s="69"/>
      <c r="E9" s="70">
        <v>13830</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13080</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0</v>
      </c>
      <c r="E16" s="74"/>
    </row>
    <row r="17" spans="1:5" ht="15.75">
      <c r="A17" s="68" t="s">
        <v>282</v>
      </c>
      <c r="B17" s="69"/>
      <c r="C17" s="71"/>
      <c r="D17" s="77">
        <v>0</v>
      </c>
      <c r="E17" s="74"/>
    </row>
    <row r="18" spans="1:5" ht="15.75">
      <c r="A18" s="68" t="str">
        <f>inputPrYr!B22</f>
        <v>none</v>
      </c>
      <c r="B18" s="69"/>
      <c r="C18" s="71"/>
      <c r="D18" s="77">
        <v>0</v>
      </c>
      <c r="E18" s="74"/>
    </row>
    <row r="19" spans="1:5" ht="15.75">
      <c r="A19" s="68">
        <f>inputPrYr!B23</f>
        <v>0</v>
      </c>
      <c r="B19" s="69"/>
      <c r="C19" s="71"/>
      <c r="D19" s="77">
        <v>0</v>
      </c>
      <c r="E19" s="74"/>
    </row>
    <row r="20" spans="1:5" ht="15.75">
      <c r="A20" s="68"/>
      <c r="B20" s="69"/>
      <c r="C20" s="71"/>
      <c r="D20" s="77">
        <v>0</v>
      </c>
      <c r="E20" s="74"/>
    </row>
    <row r="21" spans="1:5" ht="15.75">
      <c r="A21" s="68"/>
      <c r="B21" s="69"/>
      <c r="C21" s="71"/>
      <c r="D21" s="78">
        <v>0</v>
      </c>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451912</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0</v>
      </c>
    </row>
    <row r="28" spans="1:5" ht="15.75">
      <c r="A28" s="68" t="s">
        <v>15</v>
      </c>
      <c r="B28" s="69"/>
      <c r="C28" s="69"/>
      <c r="D28" s="86"/>
      <c r="E28" s="37">
        <v>0</v>
      </c>
    </row>
    <row r="29" spans="1:5" ht="15.75">
      <c r="A29" s="68" t="s">
        <v>176</v>
      </c>
      <c r="B29" s="69"/>
      <c r="C29" s="69"/>
      <c r="D29" s="86"/>
      <c r="E29" s="37">
        <v>0</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v>0</v>
      </c>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v>0</v>
      </c>
    </row>
    <row r="36" spans="1:5" ht="15.75">
      <c r="A36" s="88" t="s">
        <v>212</v>
      </c>
      <c r="B36" s="88"/>
      <c r="C36" s="71"/>
      <c r="D36" s="71"/>
      <c r="E36" s="413">
        <v>0</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0</v>
      </c>
      <c r="C42" s="95" t="s">
        <v>224</v>
      </c>
      <c r="D42" s="96"/>
      <c r="E42" s="96"/>
    </row>
    <row r="43" spans="1:5" ht="15.75">
      <c r="A43" s="97" t="str">
        <f>inputPrYr!B20</f>
        <v>Debt Service</v>
      </c>
      <c r="B43" s="58">
        <v>0</v>
      </c>
      <c r="C43" s="95"/>
      <c r="D43" s="96"/>
      <c r="E43" s="96"/>
    </row>
    <row r="44" spans="1:5" ht="15.75">
      <c r="A44" s="97" t="str">
        <f>inputPrYr!B22</f>
        <v>none</v>
      </c>
      <c r="B44" s="58">
        <v>0</v>
      </c>
      <c r="C44" s="64"/>
      <c r="D44" s="64"/>
      <c r="E44" s="64"/>
    </row>
    <row r="45" spans="1:5" ht="15.75">
      <c r="A45" s="97">
        <f>inputPrYr!B23</f>
        <v>0</v>
      </c>
      <c r="B45" s="58">
        <v>0</v>
      </c>
      <c r="C45" s="64"/>
      <c r="D45" s="64"/>
      <c r="E45" s="64"/>
    </row>
    <row r="46" spans="1:5" ht="15.75">
      <c r="A46" s="97" t="str">
        <f>inputPrYr!B26</f>
        <v>Sewer Revenue</v>
      </c>
      <c r="B46" s="58">
        <v>13745</v>
      </c>
      <c r="C46" s="64"/>
      <c r="D46" s="64"/>
      <c r="E46" s="64"/>
    </row>
    <row r="47" spans="1:5" ht="15.75">
      <c r="A47" s="97" t="str">
        <f>inputPrYr!B27</f>
        <v>Specials/Bond &amp; Int</v>
      </c>
      <c r="B47" s="58">
        <v>301</v>
      </c>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9">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746</v>
      </c>
      <c r="C5" s="370"/>
      <c r="D5" s="368" t="s">
        <v>740</v>
      </c>
      <c r="E5" s="366"/>
      <c r="F5" s="366"/>
    </row>
    <row r="6" spans="1:6" ht="15.75">
      <c r="A6" s="368"/>
      <c r="B6" s="371"/>
      <c r="C6" s="372"/>
      <c r="D6" s="368" t="s">
        <v>739</v>
      </c>
      <c r="E6" s="366"/>
      <c r="F6" s="366"/>
    </row>
    <row r="7" spans="1:6" ht="15.75">
      <c r="A7" s="368" t="s">
        <v>332</v>
      </c>
      <c r="B7" s="369" t="s">
        <v>747</v>
      </c>
      <c r="C7" s="373"/>
      <c r="D7" s="368"/>
      <c r="E7" s="366"/>
      <c r="F7" s="366"/>
    </row>
    <row r="8" spans="1:6" ht="15.75">
      <c r="A8" s="368"/>
      <c r="B8" s="368"/>
      <c r="C8" s="368"/>
      <c r="D8" s="368"/>
      <c r="E8" s="366"/>
      <c r="F8" s="366"/>
    </row>
    <row r="9" spans="1:6" ht="15.75">
      <c r="A9" s="368" t="s">
        <v>333</v>
      </c>
      <c r="B9" s="374" t="s">
        <v>748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K10" sqref="K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Sedgwick County, State of Kansas</v>
      </c>
      <c r="B4" s="618"/>
      <c r="C4" s="618"/>
      <c r="D4" s="618"/>
      <c r="E4" s="618"/>
      <c r="F4" s="618"/>
      <c r="G4" s="618"/>
    </row>
    <row r="5" spans="1:7" ht="15.75">
      <c r="A5" s="100" t="s">
        <v>159</v>
      </c>
      <c r="B5" s="26"/>
      <c r="C5" s="26"/>
      <c r="D5" s="26"/>
      <c r="E5" s="26"/>
      <c r="F5" s="26"/>
      <c r="G5" s="26"/>
    </row>
    <row r="6" spans="1:7" ht="15.75">
      <c r="A6" s="598" t="str">
        <f>inputPrYr!D3</f>
        <v>Furley Improvement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19-2765</v>
      </c>
      <c r="D23" s="123">
        <v>6</v>
      </c>
      <c r="E23" s="124" t="str">
        <f>IF(gen!$E$50&lt;&gt;0,gen!$E$50,"  ")</f>
        <v>  </v>
      </c>
      <c r="F23" s="124" t="str">
        <f>IF(gen!$E$57&lt;&gt;0,gen!$E$57,"  ")</f>
        <v>  </v>
      </c>
      <c r="G23" s="125" t="str">
        <f>IF(AND(gen!E57=0,$G$32&gt;=0)," ",IF(AND(F23&gt;0,$G$32=0)," ",IF(AND(F23&gt;0,$G$32&gt;0),ROUND(F23/$G$32*1000,3))))</f>
        <v> </v>
      </c>
    </row>
    <row r="24" spans="1:7" ht="15.75">
      <c r="A24" s="122" t="s">
        <v>282</v>
      </c>
      <c r="B24" s="119"/>
      <c r="C24" s="114" t="s">
        <v>160</v>
      </c>
      <c r="D24" s="123">
        <f>IF(DebtService!C63&gt;0,DebtService!C63," ")</f>
        <v>7</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none</v>
      </c>
      <c r="B25" s="119"/>
      <c r="C25" s="114" t="str">
        <f>IF(inputPrYr!C22&gt;0,inputPrYr!C22,"  ")</f>
        <v>  </v>
      </c>
      <c r="D25" s="123">
        <f>IF(levypage8!C80&gt;0,levypage8!C80," ")</f>
        <v>8</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f>IF(levypage8!C80&gt;0,levypage8!C80," ")</f>
        <v>8</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Sewer Revenue</v>
      </c>
      <c r="B27" s="69"/>
      <c r="C27" s="127"/>
      <c r="D27" s="123">
        <f>IF(nolevypage9!C70&gt;0,nolevypage9!C70," ")</f>
        <v>9</v>
      </c>
      <c r="E27" s="47">
        <f>IF(nolevypage9!$E$31&lt;&gt;0,nolevypage9!$E$31,"  ")</f>
        <v>13745</v>
      </c>
      <c r="F27" s="128"/>
      <c r="G27" s="125"/>
    </row>
    <row r="28" spans="1:7" ht="15.75">
      <c r="A28" s="129" t="str">
        <f>IF(inputPrYr!$B$27&gt;"  ",inputPrYr!$B$27,"  ")</f>
        <v>Specials/Bond &amp; Int</v>
      </c>
      <c r="B28" s="130"/>
      <c r="C28" s="127"/>
      <c r="D28" s="123">
        <f>IF(nolevypage9!C70&gt;0,nolevypage9!C70," ")</f>
        <v>9</v>
      </c>
      <c r="E28" s="47">
        <f>IF(nolevypage9!$E$64&lt;&gt;0,nolevypage9!$E$64,"  ")</f>
        <v>151</v>
      </c>
      <c r="F28" s="128"/>
      <c r="G28" s="125"/>
    </row>
    <row r="29" spans="1:7" ht="15.75">
      <c r="A29" s="129" t="str">
        <f>IF((inputPrYr!$B$30&gt;" "),(NonBud!$A$3),"")</f>
        <v>Non-Budgeted Funds</v>
      </c>
      <c r="B29" s="130"/>
      <c r="C29" s="106"/>
      <c r="D29" s="123">
        <f>IF(NonBud!F33&gt;0,NonBud!F33,"")</f>
      </c>
      <c r="E29" s="131"/>
      <c r="F29" s="132"/>
      <c r="G29" s="133"/>
    </row>
    <row r="30" spans="1:7" ht="15.75">
      <c r="A30" s="134" t="s">
        <v>137</v>
      </c>
      <c r="B30" s="69"/>
      <c r="C30" s="119"/>
      <c r="D30" s="135" t="s">
        <v>28</v>
      </c>
      <c r="E30" s="414">
        <f>SUM(E23:E28)</f>
        <v>13896</v>
      </c>
      <c r="F30" s="415">
        <f>SUM(F23:F28)</f>
        <v>0</v>
      </c>
      <c r="G30" s="419">
        <f>IF(SUM(G23:G28)=0,"",SUM(G23:G28))</f>
      </c>
    </row>
    <row r="31" spans="1:7" ht="15.75">
      <c r="A31" s="122" t="s">
        <v>210</v>
      </c>
      <c r="B31" s="69"/>
      <c r="C31" s="119"/>
      <c r="D31" s="138">
        <f>summ!E41</f>
        <v>10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Furley Improvement District</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0</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21688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13830</v>
      </c>
      <c r="F14" s="156"/>
      <c r="G14" s="39"/>
      <c r="H14" s="39"/>
      <c r="I14" s="159"/>
      <c r="J14" s="39"/>
    </row>
    <row r="15" spans="1:10" ht="15.75">
      <c r="A15" s="155"/>
      <c r="B15" s="18" t="s">
        <v>102</v>
      </c>
      <c r="C15" s="18" t="str">
        <f>CONCATENATE("Personal Property ",J1-2,"")</f>
        <v>Personal Property 2011</v>
      </c>
      <c r="D15" s="155" t="s">
        <v>98</v>
      </c>
      <c r="E15" s="43">
        <f>inputOth!E11</f>
        <v>13080</v>
      </c>
      <c r="F15" s="156"/>
      <c r="G15" s="159"/>
      <c r="H15" s="159"/>
      <c r="I15" s="39"/>
      <c r="J15" s="39"/>
    </row>
    <row r="16" spans="1:10" ht="15.75">
      <c r="A16" s="155"/>
      <c r="B16" s="18" t="s">
        <v>103</v>
      </c>
      <c r="C16" s="18" t="s">
        <v>117</v>
      </c>
      <c r="D16" s="18"/>
      <c r="E16" s="39"/>
      <c r="F16" s="39" t="s">
        <v>95</v>
      </c>
      <c r="G16" s="158">
        <f>IF(E14&gt;E15,E14-E15,0)</f>
        <v>750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22438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-22438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-1</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Furley Improvement District</v>
      </c>
      <c r="C1" s="18"/>
      <c r="D1" s="18"/>
      <c r="E1" s="18"/>
      <c r="F1" s="18"/>
      <c r="G1" s="18"/>
      <c r="H1" s="18"/>
      <c r="I1" s="165"/>
      <c r="J1" s="18"/>
    </row>
    <row r="2" spans="1:10" ht="15.75">
      <c r="A2" s="18"/>
      <c r="B2" s="18" t="str">
        <f>inputPrYr!D4</f>
        <v>Sedgwick County</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none</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4" sqref="C2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Furley Improvement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t="s">
        <v>749</v>
      </c>
      <c r="B10" s="182" t="s">
        <v>750</v>
      </c>
      <c r="C10" s="183">
        <v>301</v>
      </c>
      <c r="D10" s="183">
        <v>151</v>
      </c>
      <c r="E10" s="183">
        <v>151</v>
      </c>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301</v>
      </c>
      <c r="D24" s="186">
        <f>SUM(D10:D23)</f>
        <v>151</v>
      </c>
      <c r="E24" s="186">
        <f>SUM(E10:E23)</f>
        <v>151</v>
      </c>
      <c r="F24" s="187"/>
      <c r="G24" s="63"/>
    </row>
    <row r="25" spans="1:7" ht="15.75">
      <c r="A25" s="32"/>
      <c r="B25" s="188" t="s">
        <v>570</v>
      </c>
      <c r="C25" s="189"/>
      <c r="D25" s="190"/>
      <c r="E25" s="190"/>
      <c r="F25" s="187"/>
      <c r="G25" s="63"/>
    </row>
    <row r="26" spans="1:7" ht="15.75">
      <c r="A26" s="32"/>
      <c r="B26" s="185" t="s">
        <v>171</v>
      </c>
      <c r="C26" s="186">
        <f>C24</f>
        <v>301</v>
      </c>
      <c r="D26" s="186">
        <f>SUM(D24-D25)</f>
        <v>151</v>
      </c>
      <c r="E26" s="186">
        <f>SUM(E24-E25)</f>
        <v>151</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2012-07-20T01:01:29Z</cp:lastPrinted>
  <dcterms:created xsi:type="dcterms:W3CDTF">1999-08-06T13:59:57Z</dcterms:created>
  <dcterms:modified xsi:type="dcterms:W3CDTF">2012-07-20T12:51:45Z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