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5"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budgetpub" sheetId="18" r:id="rId18"/>
    <sheet name="signed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<sst xmlns="http://schemas.openxmlformats.org/spreadsheetml/2006/main" count="1198" uniqueCount="817">
  <si>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</si>
  <si>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</si>
  <si>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</si>
  <si>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</si>
  <si>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</si>
  <si>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</si>
  <si>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</si>
  <si>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</si>
  <si>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</si>
  <si>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</si>
  <si>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</si>
  <si>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</si>
  <si>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</si>
  <si>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</si>
  <si>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</si>
  <si>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</si>
  <si>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</si>
  <si>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</si>
  <si>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</si>
  <si>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</si>
  <si>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</si>
  <si>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</si>
  <si>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</si>
  <si>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</si>
  <si>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</si>
  <si>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</si>
  <si>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</si>
  <si>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</si>
  <si>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</si>
  <si>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</si>
  <si>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</si>
  <si>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</si>
  <si>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</si>
  <si>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</si>
  <si>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</si>
  <si>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</si>
  <si>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</si>
  <si>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</si>
  <si>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</si>
  <si>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</si>
  <si>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</si>
  <si>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</si>
  <si>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</si>
  <si>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</si>
  <si>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</si>
  <si>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</si>
  <si>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</si>
  <si>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</si>
  <si>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</si>
  <si>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</si>
  <si>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</si>
  <si>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</si>
  <si>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</si>
  <si>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</si>
  <si>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</si>
  <si>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</si>
  <si>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</si>
  <si>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</si>
  <si>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</si>
  <si>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</si>
  <si>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</si>
  <si>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</si>
  <si>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</si>
  <si>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</si>
  <si>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</si>
  <si>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</si>
  <si>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</si>
  <si>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</si>
  <si>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</si>
  <si>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</si>
  <si>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</si>
  <si>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</si>
  <si>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</si>
  <si>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</si>
  <si>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</si>
  <si>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</si>
  <si>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</si>
  <si>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</si>
  <si>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</si>
  <si>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</si>
  <si>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</si>
  <si>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</si>
  <si>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</si>
  <si>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</si>
  <si>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</si>
  <si>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</si>
  <si>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</si>
  <si>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</si>
  <si>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</si>
  <si>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</si>
  <si>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</si>
  <si>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</si>
  <si>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</si>
  <si>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</si>
  <si>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</si>
  <si>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</si>
  <si>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</si>
  <si>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</si>
  <si>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</si>
  <si>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</si>
  <si>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</si>
  <si>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</si>
  <si>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</si>
  <si>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</si>
  <si>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</si>
  <si>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</si>
  <si>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</si>
  <si>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</si>
  <si>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</si>
  <si>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</si>
  <si>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</si>
  <si>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</si>
  <si>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</si>
  <si>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</si>
  <si>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</si>
  <si>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</si>
  <si>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</si>
  <si>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</si>
  <si>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</si>
  <si>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</si>
  <si>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</si>
  <si>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</si>
  <si>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</si>
  <si>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</si>
  <si>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</si>
  <si>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</si>
  <si>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</si>
  <si>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</si>
  <si>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</si>
  <si>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</si>
  <si>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</si>
  <si>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</si>
  <si>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</si>
  <si>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</si>
  <si>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</si>
  <si>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</si>
  <si>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</si>
  <si>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</si>
  <si>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</si>
  <si>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</si>
  <si>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</si>
  <si>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</si>
  <si>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</si>
  <si>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</si>
  <si>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</si>
  <si>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</si>
  <si>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</si>
  <si>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</si>
  <si>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</si>
  <si>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</si>
  <si>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</si>
  <si>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</si>
  <si>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</si>
  <si>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</si>
  <si>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</si>
  <si>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</si>
  <si>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</si>
  <si>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</si>
  <si>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</si>
  <si>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</si>
  <si>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</si>
  <si>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</si>
  <si>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</si>
  <si>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</si>
  <si>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</si>
  <si>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</si>
  <si>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</si>
  <si>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</si>
  <si>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</si>
  <si>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</si>
  <si>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</si>
  <si>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</si>
  <si>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</si>
  <si>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</si>
  <si>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</si>
  <si>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</si>
  <si>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</si>
  <si>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</si>
  <si>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</si>
  <si>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</si>
  <si>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</si>
  <si>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</si>
  <si>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</si>
  <si>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</si>
  <si>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</si>
  <si>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</si>
  <si>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</si>
  <si>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</si>
  <si>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</si>
  <si>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</si>
  <si>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</si>
  <si>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</si>
  <si>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</si>
  <si>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</si>
  <si>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</si>
  <si>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</si>
  <si>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</si>
  <si>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</si>
  <si>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</si>
  <si>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</si>
  <si>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</si>
  <si>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</si>
  <si>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</si>
  <si>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</si>
  <si>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</si>
  <si>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</si>
  <si>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</si>
  <si>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</si>
  <si>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</si>
  <si>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</si>
  <si>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</si>
  <si>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</si>
  <si>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</si>
  <si>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</si>
  <si>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</si>
  <si>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</si>
  <si>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</si>
  <si>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</si>
  <si>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</si>
  <si>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</si>
  <si>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</si>
  <si>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</si>
  <si>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</si>
  <si>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</si>
  <si>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</si>
  <si>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</si>
  <si>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</si>
  <si>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</si>
  <si>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</si>
  <si>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</si>
  <si>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</si>
  <si>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</si>
  <si>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</si>
  <si>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</si>
  <si>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</si>
  <si>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</si>
  <si>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</si>
  <si>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</si>
  <si>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</si>
  <si>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</si>
  <si>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</si>
  <si>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</si>
  <si>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</si>
  <si>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</si>
  <si>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</si>
  <si>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</si>
  <si>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</si>
  <si>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</si>
  <si>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</si>
  <si>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</si>
  <si>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</si>
  <si>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</si>
  <si>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</si>
  <si>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</si>
  <si>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</si>
  <si>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</si>
  <si>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</si>
  <si>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</si>
  <si>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</si>
  <si>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</si>
  <si>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</si>
  <si>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</si>
  <si>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</si>
  <si>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</si>
  <si>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</si>
  <si>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</si>
  <si>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</si>
  <si>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</si>
  <si>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</si>
  <si>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</si>
  <si>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</si>
  <si>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</si>
  <si>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</si>
  <si>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</si>
  <si>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</si>
  <si>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</si>
  <si>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</si>
  <si>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</si>
  <si>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</si>
  <si>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</si>
  <si>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</si>
  <si>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</si>
  <si>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</si>
  <si>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</si>
  <si>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</si>
  <si>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</si>
  <si>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</si>
  <si>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</si>
  <si>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</si>
  <si>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</si>
  <si>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</si>
  <si>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</si>
  <si>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</si>
  <si>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</si>
  <si>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</si>
  <si>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</si>
  <si>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</si>
  <si>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</si>
  <si>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</si>
  <si>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</si>
  <si>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</si>
  <si>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</si>
  <si>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</si>
  <si>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</si>
  <si>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</si>
  <si>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</si>
  <si>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</si>
  <si>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</si>
  <si>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</si>
  <si>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</si>
  <si>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</si>
  <si>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</si>
  <si>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</si>
  <si>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</si>
  <si>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</si>
  <si>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</si>
  <si>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</si>
  <si>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</si>
  <si>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</si>
  <si>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</si>
  <si>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</si>
  <si>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</si>
  <si>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</si>
  <si>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</si>
  <si>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</si>
  <si>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</si>
  <si>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</si>
  <si>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</si>
  <si>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</si>
  <si>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</si>
  <si>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</si>
  <si>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</si>
  <si>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</si>
  <si>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</si>
  <si>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</si>
  <si>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</si>
  <si>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</si>
  <si>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</si>
  <si>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</si>
  <si>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</si>
  <si>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</si>
  <si>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</si>
  <si>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</si>
  <si>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</si>
  <si>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</si>
  <si>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</si>
  <si>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</si>
  <si>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</si>
  <si>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</si>
  <si>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</si>
  <si>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</si>
  <si>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</si>
  <si>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</si>
  <si>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</si>
  <si>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</si>
  <si>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</si>
  <si>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</si>
  <si>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</si>
  <si>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</si>
  <si>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</si>
  <si>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</si>
  <si>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</si>
  <si>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</si>
  <si>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</si>
  <si>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</si>
  <si>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</si>
  <si>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</si>
  <si>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</si>
  <si>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</si>
  <si>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</si>
  <si>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</si>
  <si>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</si>
  <si>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</si>
  <si>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</si>
  <si>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</si>
  <si>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</si>
  <si>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</si>
  <si>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</si>
  <si>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</si>
  <si>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</si>
  <si>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</si>
  <si>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</si>
  <si>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</si>
  <si>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</si>
  <si>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</si>
  <si>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</si>
  <si>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</si>
  <si>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</si>
  <si>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</si>
  <si>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</si>
  <si>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</si>
  <si>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</si>
  <si>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</si>
  <si>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</si>
  <si>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</si>
  <si>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</si>
  <si>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</si>
  <si>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</si>
  <si>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</si>
  <si>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</si>
  <si>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</si>
  <si>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</si>
  <si>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</si>
  <si>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</si>
  <si>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</si>
  <si>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</si>
  <si>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</si>
  <si>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</si>
  <si>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</si>
  <si>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</si>
  <si>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</si>
  <si>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</si>
  <si>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</si>
  <si>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</si>
  <si>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</si>
  <si>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</si>
  <si>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</si>
  <si>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</si>
  <si>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</si>
  <si>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</si>
  <si>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</si>
  <si>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</si>
  <si>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</si>
  <si>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</si>
  <si>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</si>
  <si>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</si>
  <si>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</si>
  <si>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</si>
  <si>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</si>
  <si>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</si>
  <si>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</si>
  <si>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</si>
  <si>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</si>
  <si>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</si>
  <si>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</si>
  <si>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</si>
  <si>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</si>
  <si>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</si>
  <si>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</si>
  <si>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</si>
  <si>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</si>
  <si>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</si>
  <si>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</si>
  <si>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</si>
  <si>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</si>
  <si>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</si>
  <si>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</si>
  <si>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</si>
  <si>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</si>
  <si>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</si>
  <si>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</si>
  <si>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</si>
  <si>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</si>
  <si>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</si>
  <si>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</si>
  <si>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</si>
  <si>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</si>
  <si>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</si>
  <si>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</si>
  <si>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</si>
  <si>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</si>
  <si>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</si>
  <si>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</si>
  <si>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</si>
  <si>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</si>
  <si>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</si>
  <si>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</si>
  <si>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</si>
  <si>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</si>
  <si>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</si>
  <si>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</si>
  <si>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</si>
  <si>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</si>
  <si>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</si>
  <si>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</si>
  <si>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</si>
  <si>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</si>
  <si>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</si>
  <si>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</si>
  <si>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</si>
  <si>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</si>
  <si>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</si>
  <si>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</si>
  <si>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</si>
  <si>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</si>
  <si>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</si>
  <si>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</si>
  <si>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</si>
  <si>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</si>
  <si>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</si>
  <si>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</si>
  <si>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</si>
  <si>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</si>
  <si>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</si>
  <si>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</si>
  <si>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</si>
  <si>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</si>
  <si>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</si>
  <si>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</si>
  <si>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</si>
  <si>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</si>
  <si>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</si>
  <si>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</si>
  <si>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</si>
  <si>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</si>
  <si>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</si>
  <si>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</si>
  <si>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</si>
  <si>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</si>
  <si>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</si>
  <si>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</si>
  <si>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</si>
  <si>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</si>
  <si>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</si>
  <si>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</si>
  <si>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</si>
  <si>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</si>
  <si>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</si>
  <si>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</si>
  <si>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</si>
  <si>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</si>
  <si>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</si>
  <si>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</si>
  <si>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</si>
  <si>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</si>
  <si>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</si>
  <si>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</si>
  <si>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</si>
  <si>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</si>
  <si>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</si>
  <si>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</si>
  <si>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</si>
  <si>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</si>
  <si>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</si>
  <si>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</si>
  <si>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</si>
  <si>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</si>
  <si>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</si>
  <si>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</si>
  <si>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</si>
  <si>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</si>
  <si>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</si>
  <si>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</si>
  <si>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</si>
  <si>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</si>
  <si>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</si>
  <si>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</si>
  <si>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</si>
  <si>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</si>
  <si>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</si>
  <si>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</si>
  <si>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</si>
  <si>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</si>
  <si>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</si>
  <si>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</si>
  <si>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</si>
  <si>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</si>
  <si>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</si>
  <si>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</si>
  <si>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</si>
  <si>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</si>
  <si>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</si>
  <si>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</si>
  <si>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</si>
  <si>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</si>
  <si>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</si>
  <si>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</si>
  <si>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</si>
  <si>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</si>
  <si>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</si>
  <si>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</si>
  <si>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</si>
  <si>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</si>
  <si>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</si>
  <si>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</si>
  <si>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</si>
  <si>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</si>
  <si>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</si>
  <si>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</si>
  <si>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</si>
  <si>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</si>
  <si>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</si>
  <si>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</si>
  <si>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</si>
  <si>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</si>
  <si>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</si>
  <si>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</si>
  <si>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</si>
  <si>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</si>
  <si>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</si>
  <si>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</si>
  <si>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</si>
  <si>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</si>
  <si>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</si>
  <si>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</si>
  <si>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</si>
  <si>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</si>
  <si>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</si>
  <si>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</si>
  <si>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</si>
  <si>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</si>
  <si>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</si>
  <si>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</si>
  <si>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</si>
  <si>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</si>
  <si>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</si>
  <si>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</si>
  <si>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</si>
  <si>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</si>
  <si>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</si>
  <si>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</si>
  <si>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</si>
  <si>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</si>
  <si>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</si>
  <si>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</si>
  <si>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</si>
  <si>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</si>
  <si>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</si>
  <si>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</si>
  <si>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</si>
  <si>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</si>
  <si>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</si>
  <si>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</si>
  <si>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</si>
  <si>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</si>
  <si>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</si>
  <si>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</si>
  <si>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</si>
  <si>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</si>
  <si>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</si>
  <si>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</si>
  <si>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</si>
  <si>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</si>
  <si>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</si>
  <si>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</si>
  <si>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</si>
  <si>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</si>
  <si>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</si>
  <si>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</si>
  <si>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</si>
  <si>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</si>
  <si>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</si>
  <si>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</si>
  <si>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</si>
  <si>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</si>
  <si>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</si>
  <si>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</si>
  <si>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</si>
  <si>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</si>
  <si>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</si>
  <si>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</si>
  <si>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</si>
  <si>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</si>
  <si>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</si>
  <si>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</si>
  <si>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</si>
  <si>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</si>
  <si>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</si>
  <si>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</si>
  <si>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</si>
  <si>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</si>
  <si>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</si>
  <si>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</si>
  <si>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</si>
  <si>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</si>
  <si>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</si>
  <si>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</si>
  <si>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</si>
  <si>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</si>
  <si>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</si>
  <si>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</si>
  <si>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</si>
  <si>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</si>
  <si>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</si>
  <si>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</si>
  <si>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</si>
  <si>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</si>
  <si>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</si>
  <si>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</si>
  <si>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</si>
  <si>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</si>
  <si>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</si>
  <si>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</si>
  <si>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</si>
  <si>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</si>
  <si>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</si>
  <si>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</si>
  <si>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</si>
  <si>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</si>
  <si>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</si>
  <si>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</si>
  <si>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</si>
  <si>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</si>
  <si>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</si>
  <si>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</si>
  <si>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</si>
  <si>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</si>
  <si>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</si>
  <si>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</si>
  <si>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</si>
  <si>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</si>
  <si>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</si>
  <si>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</si>
  <si>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</si>
  <si>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</si>
  <si>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</si>
  <si>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</si>
  <si>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</si>
  <si>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</si>
  <si>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</si>
  <si>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</si>
  <si>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</si>
  <si>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</si>
  <si>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</si>
  <si>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</si>
  <si>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</si>
  <si>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</si>
  <si>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</si>
  <si>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</si>
  <si>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</si>
  <si>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</si>
  <si>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</si>
  <si>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</si>
  <si>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</si>
  <si>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</si>
  <si>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</si>
  <si>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</si>
  <si>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</si>
  <si>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</si>
  <si>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</si>
  <si>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</si>
  <si>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</si>
  <si>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</si>
  <si>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</si>
  <si>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</si>
  <si>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</si>
  <si>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</si>
  <si>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</si>
  <si>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</si>
  <si>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</si>
  <si>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</si>
  <si>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</si>
  <si>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</si>
  <si>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</si>
  <si>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</si>
  <si>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</si>
  <si>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</si>
  <si>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</si>
  <si>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</si>
  <si>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</si>
  <si>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</si>
  <si>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</si>
  <si>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</si>
  <si>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</si>
  <si>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</si>
  <si>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</si>
  <si>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</si>
  <si>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</si>
  <si>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</si>
  <si>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</si>
  <si>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</si>
  <si>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</si>
  <si>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</si>
  <si>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</si>
  <si>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</si>
  <si>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</si>
  <si>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</si>
  <si>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</si>
  <si>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</si>
  <si>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</si>
  <si>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</si>
  <si>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</si>
  <si>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</si>
  <si>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</si>
  <si>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</si>
  <si>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</si>
  <si>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</si>
  <si>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</si>
  <si>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</si>
  <si>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</si>
  <si>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</si>
  <si>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</si>
  <si>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</si>
  <si>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</si>
  <si>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</si>
  <si>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Decatur County</t>
  </si>
  <si>
    <t>the Office of the Decatur County Clerk</t>
  </si>
  <si>
    <t>Nora Urban</t>
  </si>
  <si>
    <t>Decatur County Deputy Clerk</t>
  </si>
  <si>
    <t>120 E Hall</t>
  </si>
  <si>
    <t>Oberlin KS 67749</t>
  </si>
  <si>
    <t>noradurban@yahoo.com</t>
  </si>
  <si>
    <t>None</t>
  </si>
  <si>
    <t>Ambulance District #1</t>
  </si>
  <si>
    <t>80-932</t>
  </si>
  <si>
    <t>Ambulance Special Eqpt</t>
  </si>
  <si>
    <t>Ambulance Memorial</t>
  </si>
  <si>
    <t>Colleen Geihsler</t>
  </si>
  <si>
    <t>Charges for Services</t>
  </si>
  <si>
    <t>Insurance Reimburse</t>
  </si>
  <si>
    <t>Excise Tax</t>
  </si>
  <si>
    <t>Grant</t>
  </si>
  <si>
    <t>Personal Services</t>
  </si>
  <si>
    <t xml:space="preserve">             Directors Salary</t>
  </si>
  <si>
    <t xml:space="preserve">             EMT's &amp; Other payroll</t>
  </si>
  <si>
    <t>Contractual</t>
  </si>
  <si>
    <t>Commodities</t>
  </si>
  <si>
    <t>Capital Outlay</t>
  </si>
  <si>
    <t>Transfer to Ambulance Sp Equipment</t>
  </si>
  <si>
    <t>Donations</t>
  </si>
  <si>
    <t>10 am</t>
  </si>
  <si>
    <t>Transfer from Amb</t>
  </si>
  <si>
    <t>Ambulance</t>
  </si>
  <si>
    <t>Ambulance Sp Eqpt</t>
  </si>
  <si>
    <t>the Office of the Decatur County Commissioners on the 3rd floor of the courthouse,</t>
  </si>
  <si>
    <t>October 2, 2012</t>
  </si>
  <si>
    <t>65-6118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</si>
</sst>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22" borderId="0" xfId="444" applyFont="1" applyFill="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6</xdr:col>
      <xdr:colOff>828675</xdr:colOff>
      <xdr:row>43</xdr:row>
      <xdr:rowOff>180975</xdr:rowOff>
    </xdr:to>
    <xdr:pic>
      <xdr:nvPicPr>
        <xdr:cNvPr id="1" name="Picture 1" descr="4C4B2FC1"/>
        <xdr:cNvPicPr preferRelativeResize="1">
          <a:picLocks noChangeAspect="1"/>
        </xdr:cNvPicPr>
      </xdr:nvPicPr>
      <xdr:blipFill>
        <a:blip r:embed="rId1"/>
        <a:stretch>
          <a:fillRect/>
        </a:stretch>
      </xdr:blipFill>
      <xdr:spPr>
        <a:xfrm>
          <a:off x="419100" y="152400"/>
          <a:ext cx="5438775" cy="822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152400</xdr:rowOff>
    </xdr:from>
    <xdr:to>
      <xdr:col>7</xdr:col>
      <xdr:colOff>590550</xdr:colOff>
      <xdr:row>38</xdr:row>
      <xdr:rowOff>76200</xdr:rowOff>
    </xdr:to>
    <xdr:pic>
      <xdr:nvPicPr>
        <xdr:cNvPr id="1" name="Picture 1" descr="FC6002B1"/>
        <xdr:cNvPicPr preferRelativeResize="1">
          <a:picLocks noChangeAspect="1"/>
        </xdr:cNvPicPr>
      </xdr:nvPicPr>
      <xdr:blipFill>
        <a:blip r:embed="rId1"/>
        <a:stretch>
          <a:fillRect/>
        </a:stretch>
      </xdr:blipFill>
      <xdr:spPr>
        <a:xfrm>
          <a:off x="419100" y="152400"/>
          <a:ext cx="603885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noradurban@yahoo.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2" sqref="B3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Ambulance District #1</v>
      </c>
      <c r="C1" s="18"/>
      <c r="D1" s="18"/>
      <c r="E1" s="18"/>
      <c r="F1" s="18"/>
      <c r="G1" s="18"/>
      <c r="H1" s="18"/>
      <c r="I1" s="18"/>
      <c r="J1" s="18"/>
      <c r="K1" s="18"/>
      <c r="L1" s="182">
        <f>inputPrYr!D6</f>
        <v>2013</v>
      </c>
    </row>
    <row r="2" spans="2:12" ht="15.75">
      <c r="B2" s="18" t="str">
        <f>inputPrYr!$D$4</f>
        <v>Decatur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t="s">
        <v>792</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t="s">
        <v>792</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t="s">
        <v>792</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80</v>
      </c>
      <c r="C23" s="643"/>
      <c r="D23" s="643"/>
      <c r="E23" s="643"/>
      <c r="F23" s="643"/>
      <c r="G23" s="643"/>
      <c r="H23" s="643"/>
      <c r="I23" s="64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t="s">
        <v>792</v>
      </c>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Ambulance District #1</v>
      </c>
      <c r="C1" s="222"/>
      <c r="D1" s="18"/>
      <c r="E1" s="182"/>
    </row>
    <row r="2" spans="2:5" ht="15.75">
      <c r="B2" s="18" t="str">
        <f>inputPrYr!D4</f>
        <v>Decatur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208003</v>
      </c>
      <c r="D7" s="374">
        <f>C62</f>
        <v>224372</v>
      </c>
      <c r="E7" s="45">
        <f>D62</f>
        <v>114332</v>
      </c>
    </row>
    <row r="8" spans="2:5" ht="15.75">
      <c r="B8" s="226" t="s">
        <v>127</v>
      </c>
      <c r="C8" s="227"/>
      <c r="D8" s="227"/>
      <c r="E8" s="123"/>
    </row>
    <row r="9" spans="2:5" ht="15.75">
      <c r="B9" s="119" t="s">
        <v>33</v>
      </c>
      <c r="C9" s="367">
        <v>55673</v>
      </c>
      <c r="D9" s="374">
        <f>IF(inputPrYr!H18&gt;0,inputPrYr!G19,inputPrYr!E19)</f>
        <v>54413</v>
      </c>
      <c r="E9" s="128" t="s">
        <v>28</v>
      </c>
    </row>
    <row r="10" spans="2:5" ht="15.75">
      <c r="B10" s="119" t="s">
        <v>34</v>
      </c>
      <c r="C10" s="367">
        <v>1319</v>
      </c>
      <c r="D10" s="367">
        <v>1290</v>
      </c>
      <c r="E10" s="198">
        <v>1218</v>
      </c>
    </row>
    <row r="11" spans="2:5" ht="15.75">
      <c r="B11" s="119" t="s">
        <v>35</v>
      </c>
      <c r="C11" s="367">
        <v>5789</v>
      </c>
      <c r="D11" s="367">
        <v>5131</v>
      </c>
      <c r="E11" s="45">
        <f>mvalloc!D11</f>
        <v>5282</v>
      </c>
    </row>
    <row r="12" spans="2:5" ht="15.75">
      <c r="B12" s="119" t="s">
        <v>36</v>
      </c>
      <c r="C12" s="367">
        <v>122</v>
      </c>
      <c r="D12" s="367">
        <v>119</v>
      </c>
      <c r="E12" s="45">
        <f>mvalloc!E11</f>
        <v>108</v>
      </c>
    </row>
    <row r="13" spans="2:5" ht="15.75">
      <c r="B13" s="227" t="s">
        <v>109</v>
      </c>
      <c r="C13" s="367">
        <v>1231</v>
      </c>
      <c r="D13" s="367">
        <v>1105</v>
      </c>
      <c r="E13" s="45">
        <f>mvalloc!F11</f>
        <v>1118</v>
      </c>
    </row>
    <row r="14" spans="2:5" ht="15.75">
      <c r="B14" s="227" t="s">
        <v>159</v>
      </c>
      <c r="C14" s="367"/>
      <c r="D14" s="367"/>
      <c r="E14" s="45">
        <f>inputOth!E30</f>
        <v>0</v>
      </c>
    </row>
    <row r="15" spans="2:5" ht="15.75">
      <c r="B15" s="228" t="s">
        <v>37</v>
      </c>
      <c r="C15" s="367"/>
      <c r="D15" s="367"/>
      <c r="E15" s="198"/>
    </row>
    <row r="16" spans="2:5" ht="15.75">
      <c r="B16" s="228" t="s">
        <v>798</v>
      </c>
      <c r="C16" s="367">
        <v>130002</v>
      </c>
      <c r="D16" s="367">
        <v>15000</v>
      </c>
      <c r="E16" s="198">
        <v>13000</v>
      </c>
    </row>
    <row r="17" spans="2:5" ht="15.75">
      <c r="B17" s="228" t="s">
        <v>799</v>
      </c>
      <c r="C17" s="367"/>
      <c r="D17" s="367"/>
      <c r="E17" s="198"/>
    </row>
    <row r="18" spans="2:5" ht="15.75">
      <c r="B18" s="228" t="s">
        <v>800</v>
      </c>
      <c r="C18" s="367">
        <v>2</v>
      </c>
      <c r="D18" s="367">
        <v>2</v>
      </c>
      <c r="E18" s="198">
        <v>5</v>
      </c>
    </row>
    <row r="19" spans="2:5" ht="15.75">
      <c r="B19" s="228" t="s">
        <v>801</v>
      </c>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v>177</v>
      </c>
      <c r="D31" s="228">
        <v>200</v>
      </c>
      <c r="E31" s="198">
        <v>250</v>
      </c>
    </row>
    <row r="32" spans="2:5" ht="15.75">
      <c r="B32" s="230" t="s">
        <v>563</v>
      </c>
      <c r="C32" s="368">
        <f>IF(C33*0.1&lt;C31,"Exceed 10% Rule","")</f>
      </c>
      <c r="D32" s="368">
        <f>IF(D33*0.1&lt;D31,"Exceed 10% Rule","")</f>
      </c>
      <c r="E32" s="387">
        <f>IF(E33*0.1+E68&lt;E31,"Exceed 10% Rule","")</f>
      </c>
    </row>
    <row r="33" spans="2:5" ht="15.75">
      <c r="B33" s="233" t="s">
        <v>39</v>
      </c>
      <c r="C33" s="369">
        <f>SUM(C9:C31)</f>
        <v>194315</v>
      </c>
      <c r="D33" s="369">
        <f>SUM(D9:D31)</f>
        <v>77260</v>
      </c>
      <c r="E33" s="234">
        <f>SUM(E9:E31)</f>
        <v>20981</v>
      </c>
    </row>
    <row r="34" spans="2:5" ht="15.75">
      <c r="B34" s="233" t="s">
        <v>40</v>
      </c>
      <c r="C34" s="369">
        <f>C7+C33</f>
        <v>402318</v>
      </c>
      <c r="D34" s="369">
        <f>D7+D33</f>
        <v>301632</v>
      </c>
      <c r="E34" s="234">
        <f>E7+E33</f>
        <v>135313</v>
      </c>
    </row>
    <row r="35" spans="2:5" ht="15.75">
      <c r="B35" s="119" t="s">
        <v>41</v>
      </c>
      <c r="C35" s="121"/>
      <c r="D35" s="121"/>
      <c r="E35" s="36"/>
    </row>
    <row r="36" spans="2:5" ht="15.75">
      <c r="B36" s="228" t="s">
        <v>802</v>
      </c>
      <c r="C36" s="367">
        <v>63217</v>
      </c>
      <c r="D36" s="367"/>
      <c r="E36" s="198"/>
    </row>
    <row r="37" spans="2:5" ht="15.75">
      <c r="B37" s="228" t="s">
        <v>803</v>
      </c>
      <c r="C37" s="367"/>
      <c r="D37" s="367">
        <v>40000</v>
      </c>
      <c r="E37" s="198">
        <v>44300</v>
      </c>
    </row>
    <row r="38" spans="2:5" ht="15.75">
      <c r="B38" s="228" t="s">
        <v>804</v>
      </c>
      <c r="C38" s="367"/>
      <c r="D38" s="367">
        <v>55000</v>
      </c>
      <c r="E38" s="198">
        <v>55000</v>
      </c>
    </row>
    <row r="39" spans="2:5" ht="15.75">
      <c r="B39" s="228" t="s">
        <v>805</v>
      </c>
      <c r="C39" s="367">
        <v>24957</v>
      </c>
      <c r="D39" s="367">
        <v>30300</v>
      </c>
      <c r="E39" s="198">
        <v>30000</v>
      </c>
    </row>
    <row r="40" spans="2:5" ht="15.75">
      <c r="B40" s="228" t="s">
        <v>806</v>
      </c>
      <c r="C40" s="367">
        <v>28172</v>
      </c>
      <c r="D40" s="367">
        <v>40000</v>
      </c>
      <c r="E40" s="198">
        <v>38000</v>
      </c>
    </row>
    <row r="41" spans="2:5" ht="15.75">
      <c r="B41" s="228" t="s">
        <v>807</v>
      </c>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t="s">
        <v>808</v>
      </c>
      <c r="C57" s="367">
        <v>61600</v>
      </c>
      <c r="D57" s="367">
        <v>22000</v>
      </c>
      <c r="E57" s="198">
        <v>20000</v>
      </c>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8" t="str">
        <f>CONCATENATE("Projected Carryover Into ",E3+1,"")</f>
        <v>Projected Carryover Into 2014</v>
      </c>
      <c r="H59" s="689"/>
      <c r="I59" s="689"/>
      <c r="J59" s="690"/>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177946</v>
      </c>
      <c r="D61" s="369">
        <f>SUM(D36:D59)</f>
        <v>187300</v>
      </c>
      <c r="E61" s="234">
        <f>SUM(E36:E59)</f>
        <v>187300</v>
      </c>
      <c r="F61" s="16"/>
      <c r="G61" s="490">
        <f>D62</f>
        <v>114332</v>
      </c>
      <c r="H61" s="489" t="str">
        <f>CONCATENATE("",E3-1," Ending Cash Balance (est.)")</f>
        <v>2012 Ending Cash Balance (est.)</v>
      </c>
      <c r="I61" s="586"/>
      <c r="J61" s="484"/>
      <c r="K61" s="16"/>
    </row>
    <row r="62" spans="2:11" ht="15.75">
      <c r="B62" s="119" t="s">
        <v>126</v>
      </c>
      <c r="C62" s="370">
        <f>C34-C61</f>
        <v>224372</v>
      </c>
      <c r="D62" s="370">
        <f>D34-D61</f>
        <v>114332</v>
      </c>
      <c r="E62" s="128" t="s">
        <v>28</v>
      </c>
      <c r="F62" s="16"/>
      <c r="G62" s="490">
        <f>E33</f>
        <v>20981</v>
      </c>
      <c r="H62" s="483" t="str">
        <f>CONCATENATE("",E3," Non-AV Receipts (est.)")</f>
        <v>2013 Non-AV Receipts (est.)</v>
      </c>
      <c r="I62" s="586"/>
      <c r="J62" s="484"/>
      <c r="K62" s="16"/>
    </row>
    <row r="63" spans="2:11" ht="15.75">
      <c r="B63" s="138" t="str">
        <f>CONCATENATE("",E3-2,"/",E3-1," Budget Authority Amount:")</f>
        <v>2011/2012 Budget Authority Amount:</v>
      </c>
      <c r="C63" s="120">
        <f>inputOth!B41</f>
        <v>178000</v>
      </c>
      <c r="D63" s="388">
        <f>inputPrYr!D19</f>
        <v>187300</v>
      </c>
      <c r="E63" s="128" t="s">
        <v>28</v>
      </c>
      <c r="F63" s="251"/>
      <c r="G63" s="482">
        <f>IF(E67&gt;0,E66,E68)</f>
        <v>51987</v>
      </c>
      <c r="H63" s="483" t="str">
        <f>CONCATENATE("",E3," Ad Valorem Tax (est.)")</f>
        <v>2013 Ad Valorem Tax (est.)</v>
      </c>
      <c r="I63" s="483"/>
      <c r="J63" s="484"/>
      <c r="K63" s="587">
        <f>IF(G63=E68,"","Note: Does not include Delinquent Taxes")</f>
      </c>
    </row>
    <row r="64" spans="2:11" ht="15.75">
      <c r="B64" s="138"/>
      <c r="C64" s="684" t="s">
        <v>659</v>
      </c>
      <c r="D64" s="685"/>
      <c r="E64" s="35"/>
      <c r="F64" s="588">
        <f>IF(E61/0.95-E61&lt;E64,"Exceeds 5%","")</f>
      </c>
      <c r="G64" s="490">
        <f>SUM(G61:G63)</f>
        <v>187300</v>
      </c>
      <c r="H64" s="483" t="str">
        <f>CONCATENATE("Total ",E3," Resources Available")</f>
        <v>Total 2013 Resources Available</v>
      </c>
      <c r="I64" s="586"/>
      <c r="J64" s="484"/>
      <c r="K64" s="16"/>
    </row>
    <row r="65" spans="2:11" ht="15.75">
      <c r="B65" s="386" t="str">
        <f>CONCATENATE(C81,"     ",D81)</f>
        <v>     </v>
      </c>
      <c r="C65" s="686" t="s">
        <v>660</v>
      </c>
      <c r="D65" s="687"/>
      <c r="E65" s="45">
        <f>E61+E64</f>
        <v>187300</v>
      </c>
      <c r="F65" s="16"/>
      <c r="G65" s="481"/>
      <c r="H65" s="483"/>
      <c r="I65" s="483"/>
      <c r="J65" s="484"/>
      <c r="K65" s="16"/>
    </row>
    <row r="66" spans="2:11" ht="15.75">
      <c r="B66" s="386" t="str">
        <f>CONCATENATE(C82,"     ",D82)</f>
        <v>     </v>
      </c>
      <c r="C66" s="494"/>
      <c r="D66" s="493" t="s">
        <v>661</v>
      </c>
      <c r="E66" s="42">
        <f>IF(E65-E34&gt;0,E65-E34,0)</f>
        <v>51987</v>
      </c>
      <c r="F66" s="16"/>
      <c r="G66" s="482">
        <f>ROUND(C61*0.05+C61,0)</f>
        <v>186843</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457</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51987</v>
      </c>
      <c r="F68" s="16"/>
      <c r="G68" s="16"/>
      <c r="H68" s="16"/>
      <c r="I68" s="16"/>
      <c r="J68" s="16"/>
      <c r="K68" s="16"/>
    </row>
    <row r="69" spans="2:11" ht="15.75">
      <c r="B69" s="18"/>
      <c r="C69" s="18"/>
      <c r="D69" s="18"/>
      <c r="E69" s="18"/>
      <c r="F69" s="16"/>
      <c r="G69" s="679" t="s">
        <v>733</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1.489</v>
      </c>
      <c r="H71" s="489" t="str">
        <f>CONCATENATE("",E3," Fund Mill Rate")</f>
        <v>2013 Fund Mill Rate</v>
      </c>
      <c r="I71" s="571"/>
      <c r="J71" s="591"/>
      <c r="K71" s="16"/>
    </row>
    <row r="72" spans="2:11" ht="15.75">
      <c r="B72" s="18"/>
      <c r="C72" s="18"/>
      <c r="D72" s="18"/>
      <c r="E72" s="18"/>
      <c r="F72" s="593"/>
      <c r="G72" s="594">
        <f>summ!E16</f>
        <v>1.639</v>
      </c>
      <c r="H72" s="489" t="str">
        <f>CONCATENATE("",E3-1," Fund Mill Rate")</f>
        <v>2012 Fund Mill Rate</v>
      </c>
      <c r="I72" s="571"/>
      <c r="J72" s="591"/>
      <c r="K72" s="16"/>
    </row>
    <row r="73" spans="2:11" ht="15.75">
      <c r="B73" s="18"/>
      <c r="C73" s="222"/>
      <c r="D73" s="222"/>
      <c r="E73" s="222"/>
      <c r="F73" s="577"/>
      <c r="G73" s="595">
        <f>summ!H23</f>
        <v>1.489</v>
      </c>
      <c r="H73" s="489" t="str">
        <f>CONCATENATE("Total ",E3," Mill Rate")</f>
        <v>Total 2013 Mill Rate</v>
      </c>
      <c r="I73" s="571"/>
      <c r="J73" s="591"/>
      <c r="K73" s="16"/>
    </row>
    <row r="74" spans="2:11" ht="15.75">
      <c r="B74" s="138"/>
      <c r="C74" s="18" t="s">
        <v>228</v>
      </c>
      <c r="D74" s="18"/>
      <c r="E74" s="18"/>
      <c r="F74" s="577"/>
      <c r="G74" s="594">
        <f>summ!E23</f>
        <v>1.639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Ambulance District #1</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8" t="str">
        <f>CONCATENATE("Projected Carryover Into ",E1+1,"")</f>
        <v>Projected Carryover Into 2014</v>
      </c>
      <c r="H51" s="691"/>
      <c r="I51" s="691"/>
      <c r="J51" s="692"/>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4" t="s">
        <v>659</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660</v>
      </c>
      <c r="D57" s="687"/>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733</v>
      </c>
      <c r="H61" s="680"/>
      <c r="I61" s="680"/>
      <c r="J61" s="681"/>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1.489</v>
      </c>
      <c r="H65" s="489" t="str">
        <f>CONCATENATE("Total ",E1," Mill Rate")</f>
        <v>Total 2013 Mill Rate</v>
      </c>
      <c r="I65" s="571"/>
      <c r="J65" s="591"/>
      <c r="K65" s="599"/>
    </row>
    <row r="66" spans="6:11" ht="15.75">
      <c r="F66"/>
      <c r="G66" s="594">
        <f>summ!E23</f>
        <v>1.639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Ambulance District #1</v>
      </c>
      <c r="C1" s="18"/>
      <c r="D1" s="18"/>
      <c r="E1" s="182"/>
    </row>
    <row r="2" spans="2:5" ht="15.75">
      <c r="B2" s="18" t="str">
        <f>inputPrYr!D4</f>
        <v>Decatur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8" t="str">
        <f>CONCATENATE("Projected Carryover Into ",E3+1,"")</f>
        <v>Projected Carryover Into 2014</v>
      </c>
      <c r="H32" s="691"/>
      <c r="I32" s="691"/>
      <c r="J32" s="692"/>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4" t="s">
        <v>659</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660</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9" t="s">
        <v>733</v>
      </c>
      <c r="H42" s="680"/>
      <c r="I42" s="680"/>
      <c r="J42" s="681"/>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1.489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1.639</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8" t="str">
        <f>CONCATENATE("Projected Carryover Into ",E3+1,"")</f>
        <v>Projected Carryover Into 2014</v>
      </c>
      <c r="H72" s="693"/>
      <c r="I72" s="693"/>
      <c r="J72" s="692"/>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4" t="s">
        <v>659</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660</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733</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1.489</v>
      </c>
      <c r="H86" s="489" t="str">
        <f>CONCATENATE("Total ",E3," Mill Rate")</f>
        <v>Total 2013 Mill Rate</v>
      </c>
      <c r="I86" s="571"/>
      <c r="J86" s="591"/>
      <c r="K86" s="16"/>
    </row>
    <row r="87" spans="3:11" ht="19.5" customHeight="1">
      <c r="C87" s="95">
        <f>IF(C33&gt;C35,"See Tab A","")</f>
      </c>
      <c r="D87" s="95">
        <f>IF(D33&gt;D35,"See Tab C","")</f>
      </c>
      <c r="F87" s="16"/>
      <c r="G87" s="594">
        <f>summ!E23</f>
        <v>1.639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Ambulance District #1</v>
      </c>
      <c r="C1" s="222"/>
      <c r="D1" s="18"/>
      <c r="E1" s="182"/>
    </row>
    <row r="2" spans="2:5" ht="15.75">
      <c r="B2" s="18" t="str">
        <f>inputPrYr!D4</f>
        <v>Decatur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20" sqref="D20"/>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Ambulance District #1</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4" t="str">
        <f>inputPrYr!B30</f>
        <v>Ambulance Special Eqpt</v>
      </c>
      <c r="B5" s="695"/>
      <c r="C5" s="694" t="str">
        <f>inputPrYr!B31</f>
        <v>Ambulance Memorial</v>
      </c>
      <c r="D5" s="695"/>
      <c r="E5" s="694">
        <f>inputPrYr!B32</f>
        <v>0</v>
      </c>
      <c r="F5" s="695"/>
      <c r="G5" s="694">
        <f>inputPrYr!B33</f>
        <v>0</v>
      </c>
      <c r="H5" s="695"/>
      <c r="I5" s="694">
        <f>inputPrYr!B34</f>
        <v>0</v>
      </c>
      <c r="J5" s="695"/>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72756</v>
      </c>
      <c r="C7" s="268" t="s">
        <v>240</v>
      </c>
      <c r="D7" s="267">
        <v>1522</v>
      </c>
      <c r="E7" s="268" t="s">
        <v>240</v>
      </c>
      <c r="F7" s="267"/>
      <c r="G7" s="268" t="s">
        <v>240</v>
      </c>
      <c r="H7" s="267"/>
      <c r="I7" s="268" t="s">
        <v>240</v>
      </c>
      <c r="J7" s="267"/>
      <c r="K7" s="269">
        <f>SUM(B7+D7+F7+H7+J7)</f>
        <v>74278</v>
      </c>
    </row>
    <row r="8" spans="1:11" ht="15.75">
      <c r="A8" s="270" t="s">
        <v>127</v>
      </c>
      <c r="B8" s="271"/>
      <c r="C8" s="270" t="s">
        <v>127</v>
      </c>
      <c r="D8" s="272"/>
      <c r="E8" s="270" t="s">
        <v>127</v>
      </c>
      <c r="F8" s="255"/>
      <c r="G8" s="270" t="s">
        <v>127</v>
      </c>
      <c r="H8" s="60"/>
      <c r="I8" s="270" t="s">
        <v>127</v>
      </c>
      <c r="J8" s="60"/>
      <c r="K8" s="255"/>
    </row>
    <row r="9" spans="1:11" ht="15.75">
      <c r="A9" s="273" t="s">
        <v>811</v>
      </c>
      <c r="B9" s="267">
        <v>69000</v>
      </c>
      <c r="C9" s="273" t="s">
        <v>809</v>
      </c>
      <c r="D9" s="267">
        <v>2262</v>
      </c>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69000</v>
      </c>
      <c r="C17" s="270" t="s">
        <v>39</v>
      </c>
      <c r="D17" s="269">
        <f>SUM(D9:D16)</f>
        <v>2262</v>
      </c>
      <c r="E17" s="270" t="s">
        <v>39</v>
      </c>
      <c r="F17" s="283">
        <f>SUM(F9:F16)</f>
        <v>0</v>
      </c>
      <c r="G17" s="270" t="s">
        <v>39</v>
      </c>
      <c r="H17" s="269">
        <f>SUM(H9:H16)</f>
        <v>0</v>
      </c>
      <c r="I17" s="270" t="s">
        <v>39</v>
      </c>
      <c r="J17" s="269">
        <f>SUM(J9:J16)</f>
        <v>0</v>
      </c>
      <c r="K17" s="269">
        <f>SUM(B17+D17+F17+H17+J17)</f>
        <v>71262</v>
      </c>
    </row>
    <row r="18" spans="1:11" ht="15.75">
      <c r="A18" s="270" t="s">
        <v>40</v>
      </c>
      <c r="B18" s="269">
        <f>SUM(B7+B17)</f>
        <v>141756</v>
      </c>
      <c r="C18" s="270" t="s">
        <v>40</v>
      </c>
      <c r="D18" s="269">
        <f>SUM(D7+D17)</f>
        <v>3784</v>
      </c>
      <c r="E18" s="270" t="s">
        <v>40</v>
      </c>
      <c r="F18" s="269">
        <f>SUM(F7+F17)</f>
        <v>0</v>
      </c>
      <c r="G18" s="270" t="s">
        <v>40</v>
      </c>
      <c r="H18" s="269">
        <f>SUM(H7+H17)</f>
        <v>0</v>
      </c>
      <c r="I18" s="270" t="s">
        <v>40</v>
      </c>
      <c r="J18" s="269">
        <f>SUM(J7+J17)</f>
        <v>0</v>
      </c>
      <c r="K18" s="269">
        <f>SUM(B18+D18+F18+H18+J18)</f>
        <v>145540</v>
      </c>
    </row>
    <row r="19" spans="1:11" ht="15.75">
      <c r="A19" s="270" t="s">
        <v>41</v>
      </c>
      <c r="B19" s="271"/>
      <c r="C19" s="270" t="s">
        <v>41</v>
      </c>
      <c r="D19" s="272"/>
      <c r="E19" s="270" t="s">
        <v>41</v>
      </c>
      <c r="F19" s="255"/>
      <c r="G19" s="270" t="s">
        <v>41</v>
      </c>
      <c r="H19" s="60"/>
      <c r="I19" s="270" t="s">
        <v>41</v>
      </c>
      <c r="J19" s="60"/>
      <c r="K19" s="255"/>
    </row>
    <row r="20" spans="1:11" ht="15.75">
      <c r="A20" s="273"/>
      <c r="B20" s="267"/>
      <c r="C20" s="279" t="s">
        <v>806</v>
      </c>
      <c r="D20" s="267">
        <v>1896</v>
      </c>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1896</v>
      </c>
      <c r="E28" s="270" t="s">
        <v>42</v>
      </c>
      <c r="F28" s="283">
        <f>SUM(F20:F27)</f>
        <v>0</v>
      </c>
      <c r="G28" s="270" t="s">
        <v>42</v>
      </c>
      <c r="H28" s="283">
        <f>SUM(H20:H27)</f>
        <v>0</v>
      </c>
      <c r="I28" s="270" t="s">
        <v>42</v>
      </c>
      <c r="J28" s="269">
        <f>SUM(J20:J27)</f>
        <v>0</v>
      </c>
      <c r="K28" s="269">
        <f>SUM(B28+D28+F28+H28+J28)</f>
        <v>1896</v>
      </c>
    </row>
    <row r="29" spans="1:12" ht="15.75">
      <c r="A29" s="270" t="s">
        <v>241</v>
      </c>
      <c r="B29" s="269">
        <f>SUM(B18-B28)</f>
        <v>141756</v>
      </c>
      <c r="C29" s="270" t="s">
        <v>241</v>
      </c>
      <c r="D29" s="269">
        <f>SUM(D18-D28)</f>
        <v>1888</v>
      </c>
      <c r="E29" s="270" t="s">
        <v>241</v>
      </c>
      <c r="F29" s="269">
        <f>SUM(F18-F28)</f>
        <v>0</v>
      </c>
      <c r="G29" s="270" t="s">
        <v>241</v>
      </c>
      <c r="H29" s="269">
        <f>SUM(H18-H28)</f>
        <v>0</v>
      </c>
      <c r="I29" s="270" t="s">
        <v>241</v>
      </c>
      <c r="J29" s="269">
        <f>SUM(J18-J28)</f>
        <v>0</v>
      </c>
      <c r="K29" s="284">
        <f>SUM(B29+D29+F29+H29+J29)</f>
        <v>143644</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143644</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E40" sqref="E4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2" t="s">
        <v>83</v>
      </c>
      <c r="B1" s="642"/>
      <c r="C1" s="642"/>
      <c r="D1" s="642"/>
      <c r="E1" s="642"/>
      <c r="F1" s="642"/>
      <c r="G1" s="642"/>
      <c r="H1" s="696"/>
    </row>
    <row r="2" spans="1:8" ht="15.75">
      <c r="A2" s="18"/>
      <c r="B2" s="18"/>
      <c r="C2" s="18"/>
      <c r="D2" s="18"/>
      <c r="E2" s="18"/>
      <c r="F2" s="18"/>
      <c r="G2" s="18"/>
      <c r="H2" s="18"/>
    </row>
    <row r="3" spans="1:9" ht="15.75">
      <c r="A3" s="671" t="s">
        <v>110</v>
      </c>
      <c r="B3" s="671"/>
      <c r="C3" s="671"/>
      <c r="D3" s="671"/>
      <c r="E3" s="671"/>
      <c r="F3" s="671"/>
      <c r="G3" s="671"/>
      <c r="H3" s="671"/>
      <c r="I3" s="52">
        <f>inputPrYr!D6</f>
        <v>2013</v>
      </c>
    </row>
    <row r="4" spans="1:8" ht="15.75">
      <c r="A4" s="640" t="str">
        <f>inputPrYr!D3</f>
        <v>Ambulance District #1</v>
      </c>
      <c r="B4" s="640"/>
      <c r="C4" s="640"/>
      <c r="D4" s="640"/>
      <c r="E4" s="640"/>
      <c r="F4" s="640"/>
      <c r="G4" s="640"/>
      <c r="H4" s="640"/>
    </row>
    <row r="5" spans="1:8" ht="15.75">
      <c r="A5" s="699" t="str">
        <f>inputPrYr!D4</f>
        <v>Decatur County</v>
      </c>
      <c r="B5" s="699"/>
      <c r="C5" s="699"/>
      <c r="D5" s="699"/>
      <c r="E5" s="699"/>
      <c r="F5" s="699"/>
      <c r="G5" s="699"/>
      <c r="H5" s="699"/>
    </row>
    <row r="6" spans="1:8" ht="15.75">
      <c r="A6" s="658" t="str">
        <f>CONCATENATE("will meet on ",inputBudSum!B7," at ",inputBudSum!B9," at ",inputBudSum!B11," for the purpose of hearing and")</f>
        <v>will meet on October 2, 2012 at 10 am at the Office of the Decatur County Commissioners on the 3rd floor of the courthouse,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the Office of the Decatur County Clerk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2" t="str">
        <f>CONCATENATE("Estimated Value Of One Mill For ",I3,"")</f>
        <v>Estimated Value Of One Mill For 2013</v>
      </c>
      <c r="K12" s="703"/>
      <c r="L12" s="703"/>
      <c r="M12" s="704"/>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7" t="str">
        <f>CONCATENATE("Amount of ",I3-1," Ad Valorem Tax")</f>
        <v>Amount of 2012 Ad Valorem Tax</v>
      </c>
      <c r="H14" s="293" t="s">
        <v>566</v>
      </c>
      <c r="J14" s="501" t="s">
        <v>667</v>
      </c>
      <c r="K14" s="502"/>
      <c r="L14" s="502"/>
      <c r="M14" s="503">
        <f>ROUND(F27/1000,0)</f>
        <v>34913</v>
      </c>
    </row>
    <row r="15" spans="1:13" ht="15.75">
      <c r="A15" s="169" t="s">
        <v>52</v>
      </c>
      <c r="B15" s="114" t="s">
        <v>53</v>
      </c>
      <c r="C15" s="294" t="s">
        <v>198</v>
      </c>
      <c r="D15" s="114" t="s">
        <v>53</v>
      </c>
      <c r="E15" s="294" t="s">
        <v>198</v>
      </c>
      <c r="F15" s="114" t="s">
        <v>561</v>
      </c>
      <c r="G15" s="698"/>
      <c r="H15" s="294" t="s">
        <v>198</v>
      </c>
      <c r="J15" s="16"/>
      <c r="K15" s="16"/>
      <c r="L15" s="16"/>
      <c r="M15" s="16"/>
    </row>
    <row r="16" spans="1:13" ht="15.75">
      <c r="A16" s="36" t="str">
        <f>inputPrYr!B19</f>
        <v>General</v>
      </c>
      <c r="B16" s="123">
        <f>IF(gen!$C$61&lt;&gt;0,gen!$C$61,"  ")</f>
        <v>177946</v>
      </c>
      <c r="C16" s="624">
        <f>IF(inputPrYr!D38&gt;0,inputPrYr!D38,"  ")</f>
        <v>1.673</v>
      </c>
      <c r="D16" s="561">
        <f>IF(gen!$D$61&lt;&gt;0,gen!$D$61,"  ")</f>
        <v>187300</v>
      </c>
      <c r="E16" s="627">
        <f>IF(inputOth!D16&gt;0,inputOth!D16,"  ")</f>
        <v>1.639</v>
      </c>
      <c r="F16" s="561">
        <f>IF(gen!$E$61&lt;&gt;0,gen!$E$61,"  ")</f>
        <v>187300</v>
      </c>
      <c r="G16" s="243">
        <f>IF(gen!$E$68&lt;&gt;0,gen!$E$68,"  ")</f>
        <v>51987</v>
      </c>
      <c r="H16" s="624">
        <f>IF(gen!E68&gt;0,ROUND(G16/$F$27*1000,3)," ")</f>
        <v>1.489</v>
      </c>
      <c r="J16" s="702" t="str">
        <f>CONCATENATE("Want The Mill Rate The Same As For ",I3-1,"?")</f>
        <v>Want The Mill Rate The Same As For 2012?</v>
      </c>
      <c r="K16" s="705"/>
      <c r="L16" s="705"/>
      <c r="M16" s="706"/>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1.639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5235</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1896</v>
      </c>
      <c r="C22" s="625"/>
      <c r="D22" s="623"/>
      <c r="E22" s="628"/>
      <c r="F22" s="623"/>
      <c r="G22" s="630"/>
      <c r="H22" s="625"/>
      <c r="J22" s="512"/>
      <c r="K22" s="512"/>
      <c r="L22" s="512"/>
      <c r="M22" s="512"/>
    </row>
    <row r="23" spans="1:13" ht="15.75">
      <c r="A23" s="33" t="s">
        <v>134</v>
      </c>
      <c r="B23" s="621">
        <f>SUM(B16:B22)</f>
        <v>179842</v>
      </c>
      <c r="C23" s="626">
        <f aca="true" t="shared" si="0" ref="C23:H23">SUM(C16:C21)</f>
        <v>1.673</v>
      </c>
      <c r="D23" s="621">
        <f t="shared" si="0"/>
        <v>187300</v>
      </c>
      <c r="E23" s="629">
        <f t="shared" si="0"/>
        <v>1.639</v>
      </c>
      <c r="F23" s="621">
        <f t="shared" si="0"/>
        <v>187300</v>
      </c>
      <c r="G23" s="621">
        <f t="shared" si="0"/>
        <v>51987</v>
      </c>
      <c r="H23" s="629">
        <f t="shared" si="0"/>
        <v>1.489</v>
      </c>
      <c r="J23" s="702" t="str">
        <f>CONCATENATE("Impact On Keeping The Same Mill Rate As For ",I3-1,"")</f>
        <v>Impact On Keeping The Same Mill Rate As For 2012</v>
      </c>
      <c r="K23" s="707"/>
      <c r="L23" s="707"/>
      <c r="M23" s="708"/>
    </row>
    <row r="24" spans="1:13" ht="15.75">
      <c r="A24" s="33" t="s">
        <v>168</v>
      </c>
      <c r="B24" s="42">
        <f>transfers!C26</f>
        <v>61600</v>
      </c>
      <c r="C24" s="126"/>
      <c r="D24" s="42">
        <f>transfers!D26</f>
        <v>22000</v>
      </c>
      <c r="E24" s="126"/>
      <c r="F24" s="622">
        <f>transfers!E26</f>
        <v>20000</v>
      </c>
      <c r="G24" s="238"/>
      <c r="H24" s="295"/>
      <c r="J24" s="504"/>
      <c r="K24" s="499"/>
      <c r="L24" s="499"/>
      <c r="M24" s="505"/>
    </row>
    <row r="25" spans="1:13" ht="16.5" thickBot="1">
      <c r="A25" s="33" t="s">
        <v>169</v>
      </c>
      <c r="B25" s="129">
        <f>SUM(B23-B24)</f>
        <v>118242</v>
      </c>
      <c r="C25" s="296"/>
      <c r="D25" s="129">
        <f>SUM(D23-D24)</f>
        <v>165300</v>
      </c>
      <c r="E25" s="296"/>
      <c r="F25" s="485">
        <f>SUM(F23-F24)</f>
        <v>167300</v>
      </c>
      <c r="G25" s="238"/>
      <c r="H25" s="295"/>
      <c r="J25" s="504" t="str">
        <f>CONCATENATE("",I3," Ad Valorem Tax Revenue:")</f>
        <v>2013 Ad Valorem Tax Revenue:</v>
      </c>
      <c r="K25" s="499"/>
      <c r="L25" s="499"/>
      <c r="M25" s="500">
        <f>G23</f>
        <v>51987</v>
      </c>
    </row>
    <row r="26" spans="1:13" ht="16.5" thickTop="1">
      <c r="A26" s="33" t="s">
        <v>54</v>
      </c>
      <c r="B26" s="621">
        <f>inputPrYr!E44</f>
        <v>56941</v>
      </c>
      <c r="C26" s="215"/>
      <c r="D26" s="621">
        <f>inputPrYr!E24</f>
        <v>54413</v>
      </c>
      <c r="E26" s="215"/>
      <c r="F26" s="83" t="s">
        <v>174</v>
      </c>
      <c r="G26" s="18"/>
      <c r="H26" s="18"/>
      <c r="J26" s="504" t="str">
        <f>CONCATENATE("",I3-1," Ad Valorem Tax Revenue:")</f>
        <v>2012 Ad Valorem Tax Revenue:</v>
      </c>
      <c r="K26" s="499"/>
      <c r="L26" s="499"/>
      <c r="M26" s="513">
        <f>ROUND(F27*M18/1000,0)</f>
        <v>57222</v>
      </c>
    </row>
    <row r="27" spans="1:13" ht="15.75">
      <c r="A27" s="33" t="s">
        <v>170</v>
      </c>
      <c r="B27" s="42">
        <f>inputPrYr!E45</f>
        <v>34033544</v>
      </c>
      <c r="C27" s="215"/>
      <c r="D27" s="42">
        <f>inputOth!E24</f>
        <v>33201174</v>
      </c>
      <c r="E27" s="215"/>
      <c r="F27" s="42">
        <f>inputOth!E7</f>
        <v>34912652</v>
      </c>
      <c r="G27" s="18"/>
      <c r="H27" s="18"/>
      <c r="J27" s="514" t="s">
        <v>668</v>
      </c>
      <c r="K27" s="515"/>
      <c r="L27" s="515"/>
      <c r="M27" s="503">
        <f>M25-M26</f>
        <v>-5235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2" t="s">
        <v>669</v>
      </c>
      <c r="K29" s="705"/>
      <c r="L29" s="705"/>
      <c r="M29" s="706"/>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1.489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9" t="str">
        <f>inputBudSum!B3</f>
        <v>Colleen Geihsler</v>
      </c>
      <c r="B40" s="666"/>
      <c r="C40" s="99"/>
      <c r="D40" s="18"/>
      <c r="E40" s="18"/>
      <c r="F40" s="18"/>
      <c r="G40" s="18"/>
      <c r="H40" s="52"/>
    </row>
    <row r="41" spans="1:8" ht="15.75">
      <c r="A41" s="700" t="str">
        <f>inputBudSum!B5</f>
        <v>County Clerk</v>
      </c>
      <c r="B41" s="701"/>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4">
      <selection activeCell="D48" sqref="D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40" t="s">
        <v>7</v>
      </c>
      <c r="B1" s="641"/>
      <c r="C1" s="641"/>
      <c r="D1" s="641"/>
      <c r="E1" s="641"/>
    </row>
    <row r="2" spans="1:5" ht="15.75">
      <c r="A2" s="17"/>
      <c r="B2" s="18"/>
      <c r="C2" s="18"/>
      <c r="D2" s="18"/>
      <c r="E2" s="18"/>
    </row>
    <row r="3" spans="1:5" ht="15.75">
      <c r="A3" s="19" t="s">
        <v>131</v>
      </c>
      <c r="B3" s="18"/>
      <c r="C3" s="18"/>
      <c r="D3" s="523" t="s">
        <v>793</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2" t="s">
        <v>208</v>
      </c>
      <c r="B8" s="643"/>
      <c r="C8" s="643"/>
      <c r="D8" s="643"/>
      <c r="E8" s="643"/>
    </row>
    <row r="9" spans="1:5" ht="15.75">
      <c r="A9" s="23" t="s">
        <v>78</v>
      </c>
      <c r="B9" s="24"/>
      <c r="C9" s="24"/>
      <c r="D9" s="24"/>
      <c r="E9" s="24"/>
    </row>
    <row r="10" spans="1:8" ht="15.75">
      <c r="A10" s="644" t="s">
        <v>207</v>
      </c>
      <c r="B10" s="645"/>
      <c r="C10" s="645"/>
      <c r="D10" s="645"/>
      <c r="E10" s="645"/>
      <c r="F10" s="18"/>
      <c r="G10" s="633" t="s">
        <v>706</v>
      </c>
      <c r="H10" s="634"/>
    </row>
    <row r="11" spans="1:8" ht="15.75">
      <c r="A11" s="25"/>
      <c r="B11" s="18"/>
      <c r="C11" s="18"/>
      <c r="D11" s="18"/>
      <c r="E11" s="18"/>
      <c r="F11" s="18"/>
      <c r="G11" s="635"/>
      <c r="H11" s="634"/>
    </row>
    <row r="12" spans="1:8" ht="15.75">
      <c r="A12" s="638" t="s">
        <v>196</v>
      </c>
      <c r="B12" s="639"/>
      <c r="C12" s="639"/>
      <c r="D12" s="639"/>
      <c r="E12" s="639"/>
      <c r="F12" s="18"/>
      <c r="G12" s="635"/>
      <c r="H12" s="634"/>
    </row>
    <row r="13" spans="1:8" ht="15.75">
      <c r="A13" s="25"/>
      <c r="B13" s="18"/>
      <c r="C13" s="18"/>
      <c r="D13" s="18"/>
      <c r="E13" s="18"/>
      <c r="F13" s="18"/>
      <c r="G13" s="635"/>
      <c r="H13" s="634"/>
    </row>
    <row r="14" spans="1:8" ht="15.75">
      <c r="A14" s="26" t="s">
        <v>155</v>
      </c>
      <c r="B14" s="27"/>
      <c r="C14" s="18"/>
      <c r="D14" s="18"/>
      <c r="E14" s="18"/>
      <c r="F14" s="18"/>
      <c r="G14" s="635"/>
      <c r="H14" s="634"/>
    </row>
    <row r="15" spans="1:8" ht="15.75">
      <c r="A15" s="28" t="str">
        <f>CONCATENATE("the ",D6-1," Budget, Certificate Page:")</f>
        <v>the 2012 Budget, Certificate Page:</v>
      </c>
      <c r="B15" s="29"/>
      <c r="C15" s="18"/>
      <c r="D15" s="18"/>
      <c r="E15" s="18"/>
      <c r="F15" s="18"/>
      <c r="G15" s="635"/>
      <c r="H15" s="634"/>
    </row>
    <row r="16" spans="1:8" ht="15.75">
      <c r="A16" s="28" t="s">
        <v>276</v>
      </c>
      <c r="B16" s="29"/>
      <c r="C16" s="18"/>
      <c r="D16" s="18"/>
      <c r="E16" s="18"/>
      <c r="F16" s="18"/>
      <c r="G16" s="69"/>
      <c r="H16" s="52"/>
    </row>
    <row r="17" spans="1:8" ht="15.75">
      <c r="A17" s="18"/>
      <c r="B17" s="18"/>
      <c r="C17" s="30"/>
      <c r="D17" s="31">
        <f>D6-1</f>
        <v>2012</v>
      </c>
      <c r="E17" s="646" t="str">
        <f>CONCATENATE("Amount of ",D6-2,"     Ad Valorem Tax")</f>
        <v>Amount of 2011     Ad Valorem Tax</v>
      </c>
      <c r="G17" s="102" t="s">
        <v>707</v>
      </c>
      <c r="H17" s="111" t="s">
        <v>43</v>
      </c>
    </row>
    <row r="18" spans="1:8" ht="15.75">
      <c r="A18" s="17" t="s">
        <v>8</v>
      </c>
      <c r="B18" s="18"/>
      <c r="C18" s="30" t="s">
        <v>9</v>
      </c>
      <c r="D18" s="32" t="s">
        <v>277</v>
      </c>
      <c r="E18" s="647"/>
      <c r="G18" s="114" t="str">
        <f>CONCATENATE("",D6-2," Ad Valorem Tax")</f>
        <v>2011 Ad Valorem Tax</v>
      </c>
      <c r="H18" s="535">
        <v>0</v>
      </c>
    </row>
    <row r="19" spans="1:7" ht="15.75">
      <c r="A19" s="18"/>
      <c r="B19" s="33" t="s">
        <v>10</v>
      </c>
      <c r="C19" s="611" t="s">
        <v>794</v>
      </c>
      <c r="D19" s="35">
        <v>187300</v>
      </c>
      <c r="E19" s="35">
        <v>54413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54413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187300</v>
      </c>
      <c r="E28" s="37"/>
    </row>
    <row r="29" spans="1:5" ht="15.75">
      <c r="A29" s="18" t="s">
        <v>244</v>
      </c>
      <c r="B29" s="18"/>
      <c r="C29" s="18"/>
      <c r="D29" s="18"/>
      <c r="E29" s="37"/>
    </row>
    <row r="30" spans="1:5" ht="15.75">
      <c r="A30" s="18">
        <v>1</v>
      </c>
      <c r="B30" s="46" t="s">
        <v>795</v>
      </c>
      <c r="C30" s="18"/>
      <c r="D30" s="18"/>
      <c r="E30" s="37"/>
    </row>
    <row r="31" spans="1:5" ht="15.75">
      <c r="A31" s="18">
        <v>2</v>
      </c>
      <c r="B31" s="46" t="s">
        <v>796</v>
      </c>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6" t="str">
        <f>CONCATENATE("",D6-3," Tax Rate          (",D6-2," Column)")</f>
        <v>2010 Tax Rate          (2011 Column)</v>
      </c>
      <c r="E36" s="37"/>
    </row>
    <row r="37" spans="1:5" ht="15.75">
      <c r="A37" s="28" t="str">
        <f>CONCATENATE("the ",D6-1," Budget, Budget Summary Page:")</f>
        <v>the 2012 Budget, Budget Summary Page:</v>
      </c>
      <c r="B37" s="29"/>
      <c r="C37" s="18"/>
      <c r="D37" s="637"/>
      <c r="E37" s="37"/>
    </row>
    <row r="38" spans="1:5" ht="15.75">
      <c r="A38" s="18"/>
      <c r="B38" s="36" t="str">
        <f>B19</f>
        <v>General</v>
      </c>
      <c r="C38" s="18"/>
      <c r="D38" s="47">
        <v>1.673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1.673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56941</v>
      </c>
    </row>
    <row r="45" spans="1:5" ht="15.75">
      <c r="A45" s="49" t="str">
        <f>CONCATENATE("Assessed Valuation (",D6-2," budget column)")</f>
        <v>Assessed Valuation (2011 budget column)</v>
      </c>
      <c r="B45" s="27"/>
      <c r="C45" s="18"/>
      <c r="D45" s="18"/>
      <c r="E45" s="51">
        <v>34033544</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Ambulance District #1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2"/>
      <c r="D4" s="712"/>
      <c r="E4" s="696"/>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34912652</v>
      </c>
      <c r="E16" s="18"/>
      <c r="F16" s="52"/>
    </row>
    <row r="17" spans="1:6" ht="15.75">
      <c r="A17" s="18"/>
      <c r="B17" s="18"/>
      <c r="C17" s="18"/>
      <c r="D17" s="18"/>
      <c r="E17" s="18"/>
      <c r="F17" s="52"/>
    </row>
    <row r="18" spans="1:6" ht="15.75">
      <c r="A18" s="18"/>
      <c r="B18" s="713" t="s">
        <v>319</v>
      </c>
      <c r="C18" s="713"/>
      <c r="D18" s="309">
        <f>IF(D16&gt;0,(D16*0.001),"")</f>
        <v>34912.652</v>
      </c>
      <c r="E18" s="18"/>
      <c r="F18" s="52"/>
    </row>
    <row r="19" spans="1:6" ht="15.75">
      <c r="A19" s="18"/>
      <c r="B19" s="138"/>
      <c r="C19" s="138"/>
      <c r="D19" s="310"/>
      <c r="E19" s="18"/>
      <c r="F19" s="52"/>
    </row>
    <row r="20" spans="1:6" ht="15.75">
      <c r="A20" s="710" t="s">
        <v>317</v>
      </c>
      <c r="B20" s="696"/>
      <c r="C20" s="696"/>
      <c r="D20" s="311">
        <f>inputOth!E12</f>
        <v>0</v>
      </c>
      <c r="E20" s="62"/>
      <c r="F20" s="62"/>
    </row>
    <row r="21" spans="1:6" ht="15">
      <c r="A21" s="62"/>
      <c r="B21" s="62"/>
      <c r="C21" s="62"/>
      <c r="D21" s="312"/>
      <c r="E21" s="62"/>
      <c r="F21" s="62"/>
    </row>
    <row r="22" spans="1:6" ht="15.75">
      <c r="A22" s="62"/>
      <c r="B22" s="710" t="s">
        <v>318</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2" t="s">
        <v>140</v>
      </c>
      <c r="C1" s="722"/>
      <c r="D1" s="722"/>
      <c r="E1" s="722"/>
      <c r="F1" s="722"/>
      <c r="G1" s="722"/>
      <c r="H1" s="722"/>
    </row>
    <row r="2" spans="2:8" ht="15.75">
      <c r="B2" s="6"/>
      <c r="C2"/>
      <c r="D2"/>
      <c r="E2"/>
      <c r="F2"/>
      <c r="G2"/>
      <c r="H2"/>
    </row>
    <row r="3" spans="2:8" ht="15.75">
      <c r="B3" s="723" t="s">
        <v>137</v>
      </c>
      <c r="C3" s="723"/>
      <c r="D3" s="723"/>
      <c r="E3" s="723"/>
      <c r="F3" s="723"/>
      <c r="G3" s="723"/>
      <c r="H3" s="723"/>
    </row>
    <row r="4" spans="2:8" ht="15.75">
      <c r="B4" s="7"/>
      <c r="C4"/>
      <c r="D4"/>
      <c r="E4"/>
      <c r="F4"/>
      <c r="G4"/>
      <c r="H4"/>
    </row>
    <row r="5" spans="2:8" ht="15.75">
      <c r="B5" s="715" t="str">
        <f>CONCATENATE("A resolution expressing the property taxation policy of the Board of ",(inputPrYr!D3)," District with respect to financing the ",inputPrYr!D6," annual budget for ",(inputPrYr!D3)," , ",(inputPrYr!D4)," , Kansas.")</f>
        <v>A resolution expressing the property taxation policy of the Board of Ambulance District #1 District with respect to financing the 2013 annual budget for Ambulance District #1 , Decatur County , Kansas.</v>
      </c>
      <c r="C5" s="716"/>
      <c r="D5" s="716"/>
      <c r="E5" s="716"/>
      <c r="F5" s="716"/>
      <c r="G5" s="716"/>
      <c r="H5" s="716"/>
    </row>
    <row r="6" spans="2:10" ht="15.75">
      <c r="B6" s="716"/>
      <c r="C6" s="716"/>
      <c r="D6" s="716"/>
      <c r="E6" s="716"/>
      <c r="F6" s="716"/>
      <c r="G6" s="716"/>
      <c r="H6" s="71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Ambulance District #1 district budget exceed the amount levied to finance the</v>
      </c>
      <c r="C9"/>
      <c r="D9"/>
      <c r="E9"/>
      <c r="F9"/>
      <c r="G9"/>
      <c r="H9"/>
    </row>
    <row r="10" spans="2:8" ht="15.75">
      <c r="B10" s="12" t="str">
        <f>CONCATENATE("",inputPrYr!D6-1," ",inputPrYr!D3," except with regard to revenue produced and attributable to the")</f>
        <v>2012 Ambulance District #1 except with regard to revenue produced and attributable to the</v>
      </c>
      <c r="C10"/>
      <c r="D10"/>
      <c r="E10"/>
      <c r="F10"/>
      <c r="G10"/>
      <c r="H10"/>
    </row>
    <row r="11" spans="2:8" ht="15.75">
      <c r="B11" s="719" t="s">
        <v>176</v>
      </c>
      <c r="C11" s="724"/>
      <c r="D11" s="724"/>
      <c r="E11" s="724"/>
      <c r="F11" s="724"/>
      <c r="G11" s="724"/>
      <c r="H11" s="724"/>
    </row>
    <row r="12" spans="2:8" ht="15.75">
      <c r="B12" s="724"/>
      <c r="C12" s="724"/>
      <c r="D12" s="724"/>
      <c r="E12" s="724"/>
      <c r="F12" s="724"/>
      <c r="G12" s="724"/>
      <c r="H12" s="724"/>
    </row>
    <row r="13" spans="2:8" ht="15.75">
      <c r="B13" s="724"/>
      <c r="C13" s="724"/>
      <c r="D13" s="724"/>
      <c r="E13" s="724"/>
      <c r="F13" s="724"/>
      <c r="G13" s="724"/>
      <c r="H13" s="724"/>
    </row>
    <row r="14" spans="2:8" ht="15.75">
      <c r="B14" s="724"/>
      <c r="C14" s="724"/>
      <c r="D14" s="724"/>
      <c r="E14" s="724"/>
      <c r="F14" s="724"/>
      <c r="G14" s="724"/>
      <c r="H14" s="724"/>
    </row>
    <row r="15" spans="2:8" ht="15.75">
      <c r="B15" s="1"/>
      <c r="C15" s="1"/>
      <c r="D15" s="1"/>
      <c r="E15" s="1"/>
      <c r="F15" s="1"/>
      <c r="G15" s="1"/>
      <c r="H15" s="1"/>
    </row>
    <row r="16" spans="2:8" ht="15.75">
      <c r="B16" s="717" t="s">
        <v>149</v>
      </c>
      <c r="C16" s="718"/>
      <c r="D16" s="718"/>
      <c r="E16" s="718"/>
      <c r="F16" s="718"/>
      <c r="G16" s="718"/>
      <c r="H16" s="718"/>
    </row>
    <row r="17" spans="2:8" ht="15.75">
      <c r="B17" s="718"/>
      <c r="C17" s="718"/>
      <c r="D17" s="718"/>
      <c r="E17" s="718"/>
      <c r="F17" s="718"/>
      <c r="G17" s="718"/>
      <c r="H17" s="718"/>
    </row>
    <row r="18" spans="2:8" ht="15.75">
      <c r="B18" s="12"/>
      <c r="C18"/>
      <c r="D18"/>
      <c r="E18"/>
      <c r="F18"/>
      <c r="G18"/>
      <c r="H18"/>
    </row>
    <row r="19" spans="2:8" ht="15.75">
      <c r="B19" s="12" t="str">
        <f>CONCATENATE("Whereas, ",(inputPrYr!D3)," provides essential services to district residents; and")</f>
        <v>Whereas, Ambulance District #1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Ambulance District #1 that is our desire to notify the public of the possibility of increased property taxes to finance the 2013 Ambulance District #1  budget as defined above.</v>
      </c>
      <c r="C23" s="720"/>
      <c r="D23" s="720"/>
      <c r="E23" s="720"/>
      <c r="F23" s="720"/>
      <c r="G23" s="720"/>
      <c r="H23" s="720"/>
    </row>
    <row r="24" spans="2:8" ht="15.75">
      <c r="B24" s="720"/>
      <c r="C24" s="720"/>
      <c r="D24" s="720"/>
      <c r="E24" s="720"/>
      <c r="F24" s="720"/>
      <c r="G24" s="720"/>
      <c r="H24" s="720"/>
    </row>
    <row r="25" spans="2:8" ht="15.75">
      <c r="B25" s="720"/>
      <c r="C25" s="720"/>
      <c r="D25" s="720"/>
      <c r="E25" s="720"/>
      <c r="F25" s="720"/>
      <c r="G25" s="720"/>
      <c r="H25" s="720"/>
    </row>
    <row r="26" spans="2:8" ht="15.75">
      <c r="B26" s="12"/>
      <c r="C26"/>
      <c r="D26"/>
      <c r="E26"/>
      <c r="F26"/>
      <c r="G26"/>
      <c r="H26"/>
    </row>
    <row r="27" spans="2:8" ht="15.75">
      <c r="B27" s="717" t="str">
        <f>CONCATENATE("Adopted this _________ day of ___________, ",inputPrYr!D6-1," by the ",(inputPrYr!D3)," District Board, ",(inputPrYr!D4),", Kansas.")</f>
        <v>Adopted this _________ day of ___________, 2012 by the Ambulance District #1 District Board, Decatur County, Kansas.</v>
      </c>
      <c r="C27" s="716"/>
      <c r="D27" s="716"/>
      <c r="E27" s="716"/>
      <c r="F27" s="716"/>
      <c r="G27" s="716"/>
      <c r="H27" s="716"/>
    </row>
    <row r="28" spans="2:8" ht="15.75">
      <c r="B28" s="716"/>
      <c r="C28" s="716"/>
      <c r="D28" s="716"/>
      <c r="E28" s="716"/>
      <c r="F28" s="716"/>
      <c r="G28" s="716"/>
      <c r="H28" s="716"/>
    </row>
    <row r="29" spans="2:8" ht="15.75">
      <c r="B29" s="8"/>
      <c r="C29"/>
      <c r="D29"/>
      <c r="E29"/>
      <c r="F29"/>
      <c r="G29"/>
      <c r="H29"/>
    </row>
    <row r="30" spans="2:8" ht="15.75">
      <c r="B30" s="8"/>
      <c r="C30"/>
      <c r="D30"/>
      <c r="E30"/>
      <c r="F30"/>
      <c r="G30"/>
      <c r="H30"/>
    </row>
    <row r="31" spans="2:8" ht="15.75">
      <c r="B31" s="9" t="str">
        <f>CONCATENATE(" ",(inputPrYr!D3)," District Board")</f>
        <v> Ambulance District #1 District Board</v>
      </c>
      <c r="C31"/>
      <c r="D31"/>
      <c r="E31"/>
      <c r="F31"/>
      <c r="G31"/>
      <c r="H31"/>
    </row>
    <row r="32" spans="2:8" ht="15.75">
      <c r="B32" s="8"/>
      <c r="C32"/>
      <c r="D32"/>
      <c r="E32"/>
      <c r="F32"/>
      <c r="G32"/>
      <c r="H32"/>
    </row>
    <row r="33" spans="2:8" ht="15.75">
      <c r="B33"/>
      <c r="C33"/>
      <c r="D33"/>
      <c r="E33" s="721" t="s">
        <v>138</v>
      </c>
      <c r="F33" s="721"/>
      <c r="G33" s="721"/>
      <c r="H33" s="721"/>
    </row>
    <row r="34" spans="2:8" ht="15.75">
      <c r="B34"/>
      <c r="C34"/>
      <c r="D34"/>
      <c r="E34" s="721" t="s">
        <v>141</v>
      </c>
      <c r="F34" s="721"/>
      <c r="G34" s="721"/>
      <c r="H34" s="721"/>
    </row>
    <row r="35" spans="2:8" ht="15.75">
      <c r="B35" s="8"/>
      <c r="C35"/>
      <c r="D35"/>
      <c r="E35" s="721"/>
      <c r="F35" s="721"/>
      <c r="G35" s="721"/>
      <c r="H35" s="721"/>
    </row>
    <row r="36" spans="2:8" ht="15.75">
      <c r="B36"/>
      <c r="C36"/>
      <c r="D36"/>
      <c r="E36" s="721" t="s">
        <v>138</v>
      </c>
      <c r="F36" s="721"/>
      <c r="G36" s="721"/>
      <c r="H36" s="721"/>
    </row>
    <row r="37" spans="2:8" ht="15.75">
      <c r="B37"/>
      <c r="C37"/>
      <c r="D37"/>
      <c r="E37" s="721" t="s">
        <v>142</v>
      </c>
      <c r="F37" s="721"/>
      <c r="G37" s="721"/>
      <c r="H37" s="721"/>
    </row>
    <row r="38" spans="2:8" ht="15.75">
      <c r="B38" s="8"/>
      <c r="C38"/>
      <c r="D38"/>
      <c r="E38" s="721"/>
      <c r="F38" s="721"/>
      <c r="G38" s="721"/>
      <c r="H38" s="721"/>
    </row>
    <row r="39" spans="2:8" ht="15.75">
      <c r="B39"/>
      <c r="C39"/>
      <c r="D39"/>
      <c r="E39" s="721" t="s">
        <v>138</v>
      </c>
      <c r="F39" s="721"/>
      <c r="G39" s="721"/>
      <c r="H39" s="721"/>
    </row>
    <row r="40" spans="2:8" ht="15.75">
      <c r="B40"/>
      <c r="C40"/>
      <c r="D40"/>
      <c r="E40" s="721" t="s">
        <v>143</v>
      </c>
      <c r="F40" s="721"/>
      <c r="G40" s="721"/>
      <c r="H40" s="7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4"/>
      <c r="F46" s="714"/>
      <c r="G46" s="714"/>
      <c r="H46" s="714"/>
    </row>
    <row r="47" spans="2:8" ht="15.75">
      <c r="B47" s="3"/>
      <c r="E47" s="714"/>
      <c r="F47" s="714"/>
      <c r="G47" s="714"/>
      <c r="H47" s="714"/>
    </row>
    <row r="48" spans="5:8" ht="15.75">
      <c r="E48" s="714"/>
      <c r="F48" s="714"/>
      <c r="G48" s="714"/>
      <c r="H48" s="714"/>
    </row>
    <row r="49" spans="5:8" ht="15.75">
      <c r="E49" s="714"/>
      <c r="F49" s="714"/>
      <c r="G49" s="714"/>
      <c r="H49" s="714"/>
    </row>
    <row r="50" spans="2:8" ht="15.75">
      <c r="B50" s="3"/>
      <c r="E50" s="714"/>
      <c r="F50" s="714"/>
      <c r="G50" s="714"/>
      <c r="H50" s="71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567</v>
      </c>
      <c r="C6" s="726"/>
      <c r="D6" s="726"/>
      <c r="E6" s="726"/>
      <c r="F6" s="726"/>
      <c r="G6" s="726"/>
      <c r="H6" s="726"/>
      <c r="I6" s="726"/>
      <c r="J6" s="726"/>
      <c r="K6" s="726"/>
      <c r="L6" s="397"/>
    </row>
    <row r="7" spans="1:12" ht="40.5" customHeight="1">
      <c r="A7" s="394"/>
      <c r="B7" s="727" t="s">
        <v>568</v>
      </c>
      <c r="C7" s="728"/>
      <c r="D7" s="728"/>
      <c r="E7" s="728"/>
      <c r="F7" s="728"/>
      <c r="G7" s="728"/>
      <c r="H7" s="728"/>
      <c r="I7" s="728"/>
      <c r="J7" s="728"/>
      <c r="K7" s="728"/>
      <c r="L7" s="394"/>
    </row>
    <row r="8" spans="1:12" ht="14.25">
      <c r="A8" s="394"/>
      <c r="B8" s="729" t="s">
        <v>569</v>
      </c>
      <c r="C8" s="729"/>
      <c r="D8" s="729"/>
      <c r="E8" s="729"/>
      <c r="F8" s="729"/>
      <c r="G8" s="729"/>
      <c r="H8" s="729"/>
      <c r="I8" s="729"/>
      <c r="J8" s="729"/>
      <c r="K8" s="729"/>
      <c r="L8" s="394"/>
    </row>
    <row r="9" spans="1:12" ht="14.25">
      <c r="A9" s="394"/>
      <c r="L9" s="394"/>
    </row>
    <row r="10" spans="1:12" ht="14.25">
      <c r="A10" s="394"/>
      <c r="B10" s="729" t="s">
        <v>570</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30" t="s">
        <v>571</v>
      </c>
      <c r="C12" s="730"/>
      <c r="D12" s="730"/>
      <c r="E12" s="730"/>
      <c r="F12" s="730"/>
      <c r="G12" s="730"/>
      <c r="H12" s="730"/>
      <c r="I12" s="730"/>
      <c r="J12" s="730"/>
      <c r="K12" s="730"/>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1">
        <v>312000000</v>
      </c>
      <c r="G23" s="731"/>
      <c r="L23" s="394"/>
    </row>
    <row r="24" spans="1:12" ht="14.25">
      <c r="A24" s="394"/>
      <c r="L24" s="394"/>
    </row>
    <row r="25" spans="1:12" ht="14.25">
      <c r="A25" s="394"/>
      <c r="C25" s="732">
        <f>F23</f>
        <v>312000000</v>
      </c>
      <c r="D25" s="732"/>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3" t="s">
        <v>568</v>
      </c>
      <c r="C30" s="733"/>
      <c r="D30" s="733"/>
      <c r="E30" s="733"/>
      <c r="F30" s="733"/>
      <c r="G30" s="733"/>
      <c r="H30" s="733"/>
      <c r="I30" s="733"/>
      <c r="J30" s="733"/>
      <c r="K30" s="733"/>
      <c r="L30" s="394"/>
    </row>
    <row r="31" spans="1:12" ht="14.25">
      <c r="A31" s="394"/>
      <c r="B31" s="729" t="s">
        <v>580</v>
      </c>
      <c r="C31" s="729"/>
      <c r="D31" s="729"/>
      <c r="E31" s="729"/>
      <c r="F31" s="729"/>
      <c r="G31" s="729"/>
      <c r="H31" s="729"/>
      <c r="I31" s="729"/>
      <c r="J31" s="729"/>
      <c r="K31" s="729"/>
      <c r="L31" s="394"/>
    </row>
    <row r="32" spans="1:12" ht="14.25">
      <c r="A32" s="394"/>
      <c r="L32" s="394"/>
    </row>
    <row r="33" spans="1:12" ht="14.25">
      <c r="A33" s="394"/>
      <c r="B33" s="729" t="s">
        <v>581</v>
      </c>
      <c r="C33" s="729"/>
      <c r="D33" s="729"/>
      <c r="E33" s="729"/>
      <c r="F33" s="729"/>
      <c r="G33" s="729"/>
      <c r="H33" s="729"/>
      <c r="I33" s="729"/>
      <c r="J33" s="729"/>
      <c r="K33" s="729"/>
      <c r="L33" s="394"/>
    </row>
    <row r="34" spans="1:12" ht="14.25">
      <c r="A34" s="394"/>
      <c r="L34" s="394"/>
    </row>
    <row r="35" spans="1:12" ht="89.25" customHeight="1">
      <c r="A35" s="394"/>
      <c r="B35" s="730" t="s">
        <v>582</v>
      </c>
      <c r="C35" s="734"/>
      <c r="D35" s="734"/>
      <c r="E35" s="734"/>
      <c r="F35" s="734"/>
      <c r="G35" s="734"/>
      <c r="H35" s="734"/>
      <c r="I35" s="734"/>
      <c r="J35" s="734"/>
      <c r="K35" s="734"/>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5">
        <v>312000000</v>
      </c>
      <c r="D41" s="735"/>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6">
        <v>312000000</v>
      </c>
      <c r="C48" s="731"/>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7" t="s">
        <v>590</v>
      </c>
      <c r="H50" s="738"/>
      <c r="I50" s="529" t="s">
        <v>576</v>
      </c>
      <c r="J50" s="414">
        <f>B50/F50</f>
        <v>0.16025641025641027</v>
      </c>
      <c r="K50" s="406"/>
      <c r="L50" s="394"/>
    </row>
    <row r="51" spans="1:15" ht="15" thickBot="1">
      <c r="A51" s="394"/>
      <c r="B51" s="407"/>
      <c r="C51" s="408"/>
      <c r="D51" s="408"/>
      <c r="E51" s="408"/>
      <c r="F51" s="408"/>
      <c r="G51" s="408"/>
      <c r="H51" s="408"/>
      <c r="I51" s="739" t="s">
        <v>591</v>
      </c>
      <c r="J51" s="739"/>
      <c r="K51" s="740"/>
      <c r="L51" s="394"/>
      <c r="O51" s="415"/>
    </row>
    <row r="52" spans="1:12" ht="40.5" customHeight="1">
      <c r="A52" s="394"/>
      <c r="B52" s="733" t="s">
        <v>568</v>
      </c>
      <c r="C52" s="733"/>
      <c r="D52" s="733"/>
      <c r="E52" s="733"/>
      <c r="F52" s="733"/>
      <c r="G52" s="733"/>
      <c r="H52" s="733"/>
      <c r="I52" s="733"/>
      <c r="J52" s="733"/>
      <c r="K52" s="733"/>
      <c r="L52" s="394"/>
    </row>
    <row r="53" spans="1:12" ht="14.25">
      <c r="A53" s="394"/>
      <c r="B53" s="729" t="s">
        <v>592</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593</v>
      </c>
      <c r="C55" s="725"/>
      <c r="D55" s="725"/>
      <c r="E55" s="725"/>
      <c r="F55" s="725"/>
      <c r="G55" s="725"/>
      <c r="H55" s="725"/>
      <c r="I55" s="725"/>
      <c r="J55" s="725"/>
      <c r="K55" s="725"/>
      <c r="L55" s="394"/>
    </row>
    <row r="56" spans="1:12" ht="15" customHeight="1">
      <c r="A56" s="394"/>
      <c r="L56" s="394"/>
    </row>
    <row r="57" spans="1:24" ht="74.25" customHeight="1">
      <c r="A57" s="394"/>
      <c r="B57" s="730" t="s">
        <v>594</v>
      </c>
      <c r="C57" s="734"/>
      <c r="D57" s="734"/>
      <c r="E57" s="734"/>
      <c r="F57" s="734"/>
      <c r="G57" s="734"/>
      <c r="H57" s="734"/>
      <c r="I57" s="734"/>
      <c r="J57" s="734"/>
      <c r="K57" s="734"/>
      <c r="L57" s="394"/>
      <c r="M57" s="416"/>
      <c r="N57" s="417"/>
      <c r="O57" s="417"/>
      <c r="P57" s="417"/>
      <c r="Q57" s="417"/>
      <c r="R57" s="417"/>
      <c r="S57" s="417"/>
      <c r="T57" s="417"/>
      <c r="U57" s="417"/>
      <c r="V57" s="417"/>
      <c r="W57" s="417"/>
      <c r="X57" s="417"/>
    </row>
    <row r="58" spans="1:24" ht="15" customHeight="1">
      <c r="A58" s="394"/>
      <c r="B58" s="730"/>
      <c r="C58" s="734"/>
      <c r="D58" s="734"/>
      <c r="E58" s="734"/>
      <c r="F58" s="734"/>
      <c r="G58" s="734"/>
      <c r="H58" s="734"/>
      <c r="I58" s="734"/>
      <c r="J58" s="734"/>
      <c r="K58" s="734"/>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1">
        <v>312000000</v>
      </c>
      <c r="D74" s="731"/>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1">
        <v>50000</v>
      </c>
      <c r="D77" s="731"/>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1">
        <v>100000</v>
      </c>
      <c r="D80" s="731"/>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41">
        <f>H80</f>
        <v>11500</v>
      </c>
      <c r="D83" s="741"/>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3" t="s">
        <v>568</v>
      </c>
      <c r="C85" s="733"/>
      <c r="D85" s="733"/>
      <c r="E85" s="733"/>
      <c r="F85" s="733"/>
      <c r="G85" s="733"/>
      <c r="H85" s="733"/>
      <c r="I85" s="733"/>
      <c r="J85" s="733"/>
      <c r="K85" s="733"/>
      <c r="L85" s="394"/>
    </row>
    <row r="86" spans="1:12" ht="14.25">
      <c r="A86" s="394"/>
      <c r="B86" s="725" t="s">
        <v>610</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611</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30" t="s">
        <v>612</v>
      </c>
      <c r="C90" s="730"/>
      <c r="D90" s="730"/>
      <c r="E90" s="730"/>
      <c r="F90" s="730"/>
      <c r="G90" s="730"/>
      <c r="H90" s="730"/>
      <c r="I90" s="730"/>
      <c r="J90" s="730"/>
      <c r="K90" s="730"/>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1">
        <v>312000000</v>
      </c>
      <c r="D94" s="731"/>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1">
        <v>50000</v>
      </c>
      <c r="D97" s="731"/>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1">
        <v>2500000</v>
      </c>
      <c r="D100" s="731"/>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41">
        <f>H100</f>
        <v>750000</v>
      </c>
      <c r="D103" s="741"/>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3" t="s">
        <v>568</v>
      </c>
      <c r="C105" s="742"/>
      <c r="D105" s="742"/>
      <c r="E105" s="742"/>
      <c r="F105" s="742"/>
      <c r="G105" s="742"/>
      <c r="H105" s="742"/>
      <c r="I105" s="742"/>
      <c r="J105" s="742"/>
      <c r="K105" s="742"/>
      <c r="L105" s="394"/>
    </row>
    <row r="106" spans="1:12" ht="15" customHeight="1">
      <c r="A106" s="394"/>
      <c r="B106" s="743" t="s">
        <v>614</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3" t="s">
        <v>615</v>
      </c>
      <c r="C108" s="744"/>
      <c r="D108" s="744"/>
      <c r="E108" s="744"/>
      <c r="F108" s="744"/>
      <c r="G108" s="744"/>
      <c r="H108" s="744"/>
      <c r="I108" s="744"/>
      <c r="J108" s="744"/>
      <c r="K108" s="744"/>
      <c r="L108" s="394"/>
    </row>
    <row r="109" spans="1:12" ht="15" customHeight="1">
      <c r="A109" s="394"/>
      <c r="B109" s="531"/>
      <c r="C109" s="439"/>
      <c r="D109" s="439"/>
      <c r="E109" s="529"/>
      <c r="F109" s="414"/>
      <c r="G109" s="529"/>
      <c r="H109" s="529"/>
      <c r="I109" s="529"/>
      <c r="J109" s="527"/>
      <c r="K109" s="531"/>
      <c r="L109" s="394"/>
    </row>
    <row r="110" spans="1:12" ht="59.25" customHeight="1">
      <c r="A110" s="394"/>
      <c r="B110" s="745" t="s">
        <v>616</v>
      </c>
      <c r="C110" s="734"/>
      <c r="D110" s="734"/>
      <c r="E110" s="734"/>
      <c r="F110" s="734"/>
      <c r="G110" s="734"/>
      <c r="H110" s="734"/>
      <c r="I110" s="734"/>
      <c r="J110" s="734"/>
      <c r="K110" s="734"/>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1">
        <v>312000000</v>
      </c>
      <c r="D114" s="731"/>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1">
        <v>50000</v>
      </c>
      <c r="D117" s="731"/>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1">
        <v>2500000</v>
      </c>
      <c r="D120" s="731"/>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41">
        <f>H120</f>
        <v>625000</v>
      </c>
      <c r="D123" s="741"/>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3" t="s">
        <v>568</v>
      </c>
      <c r="C125" s="733"/>
      <c r="D125" s="733"/>
      <c r="E125" s="733"/>
      <c r="F125" s="733"/>
      <c r="G125" s="733"/>
      <c r="H125" s="733"/>
      <c r="I125" s="733"/>
      <c r="J125" s="733"/>
      <c r="K125" s="733"/>
      <c r="L125" s="440"/>
    </row>
    <row r="126" spans="1:12" ht="14.25">
      <c r="A126" s="394"/>
      <c r="B126" s="725" t="s">
        <v>617</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618</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30" t="s">
        <v>619</v>
      </c>
      <c r="C130" s="730"/>
      <c r="D130" s="730"/>
      <c r="E130" s="730"/>
      <c r="F130" s="730"/>
      <c r="G130" s="730"/>
      <c r="H130" s="730"/>
      <c r="I130" s="730"/>
      <c r="J130" s="730"/>
      <c r="K130" s="730"/>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6" t="s">
        <v>620</v>
      </c>
      <c r="D133" s="746"/>
      <c r="E133" s="404"/>
      <c r="F133" s="529" t="s">
        <v>621</v>
      </c>
      <c r="G133" s="404"/>
      <c r="H133" s="746" t="s">
        <v>606</v>
      </c>
      <c r="I133" s="746"/>
      <c r="J133" s="404"/>
      <c r="K133" s="406"/>
      <c r="L133" s="394"/>
    </row>
    <row r="134" spans="1:12" ht="14.25">
      <c r="A134" s="394"/>
      <c r="B134" s="412" t="s">
        <v>599</v>
      </c>
      <c r="C134" s="731">
        <v>100000</v>
      </c>
      <c r="D134" s="731"/>
      <c r="E134" s="529" t="s">
        <v>28</v>
      </c>
      <c r="F134" s="529">
        <v>0.115</v>
      </c>
      <c r="G134" s="529" t="s">
        <v>576</v>
      </c>
      <c r="H134" s="747">
        <f>C134*F134</f>
        <v>11500</v>
      </c>
      <c r="I134" s="74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8" t="s">
        <v>606</v>
      </c>
      <c r="D136" s="748"/>
      <c r="E136" s="422"/>
      <c r="F136" s="525" t="s">
        <v>622</v>
      </c>
      <c r="G136" s="525"/>
      <c r="H136" s="422"/>
      <c r="I136" s="422"/>
      <c r="J136" s="422" t="s">
        <v>623</v>
      </c>
      <c r="K136" s="423"/>
      <c r="L136" s="394"/>
    </row>
    <row r="137" spans="1:12" ht="14.25">
      <c r="A137" s="394"/>
      <c r="B137" s="412" t="s">
        <v>602</v>
      </c>
      <c r="C137" s="747">
        <f>H134</f>
        <v>11500</v>
      </c>
      <c r="D137" s="747"/>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9" t="s">
        <v>626</v>
      </c>
      <c r="C144" s="750"/>
      <c r="D144" s="750"/>
      <c r="E144" s="750"/>
      <c r="F144" s="750"/>
      <c r="G144" s="750"/>
      <c r="H144" s="750"/>
      <c r="I144" s="750"/>
      <c r="J144" s="750"/>
      <c r="K144" s="751"/>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7" t="s">
        <v>627</v>
      </c>
      <c r="D147" s="747"/>
      <c r="E147" s="529"/>
      <c r="F147" s="458" t="s">
        <v>628</v>
      </c>
      <c r="G147" s="529"/>
      <c r="H147" s="529"/>
      <c r="I147" s="529"/>
      <c r="J147" s="752" t="s">
        <v>629</v>
      </c>
      <c r="K147" s="753"/>
      <c r="L147" s="394"/>
    </row>
    <row r="148" spans="1:12" ht="14.25">
      <c r="A148" s="394"/>
      <c r="B148" s="412"/>
      <c r="C148" s="754">
        <v>52.869</v>
      </c>
      <c r="D148" s="754"/>
      <c r="E148" s="529" t="s">
        <v>28</v>
      </c>
      <c r="F148" s="530">
        <v>312000000</v>
      </c>
      <c r="G148" s="463" t="s">
        <v>577</v>
      </c>
      <c r="H148" s="529">
        <v>1000</v>
      </c>
      <c r="I148" s="529" t="s">
        <v>576</v>
      </c>
      <c r="J148" s="752">
        <f>C148*(F148/1000)</f>
        <v>16495128</v>
      </c>
      <c r="K148" s="75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E35" sqref="E3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Ambulance District #1</v>
      </c>
      <c r="B1" s="60"/>
      <c r="C1" s="60"/>
      <c r="D1" s="60"/>
      <c r="E1" s="60">
        <f>inputPrYr!D6</f>
        <v>2013</v>
      </c>
    </row>
    <row r="2" spans="1:5" ht="15.75">
      <c r="A2" s="60" t="str">
        <f>inputPrYr!D4</f>
        <v>Decatur County</v>
      </c>
      <c r="B2" s="60"/>
      <c r="C2" s="60"/>
      <c r="D2" s="60"/>
      <c r="E2" s="60"/>
    </row>
    <row r="3" spans="1:5" ht="15">
      <c r="A3" s="62"/>
      <c r="B3" s="62"/>
      <c r="C3" s="62"/>
      <c r="D3" s="62"/>
      <c r="E3" s="62"/>
    </row>
    <row r="4" spans="1:5" ht="15.75">
      <c r="A4" s="638" t="s">
        <v>196</v>
      </c>
      <c r="B4" s="639"/>
      <c r="C4" s="639"/>
      <c r="D4" s="639"/>
      <c r="E4" s="639"/>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34912652</v>
      </c>
    </row>
    <row r="8" spans="1:5" ht="15.75">
      <c r="A8" s="66" t="str">
        <f>CONCATENATE("New Improvements for ",inputPrYr!D6-1,"")</f>
        <v>New Improvements for 2012</v>
      </c>
      <c r="B8" s="67"/>
      <c r="C8" s="67"/>
      <c r="D8" s="67"/>
      <c r="E8" s="68">
        <v>322875</v>
      </c>
    </row>
    <row r="9" spans="1:5" ht="15.75">
      <c r="A9" s="66" t="str">
        <f>CONCATENATE("Personal Property excluding oil, gas, and mobile homes- ",inputPrYr!D6-1,"")</f>
        <v>Personal Property excluding oil, gas, and mobile homes- 2012</v>
      </c>
      <c r="B9" s="67"/>
      <c r="C9" s="67"/>
      <c r="D9" s="67"/>
      <c r="E9" s="68">
        <v>1790708</v>
      </c>
    </row>
    <row r="10" spans="1:5" ht="15.75">
      <c r="A10" s="66" t="str">
        <f>CONCATENATE("Property that has changed in use for ",inputPrYr!D6-1,"")</f>
        <v>Property that has changed in use for 2012</v>
      </c>
      <c r="B10" s="67"/>
      <c r="C10" s="67"/>
      <c r="D10" s="67"/>
      <c r="E10" s="68">
        <v>54377</v>
      </c>
    </row>
    <row r="11" spans="1:5" ht="15.75">
      <c r="A11" s="65" t="str">
        <f>CONCATENATE("Personal Property excluding oil, gas, and mobile homes- ",inputPrYr!D6-2,"")</f>
        <v>Personal Property excluding oil, gas, and mobile homes- 2011</v>
      </c>
      <c r="B11" s="40"/>
      <c r="C11" s="40"/>
      <c r="D11" s="40"/>
      <c r="E11" s="68">
        <v>1741049</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8" t="s">
        <v>26</v>
      </c>
      <c r="B15" s="643"/>
      <c r="C15" s="62"/>
      <c r="D15" s="73" t="s">
        <v>63</v>
      </c>
      <c r="E15" s="72"/>
    </row>
    <row r="16" spans="1:5" ht="15.75">
      <c r="A16" s="65" t="s">
        <v>10</v>
      </c>
      <c r="B16" s="40"/>
      <c r="C16" s="69"/>
      <c r="D16" s="74">
        <v>1.639</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1.639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33201174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5282</v>
      </c>
    </row>
    <row r="28" spans="1:5" ht="15.75">
      <c r="A28" s="66" t="s">
        <v>15</v>
      </c>
      <c r="B28" s="67"/>
      <c r="C28" s="67"/>
      <c r="D28" s="84"/>
      <c r="E28" s="35">
        <v>108</v>
      </c>
    </row>
    <row r="29" spans="1:5" ht="15.75">
      <c r="A29" s="66" t="s">
        <v>171</v>
      </c>
      <c r="B29" s="67"/>
      <c r="C29" s="67"/>
      <c r="D29" s="84"/>
      <c r="E29" s="35">
        <v>1118</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0.006</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9" t="str">
        <f>CONCATENATE("From the ",E1-2," Budget Certificate Page")</f>
        <v>From the 2011 Budget Certificate Page</v>
      </c>
      <c r="B38" s="650"/>
      <c r="C38" s="62"/>
      <c r="D38" s="62"/>
      <c r="E38" s="62"/>
    </row>
    <row r="39" spans="1:5" ht="15.75">
      <c r="A39" s="90"/>
      <c r="B39" s="90" t="str">
        <f>CONCATENATE("",E1-2," Expenditure Amounts")</f>
        <v>2011 Expenditure Amounts</v>
      </c>
      <c r="C39" s="651" t="str">
        <f>CONCATENATE("Note: If the ",E1-2," budget was amended, then the")</f>
        <v>Note: If the 2011 budget was amended, then the</v>
      </c>
      <c r="D39" s="652"/>
      <c r="E39" s="652"/>
    </row>
    <row r="40" spans="1:5" ht="15.75">
      <c r="A40" s="91" t="s">
        <v>212</v>
      </c>
      <c r="B40" s="91" t="s">
        <v>213</v>
      </c>
      <c r="C40" s="92" t="s">
        <v>214</v>
      </c>
      <c r="D40" s="93"/>
      <c r="E40" s="93"/>
    </row>
    <row r="41" spans="1:5" ht="15.75">
      <c r="A41" s="94" t="str">
        <f>inputPrYr!B19</f>
        <v>General</v>
      </c>
      <c r="B41" s="56">
        <v>178000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40" t="s">
        <v>712</v>
      </c>
    </row>
    <row r="2" spans="1:10" ht="54" customHeight="1">
      <c r="A2" s="653" t="s">
        <v>320</v>
      </c>
      <c r="B2" s="654"/>
      <c r="C2" s="654"/>
      <c r="D2" s="654"/>
      <c r="E2" s="654"/>
      <c r="F2" s="654"/>
      <c r="J2" s="540" t="s">
        <v>713</v>
      </c>
    </row>
    <row r="3" spans="1:10" ht="15.75">
      <c r="A3" s="538" t="s">
        <v>710</v>
      </c>
      <c r="B3" s="539" t="s">
        <v>797</v>
      </c>
      <c r="C3" s="539"/>
      <c r="J3" s="540" t="s">
        <v>714</v>
      </c>
    </row>
    <row r="4" spans="1:10" ht="15.75">
      <c r="A4" s="340"/>
      <c r="B4" s="340"/>
      <c r="C4" s="340"/>
      <c r="D4" s="341"/>
      <c r="E4" s="340"/>
      <c r="F4" s="340"/>
      <c r="J4" s="540" t="s">
        <v>715</v>
      </c>
    </row>
    <row r="5" spans="1:10" ht="15.75">
      <c r="A5" s="538" t="s">
        <v>711</v>
      </c>
      <c r="B5" s="539" t="s">
        <v>30</v>
      </c>
      <c r="C5" s="340"/>
      <c r="D5" s="341"/>
      <c r="E5" s="340"/>
      <c r="F5" s="340"/>
      <c r="J5" s="540" t="s">
        <v>716</v>
      </c>
    </row>
    <row r="6" spans="1:10" ht="15.75">
      <c r="A6" s="340"/>
      <c r="B6" s="340"/>
      <c r="C6" s="340"/>
      <c r="D6" s="341"/>
      <c r="E6" s="340"/>
      <c r="F6" s="340"/>
      <c r="J6" s="540" t="s">
        <v>717</v>
      </c>
    </row>
    <row r="7" spans="1:10" ht="15.75">
      <c r="A7" s="342" t="s">
        <v>321</v>
      </c>
      <c r="B7" s="343" t="s">
        <v>815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September 22, 2012</v>
      </c>
      <c r="E8" s="340"/>
      <c r="F8" s="340"/>
      <c r="J8" s="540" t="s">
        <v>719</v>
      </c>
    </row>
    <row r="9" spans="1:10" ht="15.75">
      <c r="A9" s="342" t="s">
        <v>322</v>
      </c>
      <c r="B9" s="343" t="s">
        <v>810</v>
      </c>
      <c r="C9" s="347"/>
      <c r="D9" s="342"/>
      <c r="E9" s="340"/>
      <c r="F9" s="340"/>
      <c r="J9" s="540" t="s">
        <v>720</v>
      </c>
    </row>
    <row r="10" spans="1:10" ht="15.75">
      <c r="A10" s="342"/>
      <c r="B10" s="342"/>
      <c r="C10" s="342"/>
      <c r="D10" s="342"/>
      <c r="E10" s="340"/>
      <c r="F10" s="340"/>
      <c r="J10" s="540" t="s">
        <v>721</v>
      </c>
    </row>
    <row r="11" spans="1:10" ht="15.75">
      <c r="A11" s="342" t="s">
        <v>323</v>
      </c>
      <c r="B11" s="632" t="s">
        <v>814</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786</v>
      </c>
      <c r="C14" s="348"/>
      <c r="D14" s="348"/>
      <c r="E14" s="349"/>
      <c r="F14" s="340"/>
    </row>
    <row r="17" spans="1:6" ht="15.75">
      <c r="A17" s="655" t="s">
        <v>325</v>
      </c>
      <c r="B17" s="655"/>
      <c r="C17" s="342"/>
      <c r="D17" s="342"/>
      <c r="E17" s="342"/>
      <c r="F17" s="340"/>
    </row>
    <row r="18" spans="1:7" ht="15.75">
      <c r="A18" s="342"/>
      <c r="B18" s="342"/>
      <c r="C18" s="342"/>
      <c r="D18" s="342"/>
      <c r="E18" s="342"/>
      <c r="F18" s="340"/>
      <c r="G18" s="540" t="str">
        <f ca="1">IF(B7="","",INDIRECT(G19))</f>
        <v>September</v>
      </c>
    </row>
    <row r="19" spans="1:7" ht="15.75">
      <c r="A19" s="342" t="s">
        <v>321</v>
      </c>
      <c r="B19" s="345" t="s">
        <v>326</v>
      </c>
      <c r="C19" s="342"/>
      <c r="D19" s="342"/>
      <c r="E19" s="342"/>
      <c r="G19" s="542" t="str">
        <f>IF(B7="","",CONCATENATE("J",G21))</f>
        <v>J9</v>
      </c>
    </row>
    <row r="20" spans="1:7" ht="15.75">
      <c r="A20" s="342"/>
      <c r="B20" s="342"/>
      <c r="C20" s="342"/>
      <c r="D20" s="342"/>
      <c r="E20" s="342"/>
      <c r="G20" s="543">
        <f>B7-10</f>
        <v>41174</v>
      </c>
    </row>
    <row r="21" spans="1:7" ht="15.75">
      <c r="A21" s="342" t="s">
        <v>322</v>
      </c>
      <c r="B21" s="342" t="s">
        <v>327</v>
      </c>
      <c r="C21" s="342"/>
      <c r="D21" s="342"/>
      <c r="E21" s="342"/>
      <c r="G21" s="544">
        <f>IF(B7="","",MONTH(G20))</f>
        <v>9</v>
      </c>
    </row>
    <row r="22" spans="1:7" ht="15.75">
      <c r="A22" s="342"/>
      <c r="B22" s="342"/>
      <c r="C22" s="342"/>
      <c r="D22" s="342"/>
      <c r="E22" s="342"/>
      <c r="G22" s="545">
        <f>IF(B7="","",DAY(G20))</f>
        <v>22</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6">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Decatur County, State of Kansas</v>
      </c>
      <c r="B4" s="658"/>
      <c r="C4" s="658"/>
      <c r="D4" s="658"/>
      <c r="E4" s="658"/>
      <c r="F4" s="658"/>
      <c r="G4" s="658"/>
    </row>
    <row r="5" spans="1:7" ht="15.75">
      <c r="A5" s="97" t="s">
        <v>156</v>
      </c>
      <c r="B5" s="24"/>
      <c r="C5" s="24"/>
      <c r="D5" s="24"/>
      <c r="E5" s="24"/>
      <c r="F5" s="24"/>
      <c r="G5" s="24"/>
    </row>
    <row r="6" spans="1:7" ht="15.75">
      <c r="A6" s="640" t="str">
        <f>inputPrYr!D3</f>
        <v>Ambulance District #1</v>
      </c>
      <c r="B6" s="640"/>
      <c r="C6" s="640"/>
      <c r="D6" s="640"/>
      <c r="E6" s="640"/>
      <c r="F6" s="640"/>
      <c r="G6" s="64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
        <v>816</v>
      </c>
      <c r="D23" s="120">
        <v>6</v>
      </c>
      <c r="E23" s="559">
        <f>IF(gen!$E$61&lt;&gt;0,gen!$E$61,"  ")</f>
        <v>187300</v>
      </c>
      <c r="F23" s="559">
        <f>IF(gen!$E$68&lt;&gt;0,gen!$E$68,"  ")</f>
        <v>51987</v>
      </c>
      <c r="G23" s="560">
        <f>IF(AND(gen!E68=0,$G$32&gt;=0)," ",IF(AND(F23&gt;0,$G$32=0)," ",IF(AND(F23&gt;0,$G$32&gt;0),ROUND(F23/$G$32*1000,3))))</f>
        <v>1.488</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187300</v>
      </c>
      <c r="F30" s="566">
        <f>SUM(F23:F28)</f>
        <v>51987</v>
      </c>
      <c r="G30" s="567">
        <f>IF(SUM(G23:G28)=0,"",SUM(G23:G28))</f>
        <v>1.488</v>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c>
      <c r="E32" s="383"/>
      <c r="F32" s="69"/>
      <c r="G32" s="140">
        <v>34938064</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787</v>
      </c>
      <c r="B36" s="521"/>
      <c r="C36" s="69"/>
      <c r="D36" s="69"/>
      <c r="E36" s="139"/>
      <c r="F36" s="69"/>
      <c r="G36" s="18"/>
    </row>
    <row r="37" spans="1:7" ht="15.75">
      <c r="A37" s="522" t="s">
        <v>788</v>
      </c>
      <c r="B37" s="522"/>
      <c r="C37" s="69"/>
      <c r="D37" s="69"/>
      <c r="E37" s="392"/>
      <c r="F37" s="69"/>
      <c r="G37" s="69"/>
    </row>
    <row r="38" spans="1:7" ht="15.75">
      <c r="A38" s="20" t="s">
        <v>565</v>
      </c>
      <c r="B38" s="69"/>
      <c r="C38" s="69"/>
      <c r="D38" s="69"/>
      <c r="E38" s="554"/>
      <c r="F38" s="69"/>
      <c r="G38" s="69"/>
    </row>
    <row r="39" spans="1:7" ht="15.75">
      <c r="A39" s="521" t="s">
        <v>789</v>
      </c>
      <c r="B39" s="521"/>
      <c r="C39" s="69"/>
      <c r="D39" s="69" t="s">
        <v>730</v>
      </c>
      <c r="E39" s="555"/>
      <c r="F39" s="555"/>
      <c r="G39" s="69"/>
    </row>
    <row r="40" spans="1:7" ht="15.75">
      <c r="A40" s="522" t="s">
        <v>790</v>
      </c>
      <c r="B40" s="522"/>
      <c r="C40" s="52"/>
      <c r="D40" s="69"/>
      <c r="E40" s="555"/>
      <c r="F40" s="555"/>
      <c r="G40" s="69"/>
    </row>
    <row r="41" spans="1:7" ht="15.75">
      <c r="A41" s="20" t="s">
        <v>729</v>
      </c>
      <c r="B41" s="69"/>
      <c r="C41" s="18"/>
      <c r="D41" s="69" t="s">
        <v>730</v>
      </c>
      <c r="E41" s="556"/>
      <c r="F41" s="69"/>
      <c r="G41" s="69"/>
    </row>
    <row r="42" spans="1:7" ht="15.75">
      <c r="A42" s="631" t="s">
        <v>791</v>
      </c>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69"/>
      <c r="B51" s="669"/>
      <c r="C51" s="669"/>
      <c r="D51" s="669"/>
      <c r="E51" s="669"/>
      <c r="F51" s="669"/>
      <c r="G51" s="669"/>
    </row>
    <row r="52" spans="1:7" ht="15.75">
      <c r="A52" s="670"/>
      <c r="B52" s="670"/>
      <c r="C52" s="670"/>
      <c r="D52" s="670"/>
      <c r="E52" s="670"/>
      <c r="F52" s="670"/>
      <c r="G52" s="670"/>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noradurban@yahoo.com"/>
  </hyperlinks>
  <printOptions/>
  <pageMargins left="1.25" right="0.5" top="0" bottom="0.5" header="0" footer="0.5"/>
  <pageSetup blackAndWhite="1" fitToHeight="1" fitToWidth="1" horizontalDpi="120" verticalDpi="120" orientation="portrait" scale="70"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J34" sqref="J34"/>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Ambulance District #1</v>
      </c>
      <c r="D1" s="18"/>
      <c r="E1" s="18"/>
      <c r="F1" s="18"/>
      <c r="G1" s="18"/>
      <c r="H1" s="18"/>
      <c r="I1" s="18"/>
      <c r="J1" s="18">
        <f>inputPrYr!D6</f>
        <v>2013</v>
      </c>
    </row>
    <row r="2" spans="1:10" ht="15.75" customHeight="1">
      <c r="A2" s="18"/>
      <c r="B2" s="18"/>
      <c r="C2" s="18" t="str">
        <f>inputPrYr!D4</f>
        <v>Decatur County</v>
      </c>
      <c r="D2" s="18"/>
      <c r="E2" s="18"/>
      <c r="F2" s="18"/>
      <c r="G2" s="18"/>
      <c r="H2" s="18"/>
      <c r="I2" s="18"/>
      <c r="J2" s="18"/>
    </row>
    <row r="3" spans="1:10" ht="15.75">
      <c r="A3" s="642"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54413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54413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322875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1790708</v>
      </c>
      <c r="F14" s="146"/>
      <c r="G14" s="37"/>
      <c r="H14" s="37"/>
      <c r="I14" s="149"/>
      <c r="J14" s="37"/>
    </row>
    <row r="15" spans="1:10" ht="15.75">
      <c r="A15" s="145"/>
      <c r="B15" s="18" t="s">
        <v>99</v>
      </c>
      <c r="C15" s="18" t="str">
        <f>CONCATENATE("Personal Property ",J1-2,"")</f>
        <v>Personal Property 2011</v>
      </c>
      <c r="D15" s="145" t="s">
        <v>95</v>
      </c>
      <c r="E15" s="41">
        <f>inputOth!E11</f>
        <v>1741049</v>
      </c>
      <c r="F15" s="146"/>
      <c r="G15" s="149"/>
      <c r="H15" s="149"/>
      <c r="I15" s="37"/>
      <c r="J15" s="37"/>
    </row>
    <row r="16" spans="1:10" ht="15.75">
      <c r="A16" s="145"/>
      <c r="B16" s="18" t="s">
        <v>100</v>
      </c>
      <c r="C16" s="18" t="s">
        <v>114</v>
      </c>
      <c r="D16" s="18"/>
      <c r="E16" s="37"/>
      <c r="F16" s="37" t="s">
        <v>92</v>
      </c>
      <c r="G16" s="148">
        <f>IF(E14&gt;E15,E14-E15,0)</f>
        <v>49659</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54377</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426911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34912652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34485741</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0.012379348322542932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674</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55087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55087</v>
      </c>
    </row>
    <row r="35" spans="1:10" ht="16.5" thickTop="1">
      <c r="A35" s="18"/>
      <c r="B35" s="18"/>
      <c r="C35" s="18"/>
      <c r="D35" s="18"/>
      <c r="E35" s="18"/>
      <c r="F35" s="18"/>
      <c r="G35" s="18"/>
      <c r="H35" s="18"/>
      <c r="I35" s="18"/>
      <c r="J35" s="18"/>
    </row>
    <row r="36" spans="1:10" ht="15.75">
      <c r="A36" s="671" t="str">
        <f>CONCATENATE("If the ",J1," budget includes tax levies exceeding the total on line 14, you must")</f>
        <v>If the 2013 budget includes tax levies exceeding the total on line 14, you must</v>
      </c>
      <c r="B36" s="671"/>
      <c r="C36" s="671"/>
      <c r="D36" s="671"/>
      <c r="E36" s="671"/>
      <c r="F36" s="671"/>
      <c r="G36" s="671"/>
      <c r="H36" s="671"/>
      <c r="I36" s="671"/>
      <c r="J36" s="671"/>
    </row>
    <row r="37" spans="1:10" ht="15.75">
      <c r="A37" s="671" t="s">
        <v>120</v>
      </c>
      <c r="B37" s="671"/>
      <c r="C37" s="671"/>
      <c r="D37" s="671"/>
      <c r="E37" s="671"/>
      <c r="F37" s="671"/>
      <c r="G37" s="671"/>
      <c r="H37" s="671"/>
      <c r="I37" s="671"/>
      <c r="J37" s="67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Ambulance District #1</v>
      </c>
      <c r="C1" s="18"/>
      <c r="D1" s="18"/>
      <c r="E1" s="18"/>
      <c r="F1" s="18"/>
      <c r="G1" s="18"/>
      <c r="H1" s="18"/>
      <c r="I1" s="155"/>
      <c r="J1" s="18"/>
    </row>
    <row r="2" spans="1:10" ht="15.75">
      <c r="A2" s="18"/>
      <c r="B2" s="18" t="str">
        <f>inputPrYr!D4</f>
        <v>Decatur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2" t="s">
        <v>724</v>
      </c>
      <c r="C6" s="672"/>
      <c r="D6" s="672"/>
      <c r="E6" s="672"/>
      <c r="F6" s="67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73" t="str">
        <f>CONCATENATE("Tax Levy Amount in ",G2-2," Budget")</f>
        <v>Tax Levy Amount in 2011 Budget</v>
      </c>
      <c r="D9" s="659" t="str">
        <f>CONCATENATE("Allocation for Year ",G2,"")</f>
        <v>Allocation for Year 2013</v>
      </c>
      <c r="E9" s="676"/>
      <c r="F9" s="677"/>
      <c r="G9" s="18"/>
      <c r="H9" s="18"/>
      <c r="I9" s="18"/>
      <c r="J9" s="18"/>
    </row>
    <row r="10" spans="1:10" ht="15.75">
      <c r="A10" s="18"/>
      <c r="B10" s="674"/>
      <c r="C10" s="674"/>
      <c r="D10" s="114" t="s">
        <v>45</v>
      </c>
      <c r="E10" s="114" t="s">
        <v>46</v>
      </c>
      <c r="F10" s="111" t="s">
        <v>87</v>
      </c>
      <c r="G10" s="18"/>
      <c r="H10" s="18"/>
      <c r="I10" s="18"/>
      <c r="J10" s="18"/>
    </row>
    <row r="11" spans="1:10" ht="15.75">
      <c r="A11" s="18"/>
      <c r="B11" s="36" t="str">
        <f>inputPrYr!B19</f>
        <v>General</v>
      </c>
      <c r="C11" s="123">
        <f>inputPrYr!E19</f>
        <v>54413</v>
      </c>
      <c r="D11" s="123">
        <f>IF(E17=0,0,E17-D12-D13-D14)</f>
        <v>5282</v>
      </c>
      <c r="E11" s="123">
        <f>IF(E19=0,0,E19-E12-E13-E14)</f>
        <v>108</v>
      </c>
      <c r="F11" s="123">
        <f>IF(E21=0,0,E21-F12-F13-F14)</f>
        <v>1118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54413</v>
      </c>
      <c r="D15" s="130">
        <f>SUM(D11:D14)</f>
        <v>5282</v>
      </c>
      <c r="E15" s="130">
        <f>SUM(E11:E14)</f>
        <v>108</v>
      </c>
      <c r="F15" s="203">
        <f>SUM(F11:F14)</f>
        <v>1118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5282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108</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1118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0.09707239078896587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0.001984819804090934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0.020546560564570965</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2" sqref="F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Ambulance District #1</v>
      </c>
      <c r="B2" s="165"/>
      <c r="C2" s="18"/>
      <c r="D2" s="18"/>
      <c r="E2" s="155"/>
      <c r="F2" s="18"/>
    </row>
    <row r="3" spans="1:6" ht="15.75">
      <c r="A3" s="165" t="str">
        <f>inputPrYr!D4</f>
        <v>Decatur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t="s">
        <v>812</v>
      </c>
      <c r="B12" s="46" t="s">
        <v>813</v>
      </c>
      <c r="C12" s="140">
        <v>61600</v>
      </c>
      <c r="D12" s="140">
        <v>22000</v>
      </c>
      <c r="E12" s="140">
        <v>20000</v>
      </c>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61600</v>
      </c>
      <c r="D24" s="176">
        <f>SUM(D10:D23)</f>
        <v>22000</v>
      </c>
      <c r="E24" s="176">
        <f>SUM(E10:E23)</f>
        <v>20000</v>
      </c>
      <c r="F24" s="177"/>
      <c r="G24" s="61"/>
    </row>
    <row r="25" spans="1:7" ht="15.75">
      <c r="A25" s="30"/>
      <c r="B25" s="178" t="s">
        <v>551</v>
      </c>
      <c r="C25" s="179"/>
      <c r="D25" s="180"/>
      <c r="E25" s="180"/>
      <c r="F25" s="177"/>
      <c r="G25" s="61"/>
    </row>
    <row r="26" spans="1:7" ht="15.75">
      <c r="A26" s="30"/>
      <c r="B26" s="175" t="s">
        <v>166</v>
      </c>
      <c r="C26" s="176">
        <f>C24</f>
        <v>61600</v>
      </c>
      <c r="D26" s="176">
        <f>SUM(D24-D25)</f>
        <v>22000</v>
      </c>
      <c r="E26" s="176">
        <f>SUM(E24-E25)</f>
        <v>20000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nora</cp:lastModifiedBy>
  <cp:lastPrinted>2012-10-15T15:53:30Z</cp:lastPrinted>
  <dcterms:created xsi:type="dcterms:W3CDTF">1999-08-06T13:59:57Z</dcterms:created>
  <dcterms:modified xsi:type="dcterms:W3CDTF">2012-11-01T15:40:08Z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