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NonBud" sheetId="24" r:id="rId24"/>
    <sheet name="NonBudFunds" sheetId="25" r:id="rId25"/>
    <sheet name="Helpful Links" sheetId="26" r:id="rId26"/>
    <sheet name="legend" sheetId="27" r:id="rId27"/>
  </sheets>
  <definedNames>
    <definedName name="_xlnm.Print_Area" localSheetId="20">'DebtService'!$B$1:$E$62</definedName>
    <definedName name="_xlnm.Print_Area" localSheetId="10">'gen'!$B$1:$F$52</definedName>
    <definedName name="_xlnm.Print_Area" localSheetId="1">'inputPrYr'!$A$1:$E$46</definedName>
    <definedName name="_xlnm.Print_Area" localSheetId="0">'instructions'!$A$1:$A$93</definedName>
    <definedName name="_xlnm.Print_Area" localSheetId="21">'levypage8'!$A$1:$E$91</definedName>
    <definedName name="_xlnm.Print_Area" localSheetId="11">'summ'!$A$1:$I$28</definedName>
  </definedNames>
  <calcPr fullCalcOnLoad="1"/>
</workbook>
</file>

<file path=xl/sharedStrings.xml><?xml version="1.0" encoding="utf-8"?>
<sst xmlns="http://schemas.openxmlformats.org/spreadsheetml/2006/main" count="1170" uniqueCount="797">
  <si>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</si>
  <si>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</si>
  <si>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</si>
  <si>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</si>
  <si>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</si>
  <si>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</si>
  <si>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</si>
  <si>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</si>
  <si>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</si>
  <si>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</si>
  <si>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</si>
  <si>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</si>
  <si>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</si>
  <si>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</si>
  <si>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</si>
  <si>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</si>
  <si>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</si>
  <si>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</si>
  <si>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</si>
  <si>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</si>
  <si>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</si>
  <si>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</si>
  <si>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</si>
  <si>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</si>
  <si>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</si>
  <si>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</si>
  <si>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</si>
  <si>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</si>
  <si>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</si>
  <si>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</si>
  <si>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</si>
  <si>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</si>
  <si>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</si>
  <si>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</si>
  <si>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</si>
  <si>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</si>
  <si>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</si>
  <si>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</si>
  <si>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</si>
  <si>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</si>
  <si>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</si>
  <si>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</si>
  <si>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</si>
  <si>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</si>
  <si>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</si>
  <si>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</si>
  <si>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</si>
  <si>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</si>
  <si>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</si>
  <si>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</si>
  <si>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</si>
  <si>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</si>
  <si>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</si>
  <si>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</si>
  <si>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</si>
  <si>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</si>
  <si>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</si>
  <si>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</si>
  <si>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</si>
  <si>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</si>
  <si>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</si>
  <si>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</si>
  <si>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</si>
  <si>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</si>
  <si>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</si>
  <si>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</si>
  <si>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</si>
  <si>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</si>
  <si>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</si>
  <si>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</si>
  <si>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</si>
  <si>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</si>
  <si>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</si>
  <si>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</si>
  <si>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</si>
  <si>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</si>
  <si>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</si>
  <si>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</si>
  <si>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</si>
  <si>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</si>
  <si>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</si>
  <si>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</si>
  <si>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</si>
  <si>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</si>
  <si>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</si>
  <si>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</si>
  <si>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</si>
  <si>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</si>
  <si>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</si>
  <si>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</si>
  <si>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</si>
  <si>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</si>
  <si>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</si>
  <si>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</si>
  <si>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</si>
  <si>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</si>
  <si>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</si>
  <si>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</si>
  <si>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</si>
  <si>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</si>
  <si>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</si>
  <si>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</si>
  <si>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</si>
  <si>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</si>
  <si>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</si>
  <si>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</si>
  <si>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</si>
  <si>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</si>
  <si>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</si>
  <si>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</si>
  <si>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</si>
  <si>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</si>
  <si>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</si>
  <si>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</si>
  <si>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</si>
  <si>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</si>
  <si>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</si>
  <si>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</si>
  <si>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</si>
  <si>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</si>
  <si>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</si>
  <si>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</si>
  <si>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</si>
  <si>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</si>
  <si>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</si>
  <si>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</si>
  <si>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</si>
  <si>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</si>
  <si>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</si>
  <si>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</si>
  <si>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</si>
  <si>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</si>
  <si>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</si>
  <si>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</si>
  <si>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</si>
  <si>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</si>
  <si>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</si>
  <si>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</si>
  <si>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</si>
  <si>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</si>
  <si>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</si>
  <si>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</si>
  <si>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</si>
  <si>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</si>
  <si>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</si>
  <si>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</si>
  <si>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</si>
  <si>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</si>
  <si>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</si>
  <si>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</si>
  <si>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</si>
  <si>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</si>
  <si>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</si>
  <si>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</si>
  <si>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</si>
  <si>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</si>
  <si>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</si>
  <si>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</si>
  <si>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</si>
  <si>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</si>
  <si>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</si>
  <si>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</si>
  <si>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</si>
  <si>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</si>
  <si>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</si>
  <si>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</si>
  <si>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</si>
  <si>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</si>
  <si>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</si>
  <si>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</si>
  <si>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</si>
  <si>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</si>
  <si>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</si>
  <si>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</si>
  <si>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</si>
  <si>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</si>
  <si>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</si>
  <si>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</si>
  <si>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</si>
  <si>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</si>
  <si>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</si>
  <si>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</si>
  <si>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</si>
  <si>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</si>
  <si>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</si>
  <si>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</si>
  <si>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</si>
  <si>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</si>
  <si>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</si>
  <si>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</si>
  <si>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</si>
  <si>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</si>
  <si>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</si>
  <si>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</si>
  <si>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</si>
  <si>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</si>
  <si>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</si>
  <si>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</si>
  <si>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</si>
  <si>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</si>
  <si>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</si>
  <si>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</si>
  <si>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</si>
  <si>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</si>
  <si>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</si>
  <si>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</si>
  <si>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</si>
  <si>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</si>
  <si>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</si>
  <si>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</si>
  <si>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</si>
  <si>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</si>
  <si>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</si>
  <si>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</si>
  <si>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</si>
  <si>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</si>
  <si>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</si>
  <si>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</si>
  <si>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</si>
  <si>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</si>
  <si>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</si>
  <si>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</si>
  <si>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</si>
  <si>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</si>
  <si>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</si>
  <si>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</si>
  <si>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</si>
  <si>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</si>
  <si>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</si>
  <si>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</si>
  <si>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</si>
  <si>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</si>
  <si>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</si>
  <si>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</si>
  <si>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</si>
  <si>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</si>
  <si>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</si>
  <si>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</si>
  <si>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</si>
  <si>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</si>
  <si>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</si>
  <si>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</si>
  <si>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</si>
  <si>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</si>
  <si>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</si>
  <si>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</si>
  <si>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</si>
  <si>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</si>
  <si>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</si>
  <si>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</si>
  <si>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</si>
  <si>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</si>
  <si>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</si>
  <si>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</si>
  <si>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</si>
  <si>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</si>
  <si>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</si>
  <si>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</si>
  <si>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</si>
  <si>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</si>
  <si>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</si>
  <si>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</si>
  <si>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</si>
  <si>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</si>
  <si>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</si>
  <si>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</si>
  <si>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</si>
  <si>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</si>
  <si>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</si>
  <si>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</si>
  <si>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</si>
  <si>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</si>
  <si>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</si>
  <si>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</si>
  <si>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</si>
  <si>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</si>
  <si>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</si>
  <si>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</si>
  <si>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</si>
  <si>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</si>
  <si>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</si>
  <si>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</si>
  <si>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</si>
  <si>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</si>
  <si>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</si>
  <si>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</si>
  <si>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</si>
  <si>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</si>
  <si>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</si>
  <si>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</si>
  <si>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</si>
  <si>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</si>
  <si>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</si>
  <si>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</si>
  <si>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</si>
  <si>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</si>
  <si>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</si>
  <si>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</si>
  <si>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</si>
  <si>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</si>
  <si>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</si>
  <si>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</si>
  <si>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</si>
  <si>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</si>
  <si>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</si>
  <si>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</si>
  <si>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</si>
  <si>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</si>
  <si>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</si>
  <si>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</si>
  <si>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</si>
  <si>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</si>
  <si>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</si>
  <si>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</si>
  <si>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</si>
  <si>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</si>
  <si>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</si>
  <si>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</si>
  <si>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</si>
  <si>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</si>
  <si>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</si>
  <si>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</si>
  <si>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</si>
  <si>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</si>
  <si>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</si>
  <si>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</si>
  <si>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</si>
  <si>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</si>
  <si>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</si>
  <si>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</si>
  <si>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</si>
  <si>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</si>
  <si>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</si>
  <si>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</si>
  <si>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</si>
  <si>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</si>
  <si>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</si>
  <si>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</si>
  <si>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</si>
  <si>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</si>
  <si>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</si>
  <si>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</si>
  <si>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</si>
  <si>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</si>
  <si>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</si>
  <si>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</si>
  <si>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</si>
  <si>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</si>
  <si>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</si>
  <si>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</si>
  <si>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</si>
  <si>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</si>
  <si>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</si>
  <si>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</si>
  <si>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</si>
  <si>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</si>
  <si>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</si>
  <si>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</si>
  <si>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</si>
  <si>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</si>
  <si>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</si>
  <si>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</si>
  <si>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</si>
  <si>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</si>
  <si>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</si>
  <si>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</si>
  <si>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</si>
  <si>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</si>
  <si>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</si>
  <si>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</si>
  <si>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</si>
  <si>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</si>
  <si>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</si>
  <si>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</si>
  <si>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</si>
  <si>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</si>
  <si>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</si>
  <si>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</si>
  <si>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</si>
  <si>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</si>
  <si>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</si>
  <si>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</si>
  <si>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</si>
  <si>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</si>
  <si>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</si>
  <si>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</si>
  <si>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</si>
  <si>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</si>
  <si>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</si>
  <si>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</si>
  <si>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</si>
  <si>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</si>
  <si>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</si>
  <si>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</si>
  <si>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</si>
  <si>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</si>
  <si>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</si>
  <si>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</si>
  <si>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</si>
  <si>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</si>
  <si>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</si>
  <si>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</si>
  <si>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</si>
  <si>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</si>
  <si>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</si>
  <si>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</si>
  <si>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</si>
  <si>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</si>
  <si>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</si>
  <si>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</si>
  <si>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</si>
  <si>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</si>
  <si>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</si>
  <si>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</si>
  <si>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</si>
  <si>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</si>
  <si>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</si>
  <si>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</si>
  <si>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</si>
  <si>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</si>
  <si>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</si>
  <si>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</si>
  <si>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</si>
  <si>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</si>
  <si>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</si>
  <si>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</si>
  <si>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</si>
  <si>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</si>
  <si>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</si>
  <si>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</si>
  <si>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</si>
  <si>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</si>
  <si>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</si>
  <si>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</si>
  <si>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</si>
  <si>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</si>
  <si>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</si>
  <si>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</si>
  <si>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</si>
  <si>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</si>
  <si>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</si>
  <si>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</si>
  <si>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</si>
  <si>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</si>
  <si>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</si>
  <si>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</si>
  <si>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</si>
  <si>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</si>
  <si>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</si>
  <si>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</si>
  <si>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</si>
  <si>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</si>
  <si>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</si>
  <si>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</si>
  <si>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</si>
  <si>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</si>
  <si>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</si>
  <si>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</si>
  <si>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</si>
  <si>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</si>
  <si>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</si>
  <si>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</si>
  <si>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</si>
  <si>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</si>
  <si>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</si>
  <si>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</si>
  <si>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</si>
  <si>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</si>
  <si>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</si>
  <si>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</si>
  <si>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</si>
  <si>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</si>
  <si>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</si>
  <si>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</si>
  <si>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</si>
  <si>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</si>
  <si>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</si>
  <si>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</si>
  <si>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</si>
  <si>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</si>
  <si>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</si>
  <si>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</si>
  <si>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</si>
  <si>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</si>
  <si>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</si>
  <si>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</si>
  <si>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</si>
  <si>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</si>
  <si>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</si>
  <si>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</si>
  <si>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</si>
  <si>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</si>
  <si>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</si>
  <si>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</si>
  <si>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</si>
  <si>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</si>
  <si>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</si>
  <si>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</si>
  <si>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</si>
  <si>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</si>
  <si>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</si>
  <si>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</si>
  <si>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</si>
  <si>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</si>
  <si>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</si>
  <si>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</si>
  <si>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</si>
  <si>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</si>
  <si>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</si>
  <si>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</si>
  <si>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</si>
  <si>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</si>
  <si>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</si>
  <si>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</si>
  <si>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</si>
  <si>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</si>
  <si>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</si>
  <si>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</si>
  <si>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</si>
  <si>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</si>
  <si>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</si>
  <si>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</si>
  <si>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</si>
  <si>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</si>
  <si>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</si>
  <si>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</si>
  <si>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</si>
  <si>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</si>
  <si>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</si>
  <si>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</si>
  <si>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</si>
  <si>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</si>
  <si>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</si>
  <si>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</si>
  <si>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</si>
  <si>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</si>
  <si>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</si>
  <si>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</si>
  <si>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</si>
  <si>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</si>
  <si>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</si>
  <si>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</si>
  <si>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</si>
  <si>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</si>
  <si>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</si>
  <si>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</si>
  <si>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</si>
  <si>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</si>
  <si>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</si>
  <si>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</si>
  <si>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</si>
  <si>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</si>
  <si>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</si>
  <si>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</si>
  <si>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</si>
  <si>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</si>
  <si>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</si>
  <si>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</si>
  <si>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</si>
  <si>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</si>
  <si>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</si>
  <si>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</si>
  <si>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</si>
  <si>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</si>
  <si>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</si>
  <si>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</si>
  <si>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</si>
  <si>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</si>
  <si>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</si>
  <si>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</si>
  <si>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</si>
  <si>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</si>
  <si>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</si>
  <si>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</si>
  <si>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</si>
  <si>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</si>
  <si>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</si>
  <si>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</si>
  <si>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</si>
  <si>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</si>
  <si>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</si>
  <si>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</si>
  <si>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</si>
  <si>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</si>
  <si>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</si>
  <si>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</si>
  <si>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</si>
  <si>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</si>
  <si>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</si>
  <si>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</si>
  <si>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</si>
  <si>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</si>
  <si>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</si>
  <si>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</si>
  <si>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</si>
  <si>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</si>
  <si>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</si>
  <si>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</si>
  <si>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</si>
  <si>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</si>
  <si>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</si>
  <si>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</si>
  <si>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</si>
  <si>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</si>
  <si>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</si>
  <si>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</si>
  <si>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</si>
  <si>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</si>
  <si>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</si>
  <si>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</si>
  <si>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</si>
  <si>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</si>
  <si>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</si>
  <si>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</si>
  <si>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</si>
  <si>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</si>
  <si>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</si>
  <si>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</si>
  <si>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</si>
  <si>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</si>
  <si>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</si>
  <si>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</si>
  <si>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</si>
  <si>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</si>
  <si>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</si>
  <si>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</si>
  <si>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</si>
  <si>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</si>
  <si>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</si>
  <si>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</si>
  <si>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</si>
  <si>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</si>
  <si>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</si>
  <si>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</si>
  <si>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</si>
  <si>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</si>
  <si>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</si>
  <si>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</si>
  <si>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</si>
  <si>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</si>
  <si>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</si>
  <si>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</si>
  <si>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</si>
  <si>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</si>
  <si>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</si>
  <si>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</si>
  <si>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</si>
  <si>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</si>
  <si>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</si>
  <si>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</si>
  <si>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</si>
  <si>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</si>
  <si>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</si>
  <si>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</si>
  <si>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</si>
  <si>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</si>
  <si>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</si>
  <si>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</si>
  <si>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</si>
  <si>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</si>
  <si>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</si>
  <si>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</si>
  <si>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</si>
  <si>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</si>
  <si>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</si>
  <si>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</si>
  <si>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</si>
  <si>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</si>
  <si>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</si>
  <si>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</si>
  <si>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</si>
  <si>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</si>
  <si>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</si>
  <si>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</si>
  <si>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</si>
  <si>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</si>
  <si>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</si>
  <si>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</si>
  <si>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</si>
  <si>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</si>
  <si>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</si>
  <si>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</si>
  <si>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</si>
  <si>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</si>
  <si>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</si>
  <si>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</si>
  <si>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</si>
  <si>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</si>
  <si>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</si>
  <si>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</si>
  <si>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</si>
  <si>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</si>
  <si>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</si>
  <si>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</si>
  <si>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</si>
  <si>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</si>
  <si>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</si>
  <si>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</si>
  <si>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</si>
  <si>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</si>
  <si>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</si>
  <si>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</si>
  <si>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</si>
  <si>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</si>
  <si>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</si>
  <si>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</si>
  <si>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</si>
  <si>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</si>
  <si>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</si>
  <si>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</si>
  <si>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</si>
  <si>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</si>
  <si>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</si>
  <si>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</si>
  <si>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</si>
  <si>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</si>
  <si>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</si>
  <si>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</si>
  <si>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</si>
  <si>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</si>
  <si>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</si>
  <si>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</si>
  <si>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</si>
  <si>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</si>
  <si>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</si>
  <si>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</si>
  <si>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</si>
  <si>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</si>
  <si>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</si>
  <si>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</si>
  <si>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</si>
  <si>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</si>
  <si>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</si>
  <si>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</si>
  <si>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</si>
  <si>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</si>
  <si>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</si>
  <si>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</si>
  <si>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</si>
  <si>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</si>
  <si>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</si>
  <si>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</si>
  <si>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</si>
  <si>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</si>
  <si>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</si>
  <si>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</si>
  <si>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</si>
  <si>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</si>
  <si>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</si>
  <si>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</si>
  <si>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</si>
  <si>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</si>
  <si>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</si>
  <si>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</si>
  <si>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</si>
  <si>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</si>
  <si>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</si>
  <si>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</si>
  <si>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</si>
  <si>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</si>
  <si>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</si>
  <si>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</si>
  <si>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</si>
  <si>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</si>
  <si>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</si>
  <si>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</si>
  <si>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</si>
  <si>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</si>
  <si>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</si>
  <si>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</si>
  <si>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</si>
  <si>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</si>
  <si>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</si>
  <si>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</si>
  <si>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</si>
  <si>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</si>
  <si>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</si>
  <si>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</si>
  <si>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</si>
  <si>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</si>
  <si>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</si>
  <si>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Brown County</t>
  </si>
  <si>
    <t>24-1219</t>
  </si>
  <si>
    <t>Watershed # 75 Roy's Creek</t>
  </si>
  <si>
    <t>2831 Prairie Road</t>
  </si>
  <si>
    <t>Brown County Clerk's office</t>
  </si>
  <si>
    <t>Cost Shares</t>
  </si>
  <si>
    <t>Engineering</t>
  </si>
  <si>
    <t>Construction &amp; Maintenance</t>
  </si>
  <si>
    <t>Attorney Fees</t>
  </si>
  <si>
    <t>Insurance</t>
  </si>
  <si>
    <t>Supplies</t>
  </si>
  <si>
    <t>Budget &amp; Publication</t>
  </si>
  <si>
    <t>August 1, 2012</t>
  </si>
  <si>
    <t>1:30 PM</t>
  </si>
  <si>
    <t>Edwin D Winter</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</si>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</sst>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8" t="s">
        <v>741</v>
      </c>
    </row>
    <row r="63" ht="70.5" customHeight="1">
      <c r="A63" s="508"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8" t="s">
        <v>746</v>
      </c>
    </row>
    <row r="81" s="311" customFormat="1" ht="103.5" customHeight="1">
      <c r="A81" s="508"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8" t="s">
        <v>683</v>
      </c>
    </row>
    <row r="91" ht="81.75" customHeight="1">
      <c r="A91" s="508" t="s">
        <v>684</v>
      </c>
    </row>
    <row r="92" ht="97.5" customHeight="1">
      <c r="A92" s="508"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Watershed # 75 Roy's Creek</v>
      </c>
      <c r="C1" s="18"/>
      <c r="D1" s="18"/>
      <c r="E1" s="18"/>
      <c r="F1" s="18"/>
      <c r="G1" s="18"/>
      <c r="H1" s="18"/>
      <c r="I1" s="18"/>
      <c r="J1" s="18"/>
      <c r="K1" s="18"/>
      <c r="L1" s="181">
        <f>inputPrYr!D6</f>
        <v>2013</v>
      </c>
    </row>
    <row r="2" spans="2:12" ht="15.75">
      <c r="B2" s="18" t="str">
        <f>inputPrYr!$D$4</f>
        <v>Brown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2012</v>
      </c>
      <c r="J7" s="189"/>
      <c r="K7" s="188">
        <f>L1</f>
        <v>2013</v>
      </c>
      <c r="L7" s="189"/>
    </row>
    <row r="8" spans="2:12" s="184" customFormat="1" ht="15.7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7"/>
      <c r="H20" s="203"/>
      <c r="I20" s="202">
        <f>SUM(I18:I19)</f>
        <v>0</v>
      </c>
      <c r="J20" s="202">
        <f>SUM(J18:J19)</f>
        <v>0</v>
      </c>
      <c r="K20" s="202">
        <f>SUM(K18:K19)</f>
        <v>0</v>
      </c>
      <c r="L20" s="202">
        <f>SUM(L18:L19)</f>
        <v>0</v>
      </c>
    </row>
    <row r="21" spans="2:12" s="184" customFormat="1" ht="15.75">
      <c r="B21" s="206" t="s">
        <v>81</v>
      </c>
      <c r="C21" s="535"/>
      <c r="D21" s="538"/>
      <c r="E21" s="539"/>
      <c r="F21" s="207">
        <f>SUM(F12+F16+F20)</f>
        <v>0</v>
      </c>
      <c r="G21" s="536"/>
      <c r="H21" s="538"/>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4" t="s">
        <v>75</v>
      </c>
      <c r="C23" s="629"/>
      <c r="D23" s="629"/>
      <c r="E23" s="629"/>
      <c r="F23" s="629"/>
      <c r="G23" s="629"/>
      <c r="H23" s="629"/>
      <c r="I23" s="629"/>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0"/>
      <c r="C41" s="217"/>
      <c r="D41" s="217"/>
      <c r="E41" s="541"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60"/>
  <sheetViews>
    <sheetView zoomScalePageLayoutView="0" workbookViewId="0" topLeftCell="A31">
      <selection activeCell="E46" sqref="E4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 75 Roy's Creek</v>
      </c>
      <c r="C1" s="221"/>
      <c r="D1" s="18"/>
      <c r="E1" s="181"/>
    </row>
    <row r="2" spans="2:5" ht="15.75">
      <c r="B2" s="18" t="str">
        <f>inputPrYr!D4</f>
        <v>Brown County</v>
      </c>
      <c r="C2" s="221"/>
      <c r="D2" s="18"/>
      <c r="E2" s="137"/>
    </row>
    <row r="3" spans="2:6" ht="15.75">
      <c r="B3" s="486" t="s">
        <v>76</v>
      </c>
      <c r="C3" s="221"/>
      <c r="D3" s="18"/>
      <c r="E3" s="181">
        <f>inputPrYr!$D$6</f>
        <v>2013</v>
      </c>
      <c r="F3" s="556"/>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2011</v>
      </c>
      <c r="D6" s="369" t="str">
        <f>CONCATENATE("Estimate for ",E3-1,"")</f>
        <v>Estimate for 2012</v>
      </c>
      <c r="E6" s="223" t="str">
        <f>CONCATENATE("Year for ",E3,"")</f>
        <v>Year for 2013</v>
      </c>
    </row>
    <row r="7" spans="2:5" ht="15.75">
      <c r="B7" s="118" t="s">
        <v>120</v>
      </c>
      <c r="C7" s="363">
        <v>129860</v>
      </c>
      <c r="D7" s="370">
        <f>C40</f>
        <v>148179</v>
      </c>
      <c r="E7" s="45">
        <f>D40</f>
        <v>141334</v>
      </c>
    </row>
    <row r="8" spans="2:5" ht="15.75">
      <c r="B8" s="225" t="s">
        <v>122</v>
      </c>
      <c r="C8" s="226"/>
      <c r="D8" s="226"/>
      <c r="E8" s="122"/>
    </row>
    <row r="9" spans="2:5" ht="15.75">
      <c r="B9" s="118" t="s">
        <v>33</v>
      </c>
      <c r="C9" s="363">
        <v>17268</v>
      </c>
      <c r="D9" s="370">
        <f>IF(inputPrYr!H18&gt;0,inputPrYr!G19,inputPrYr!E19)</f>
        <v>16621</v>
      </c>
      <c r="E9" s="127" t="s">
        <v>28</v>
      </c>
    </row>
    <row r="10" spans="2:5" ht="15.75">
      <c r="B10" s="118" t="s">
        <v>34</v>
      </c>
      <c r="C10" s="363"/>
      <c r="D10" s="363"/>
      <c r="E10" s="197"/>
    </row>
    <row r="11" spans="2:5" ht="15.75">
      <c r="B11" s="118" t="s">
        <v>35</v>
      </c>
      <c r="C11" s="363"/>
      <c r="D11" s="363">
        <v>907</v>
      </c>
      <c r="E11" s="45">
        <f>mvalloc!D11</f>
        <v>951</v>
      </c>
    </row>
    <row r="12" spans="2:5" ht="15.75">
      <c r="B12" s="118" t="s">
        <v>36</v>
      </c>
      <c r="C12" s="363"/>
      <c r="D12" s="363">
        <v>24</v>
      </c>
      <c r="E12" s="45">
        <f>mvalloc!E11</f>
        <v>36</v>
      </c>
    </row>
    <row r="13" spans="2:5" ht="15.75">
      <c r="B13" s="226" t="s">
        <v>104</v>
      </c>
      <c r="C13" s="363"/>
      <c r="D13" s="363">
        <v>228</v>
      </c>
      <c r="E13" s="45">
        <f>mvalloc!F11</f>
        <v>194</v>
      </c>
    </row>
    <row r="14" spans="2:5" ht="15.75">
      <c r="B14" s="226" t="s">
        <v>153</v>
      </c>
      <c r="C14" s="363"/>
      <c r="D14" s="363"/>
      <c r="E14" s="45">
        <f>inputOth!E30</f>
        <v>0</v>
      </c>
    </row>
    <row r="15" spans="2:5" ht="15.75">
      <c r="B15" s="227"/>
      <c r="C15" s="363"/>
      <c r="D15" s="363"/>
      <c r="E15" s="197"/>
    </row>
    <row r="16" spans="2:5" ht="15.75">
      <c r="B16" s="227"/>
      <c r="C16" s="363"/>
      <c r="D16" s="363"/>
      <c r="E16" s="197"/>
    </row>
    <row r="17" spans="2:5" ht="15.75">
      <c r="B17" s="228"/>
      <c r="C17" s="363"/>
      <c r="D17" s="363"/>
      <c r="E17" s="197"/>
    </row>
    <row r="18" spans="2:5" ht="15.75">
      <c r="B18" s="228" t="s">
        <v>37</v>
      </c>
      <c r="C18" s="363">
        <f>1+125+1420</f>
        <v>1546</v>
      </c>
      <c r="D18" s="363">
        <v>1000</v>
      </c>
      <c r="E18" s="197">
        <v>1000</v>
      </c>
    </row>
    <row r="19" spans="2:5" ht="15.75">
      <c r="B19" s="229" t="s">
        <v>212</v>
      </c>
      <c r="C19" s="227"/>
      <c r="D19" s="227"/>
      <c r="E19" s="197"/>
    </row>
    <row r="20" spans="2:5" ht="15.75">
      <c r="B20" s="229" t="s">
        <v>556</v>
      </c>
      <c r="C20" s="364">
        <f>IF(C21*0.1&lt;C19,"Exceed 10% Rule","")</f>
      </c>
      <c r="D20" s="364">
        <f>IF(D21*0.1&lt;D19,"Exceed 10% Rule","")</f>
      </c>
      <c r="E20" s="383">
        <f>IF(E21*0.1+E46&lt;E19,"Exceed 10% Rule","")</f>
      </c>
    </row>
    <row r="21" spans="2:5" ht="15.75">
      <c r="B21" s="232" t="s">
        <v>38</v>
      </c>
      <c r="C21" s="365">
        <f>SUM(C9:C19)</f>
        <v>18814</v>
      </c>
      <c r="D21" s="365">
        <f>SUM(D9:D19)</f>
        <v>18780</v>
      </c>
      <c r="E21" s="233">
        <f>SUM(E9:E19)</f>
        <v>2181</v>
      </c>
    </row>
    <row r="22" spans="2:5" ht="15.75">
      <c r="B22" s="232" t="s">
        <v>39</v>
      </c>
      <c r="C22" s="365">
        <f>C7+C21</f>
        <v>148674</v>
      </c>
      <c r="D22" s="365">
        <f>D7+D21</f>
        <v>166959</v>
      </c>
      <c r="E22" s="233">
        <f>E7+E21</f>
        <v>143515</v>
      </c>
    </row>
    <row r="23" spans="2:5" ht="15.75">
      <c r="B23" s="118" t="s">
        <v>40</v>
      </c>
      <c r="C23" s="120"/>
      <c r="D23" s="120"/>
      <c r="E23" s="36"/>
    </row>
    <row r="24" spans="2:5" ht="15.75">
      <c r="B24" s="227"/>
      <c r="C24" s="363"/>
      <c r="D24" s="363"/>
      <c r="E24" s="197"/>
    </row>
    <row r="25" spans="2:5" ht="15.75">
      <c r="B25" s="227" t="s">
        <v>786</v>
      </c>
      <c r="C25" s="363"/>
      <c r="D25" s="363">
        <v>15000</v>
      </c>
      <c r="E25" s="197">
        <v>15000</v>
      </c>
    </row>
    <row r="26" spans="2:5" ht="15.75">
      <c r="B26" s="227" t="s">
        <v>787</v>
      </c>
      <c r="C26" s="363"/>
      <c r="D26" s="363">
        <v>2000</v>
      </c>
      <c r="E26" s="197">
        <v>2000</v>
      </c>
    </row>
    <row r="27" spans="2:5" ht="15.75">
      <c r="B27" s="227" t="s">
        <v>788</v>
      </c>
      <c r="C27" s="363"/>
      <c r="D27" s="363">
        <v>5000</v>
      </c>
      <c r="E27" s="197">
        <f>143515+16875-20650</f>
        <v>139740</v>
      </c>
    </row>
    <row r="28" spans="2:5" ht="15.75">
      <c r="B28" s="227" t="s">
        <v>789</v>
      </c>
      <c r="C28" s="363"/>
      <c r="D28" s="363">
        <v>1000</v>
      </c>
      <c r="E28" s="197">
        <v>1000</v>
      </c>
    </row>
    <row r="29" spans="2:5" ht="15.75">
      <c r="B29" s="227" t="s">
        <v>790</v>
      </c>
      <c r="C29" s="363"/>
      <c r="D29" s="363">
        <v>1000</v>
      </c>
      <c r="E29" s="197">
        <v>1000</v>
      </c>
    </row>
    <row r="30" spans="2:5" ht="15.75">
      <c r="B30" s="227" t="s">
        <v>791</v>
      </c>
      <c r="C30" s="363">
        <f>495-100</f>
        <v>395</v>
      </c>
      <c r="D30" s="363">
        <v>1500</v>
      </c>
      <c r="E30" s="197">
        <v>1500</v>
      </c>
    </row>
    <row r="31" spans="2:5" ht="15.75">
      <c r="B31" s="227" t="s">
        <v>792</v>
      </c>
      <c r="C31" s="363">
        <v>100</v>
      </c>
      <c r="D31" s="363">
        <v>125</v>
      </c>
      <c r="E31" s="197">
        <v>150</v>
      </c>
    </row>
    <row r="32" spans="2:5" ht="15.75">
      <c r="B32" s="227"/>
      <c r="C32" s="363"/>
      <c r="D32" s="363"/>
      <c r="E32" s="197"/>
    </row>
    <row r="33" spans="2:5" ht="15.75">
      <c r="B33" s="227"/>
      <c r="C33" s="363"/>
      <c r="D33" s="363"/>
      <c r="E33" s="197"/>
    </row>
    <row r="34" spans="2:11" ht="15.75">
      <c r="B34" s="227"/>
      <c r="C34" s="363"/>
      <c r="D34" s="363"/>
      <c r="E34" s="197"/>
      <c r="F34" s="16"/>
      <c r="G34" s="568" t="str">
        <f>CONCATENATE("",E3," Tot Exp/Non-Appr Must Be:")</f>
        <v>2013 Tot Exp/Non-Appr Must Be:</v>
      </c>
      <c r="H34" s="558"/>
      <c r="I34" s="557"/>
      <c r="J34" s="569" t="e">
        <f>IF(#REF!&gt;0,IF(E43&lt;E22,IF(#REF!=G45,E43,((#REF!-G45)*(1-D45))+E22),E43+(#REF!-G45)),0)</f>
        <v>#REF!</v>
      </c>
      <c r="K34" s="16"/>
    </row>
    <row r="35" spans="2:11" ht="15.75">
      <c r="B35" s="227"/>
      <c r="C35" s="363"/>
      <c r="D35" s="363"/>
      <c r="E35" s="197"/>
      <c r="F35" s="16"/>
      <c r="G35" s="570" t="s">
        <v>723</v>
      </c>
      <c r="H35" s="571"/>
      <c r="I35" s="571"/>
      <c r="J35" s="572" t="e">
        <f>IF(#REF!&gt;0,J34-E43,0)</f>
        <v>#REF!</v>
      </c>
      <c r="K35" s="16"/>
    </row>
    <row r="36" spans="2:11" ht="15.75">
      <c r="B36" s="120" t="s">
        <v>213</v>
      </c>
      <c r="C36" s="363"/>
      <c r="D36" s="363"/>
      <c r="E36" s="202">
        <f>Nhood!E7</f>
      </c>
      <c r="F36" s="16"/>
      <c r="G36" s="16"/>
      <c r="H36" s="16"/>
      <c r="I36" s="16"/>
      <c r="J36" s="16"/>
      <c r="K36" s="16"/>
    </row>
    <row r="37" spans="2:11" ht="15.75">
      <c r="B37" s="120" t="s">
        <v>212</v>
      </c>
      <c r="C37" s="363"/>
      <c r="D37" s="363"/>
      <c r="E37" s="35"/>
      <c r="F37" s="16"/>
      <c r="G37" s="674" t="str">
        <f>CONCATENATE("Projected Carryover Into ",E3+1,"")</f>
        <v>Projected Carryover Into 2014</v>
      </c>
      <c r="H37" s="675"/>
      <c r="I37" s="675"/>
      <c r="J37" s="676"/>
      <c r="K37" s="16"/>
    </row>
    <row r="38" spans="2:11" ht="15.75">
      <c r="B38" s="120" t="s">
        <v>555</v>
      </c>
      <c r="C38" s="364">
        <f>IF(C39*0.1&lt;C37,"Exceed 10% Rule","")</f>
      </c>
      <c r="D38" s="364">
        <f>IF(D39*0.1&lt;D37,"Exceed 10% Rule","")</f>
      </c>
      <c r="E38" s="383">
        <f>IF(E39*0.1&lt;E37,"Exceed 10% Rule","")</f>
      </c>
      <c r="F38" s="16"/>
      <c r="G38" s="490"/>
      <c r="H38" s="69"/>
      <c r="I38" s="69"/>
      <c r="J38" s="479"/>
      <c r="K38" s="16"/>
    </row>
    <row r="39" spans="2:11" ht="15.75">
      <c r="B39" s="232" t="s">
        <v>41</v>
      </c>
      <c r="C39" s="365">
        <f>SUM(C24:C37)</f>
        <v>495</v>
      </c>
      <c r="D39" s="365">
        <f>SUM(D24:D37)</f>
        <v>25625</v>
      </c>
      <c r="E39" s="233">
        <f>SUM(E24:E37)</f>
        <v>160390</v>
      </c>
      <c r="F39" s="16"/>
      <c r="G39" s="485">
        <f>D40</f>
        <v>141334</v>
      </c>
      <c r="H39" s="484" t="str">
        <f>CONCATENATE("",E3-1," Ending Cash Balance (est.)")</f>
        <v>2012 Ending Cash Balance (est.)</v>
      </c>
      <c r="I39" s="573"/>
      <c r="J39" s="479"/>
      <c r="K39" s="16"/>
    </row>
    <row r="40" spans="2:11" ht="15.75">
      <c r="B40" s="118" t="s">
        <v>121</v>
      </c>
      <c r="C40" s="366">
        <f>C22-C39</f>
        <v>148179</v>
      </c>
      <c r="D40" s="366">
        <f>D22-D39</f>
        <v>141334</v>
      </c>
      <c r="E40" s="127" t="s">
        <v>28</v>
      </c>
      <c r="F40" s="16"/>
      <c r="G40" s="485">
        <f>E21</f>
        <v>2181</v>
      </c>
      <c r="H40" s="478" t="str">
        <f>CONCATENATE("",E3," Non-AV Receipts (est.)")</f>
        <v>2013 Non-AV Receipts (est.)</v>
      </c>
      <c r="I40" s="573"/>
      <c r="J40" s="479"/>
      <c r="K40" s="16"/>
    </row>
    <row r="41" spans="2:11" ht="15.75">
      <c r="B41" s="137" t="str">
        <f>CONCATENATE("",E3-2,"/",E3-1," Budget Authority Amount:")</f>
        <v>2011/2012 Budget Authority Amount:</v>
      </c>
      <c r="C41" s="119">
        <f>inputOth!B41</f>
        <v>30625</v>
      </c>
      <c r="D41" s="384">
        <f>inputPrYr!D19</f>
        <v>136225</v>
      </c>
      <c r="E41" s="127" t="s">
        <v>28</v>
      </c>
      <c r="F41" s="250"/>
      <c r="G41" s="477">
        <f>IF(E45&gt;0,E44,E46)</f>
        <v>16875</v>
      </c>
      <c r="H41" s="478" t="str">
        <f>CONCATENATE("",E3," Ad Valorem Tax (est.)")</f>
        <v>2013 Ad Valorem Tax (est.)</v>
      </c>
      <c r="I41" s="478"/>
      <c r="J41" s="479"/>
      <c r="K41" s="574">
        <f>IF(G41=E46,"","Note: Does not include Delinquent Taxes")</f>
      </c>
    </row>
    <row r="42" spans="2:11" ht="15.75">
      <c r="B42" s="137"/>
      <c r="C42" s="670" t="s">
        <v>652</v>
      </c>
      <c r="D42" s="671"/>
      <c r="E42" s="35"/>
      <c r="F42" s="575">
        <f>IF(E39/0.95-E39&lt;E42,"Exceeds 5%","")</f>
      </c>
      <c r="G42" s="485">
        <f>SUM(G39:G41)</f>
        <v>160390</v>
      </c>
      <c r="H42" s="478" t="str">
        <f>CONCATENATE("Total ",E3," Resources Available")</f>
        <v>Total 2013 Resources Available</v>
      </c>
      <c r="I42" s="573"/>
      <c r="J42" s="479"/>
      <c r="K42" s="16"/>
    </row>
    <row r="43" spans="2:11" ht="15.75">
      <c r="B43" s="382" t="str">
        <f>CONCATENATE(C59,"     ",D59)</f>
        <v>     </v>
      </c>
      <c r="C43" s="672" t="s">
        <v>653</v>
      </c>
      <c r="D43" s="673"/>
      <c r="E43" s="45">
        <f>E39+E42</f>
        <v>160390</v>
      </c>
      <c r="F43" s="16"/>
      <c r="G43" s="476"/>
      <c r="H43" s="478"/>
      <c r="I43" s="478"/>
      <c r="J43" s="479"/>
      <c r="K43" s="16"/>
    </row>
    <row r="44" spans="2:11" ht="15.75">
      <c r="B44" s="382" t="str">
        <f>CONCATENATE(C60,"     ",D60)</f>
        <v>     </v>
      </c>
      <c r="C44" s="489"/>
      <c r="D44" s="488" t="s">
        <v>654</v>
      </c>
      <c r="E44" s="42">
        <f>IF(E43-E22&gt;0,E43-E22,0)</f>
        <v>16875</v>
      </c>
      <c r="F44" s="16"/>
      <c r="G44" s="477">
        <f>ROUND(C39*0.05+C39,0)</f>
        <v>520</v>
      </c>
      <c r="H44" s="478" t="str">
        <f>CONCATENATE("Less ",E3-2," Expenditures + 5%")</f>
        <v>Less 2011 Expenditures + 5%</v>
      </c>
      <c r="I44" s="573"/>
      <c r="J44" s="479"/>
      <c r="K44" s="16"/>
    </row>
    <row r="45" spans="2:11" ht="15.75">
      <c r="B45" s="154"/>
      <c r="C45" s="487" t="s">
        <v>655</v>
      </c>
      <c r="D45" s="585">
        <f>inputOth!$E$35</f>
        <v>0</v>
      </c>
      <c r="E45" s="45">
        <f>ROUND(IF(D45&gt;0,(E44*D45),0),0)</f>
        <v>0</v>
      </c>
      <c r="F45" s="16"/>
      <c r="G45" s="475">
        <f>G42-G44</f>
        <v>159870</v>
      </c>
      <c r="H45" s="474" t="str">
        <f>CONCATENATE("Projected ",E3+1," Carryover (est.)")</f>
        <v>Projected 2014 Carryover (est.)</v>
      </c>
      <c r="I45" s="576"/>
      <c r="J45" s="473"/>
      <c r="K45" s="16"/>
    </row>
    <row r="46" spans="2:11" ht="15.75">
      <c r="B46" s="18"/>
      <c r="C46" s="668" t="str">
        <f>CONCATENATE("Amount of  ",$E$3-1," Ad Valorem Tax")</f>
        <v>Amount of  2012 Ad Valorem Tax</v>
      </c>
      <c r="D46" s="669"/>
      <c r="E46" s="42">
        <f>E44+E45</f>
        <v>16875</v>
      </c>
      <c r="F46" s="16"/>
      <c r="G46" s="16"/>
      <c r="H46" s="16"/>
      <c r="I46" s="16"/>
      <c r="J46" s="16"/>
      <c r="K46" s="16"/>
    </row>
    <row r="47" spans="2:11" ht="15.75">
      <c r="B47" s="18"/>
      <c r="C47" s="18"/>
      <c r="D47" s="18"/>
      <c r="E47" s="18"/>
      <c r="F47" s="16"/>
      <c r="G47" s="665" t="s">
        <v>724</v>
      </c>
      <c r="H47" s="666"/>
      <c r="I47" s="666"/>
      <c r="J47" s="667"/>
      <c r="K47" s="16"/>
    </row>
    <row r="48" spans="2:11" ht="15.75">
      <c r="B48" s="18"/>
      <c r="C48" s="18"/>
      <c r="D48" s="18"/>
      <c r="E48" s="18"/>
      <c r="F48" s="16"/>
      <c r="G48" s="577"/>
      <c r="H48" s="484"/>
      <c r="I48" s="559"/>
      <c r="J48" s="578"/>
      <c r="K48" s="16"/>
    </row>
    <row r="49" spans="2:11" ht="15.75">
      <c r="B49" s="18"/>
      <c r="C49" s="18"/>
      <c r="D49" s="18"/>
      <c r="E49" s="18"/>
      <c r="F49" s="16"/>
      <c r="G49" s="579">
        <f>summ!H16</f>
        <v>3.531</v>
      </c>
      <c r="H49" s="484" t="str">
        <f>CONCATENATE("",E3," Fund Mill Rate")</f>
        <v>2013 Fund Mill Rate</v>
      </c>
      <c r="I49" s="559"/>
      <c r="J49" s="578"/>
      <c r="K49" s="16"/>
    </row>
    <row r="50" spans="2:11" ht="15.75">
      <c r="B50" s="18"/>
      <c r="C50" s="18"/>
      <c r="D50" s="18"/>
      <c r="E50" s="18"/>
      <c r="F50" s="580"/>
      <c r="G50" s="581">
        <f>summ!E16</f>
        <v>3.825</v>
      </c>
      <c r="H50" s="484" t="str">
        <f>CONCATENATE("",E3-1," Fund Mill Rate")</f>
        <v>2012 Fund Mill Rate</v>
      </c>
      <c r="I50" s="559"/>
      <c r="J50" s="578"/>
      <c r="K50" s="16"/>
    </row>
    <row r="51" spans="2:11" ht="15.75">
      <c r="B51" s="18"/>
      <c r="C51" s="221"/>
      <c r="D51" s="221"/>
      <c r="E51" s="221"/>
      <c r="F51" s="565"/>
      <c r="G51" s="582">
        <f>summ!H18</f>
        <v>3.531</v>
      </c>
      <c r="H51" s="484" t="str">
        <f>CONCATENATE("Total ",E3," Mill Rate")</f>
        <v>Total 2013 Mill Rate</v>
      </c>
      <c r="I51" s="559"/>
      <c r="J51" s="578"/>
      <c r="K51" s="16"/>
    </row>
    <row r="52" spans="2:11" ht="15.75">
      <c r="B52" s="137"/>
      <c r="C52" s="18" t="s">
        <v>221</v>
      </c>
      <c r="D52" s="18"/>
      <c r="E52" s="18"/>
      <c r="F52" s="565"/>
      <c r="G52" s="581">
        <f>summ!E18</f>
        <v>3.825</v>
      </c>
      <c r="H52" s="583" t="str">
        <f>CONCATENATE("Total ",E3-1," Mill Rate")</f>
        <v>Total 2012 Mill Rate</v>
      </c>
      <c r="I52" s="584"/>
      <c r="J52" s="78"/>
      <c r="K52" s="16"/>
    </row>
    <row r="54" ht="15.75">
      <c r="B54" s="61"/>
    </row>
    <row r="59" spans="3:4" ht="15.75" hidden="1">
      <c r="C59" s="95">
        <f>IF(C39&gt;C41,"See Tab A","")</f>
      </c>
      <c r="D59" s="95">
        <f>IF(D39&gt;D41,"See Tab C","")</f>
      </c>
    </row>
    <row r="60" spans="3:4" ht="15.75" hidden="1">
      <c r="C60" s="95">
        <f>IF(C40&lt;0,"See Tab B","")</f>
      </c>
      <c r="D60" s="95">
        <f>IF(D40&lt;0,"See Tab D","")</f>
      </c>
    </row>
  </sheetData>
  <sheetProtection/>
  <mergeCells count="5">
    <mergeCell ref="G47:J47"/>
    <mergeCell ref="C46:D46"/>
    <mergeCell ref="C42:D42"/>
    <mergeCell ref="C43:D43"/>
    <mergeCell ref="G37:J37"/>
  </mergeCells>
  <conditionalFormatting sqref="E42">
    <cfRule type="cellIs" priority="2" dxfId="62" operator="greaterThan" stopIfTrue="1">
      <formula>$E$39/0.95-$E$39</formula>
    </cfRule>
  </conditionalFormatting>
  <conditionalFormatting sqref="C37">
    <cfRule type="cellIs" priority="3" dxfId="62" operator="greaterThan" stopIfTrue="1">
      <formula>$C$39*0.1</formula>
    </cfRule>
  </conditionalFormatting>
  <conditionalFormatting sqref="D37">
    <cfRule type="cellIs" priority="4" dxfId="62" operator="greaterThan" stopIfTrue="1">
      <formula>$D$39*0.1</formula>
    </cfRule>
  </conditionalFormatting>
  <conditionalFormatting sqref="E37">
    <cfRule type="cellIs" priority="5" dxfId="62" operator="greaterThan" stopIfTrue="1">
      <formula>$E$39*0.1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40">
    <cfRule type="cellIs" priority="8" dxfId="62" operator="lessThan" stopIfTrue="1">
      <formula>0</formula>
    </cfRule>
  </conditionalFormatting>
  <conditionalFormatting sqref="D40">
    <cfRule type="cellIs" priority="1" dxfId="0" operator="lessThan" stopIfTrue="1">
      <formula>0</formula>
    </cfRule>
  </conditionalFormatting>
  <conditionalFormatting sqref="D39">
    <cfRule type="cellIs" priority="20" dxfId="5" operator="greaterThan" stopIfTrue="1">
      <formula>$D$41</formula>
    </cfRule>
  </conditionalFormatting>
  <conditionalFormatting sqref="C39">
    <cfRule type="cellIs" priority="28" dxfId="62" operator="greaterThan" stopIfTrue="1">
      <formula>$C$41</formula>
    </cfRule>
  </conditionalFormatting>
  <conditionalFormatting sqref="E19">
    <cfRule type="cellIs" priority="31" dxfId="62" operator="greaterThan" stopIfTrue="1">
      <formula>$E$21*0.1+$E$46</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1">
      <selection activeCell="F17" sqref="F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8" t="s">
        <v>78</v>
      </c>
      <c r="B1" s="628"/>
      <c r="C1" s="628"/>
      <c r="D1" s="628"/>
      <c r="E1" s="628"/>
      <c r="F1" s="628"/>
      <c r="G1" s="628"/>
      <c r="H1" s="685"/>
    </row>
    <row r="2" spans="1:8" ht="15.75">
      <c r="A2" s="18"/>
      <c r="B2" s="18"/>
      <c r="C2" s="18"/>
      <c r="D2" s="18"/>
      <c r="E2" s="18"/>
      <c r="F2" s="18"/>
      <c r="G2" s="18"/>
      <c r="H2" s="18"/>
    </row>
    <row r="3" spans="1:9" ht="15.75">
      <c r="A3" s="657" t="s">
        <v>105</v>
      </c>
      <c r="B3" s="657"/>
      <c r="C3" s="657"/>
      <c r="D3" s="657"/>
      <c r="E3" s="657"/>
      <c r="F3" s="657"/>
      <c r="G3" s="657"/>
      <c r="H3" s="657"/>
      <c r="I3" s="52">
        <f>inputPrYr!D6</f>
        <v>2013</v>
      </c>
    </row>
    <row r="4" spans="1:8" ht="15.75">
      <c r="A4" s="626" t="str">
        <f>inputPrYr!D3</f>
        <v>Watershed # 75 Roy's Creek</v>
      </c>
      <c r="B4" s="626"/>
      <c r="C4" s="626"/>
      <c r="D4" s="626"/>
      <c r="E4" s="626"/>
      <c r="F4" s="626"/>
      <c r="G4" s="626"/>
      <c r="H4" s="626"/>
    </row>
    <row r="5" spans="1:8" ht="15.75">
      <c r="A5" s="688" t="str">
        <f>inputPrYr!D4</f>
        <v>Brown County</v>
      </c>
      <c r="B5" s="688"/>
      <c r="C5" s="688"/>
      <c r="D5" s="688"/>
      <c r="E5" s="688"/>
      <c r="F5" s="688"/>
      <c r="G5" s="688"/>
      <c r="H5" s="688"/>
    </row>
    <row r="6" spans="1:8" ht="15.75">
      <c r="A6" s="644" t="str">
        <f>CONCATENATE("will meet on ",inputBudSum!B7," at ",inputBudSum!B9," at ",inputBudSum!B11," for the purpose of hearing and")</f>
        <v>will meet on August 1, 2012 at 1:30 PM at 2831 Prairie Road for the purpose of hearing and</v>
      </c>
      <c r="B6" s="644"/>
      <c r="C6" s="644"/>
      <c r="D6" s="644"/>
      <c r="E6" s="644"/>
      <c r="F6" s="644"/>
      <c r="G6" s="644"/>
      <c r="H6" s="644"/>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Brown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77" t="str">
        <f>CONCATENATE("Estimated Value Of One Mill For ",I3,"")</f>
        <v>Estimated Value Of One Mill For 2013</v>
      </c>
      <c r="K12" s="678"/>
      <c r="L12" s="678"/>
      <c r="M12" s="679"/>
    </row>
    <row r="13" spans="1:13" ht="15.7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3"/>
      <c r="K13" s="494"/>
      <c r="L13" s="494"/>
      <c r="M13" s="495"/>
    </row>
    <row r="14" spans="1:13" ht="15.75">
      <c r="A14" s="214"/>
      <c r="B14" s="104"/>
      <c r="C14" s="292" t="s">
        <v>50</v>
      </c>
      <c r="D14" s="104"/>
      <c r="E14" s="292" t="s">
        <v>50</v>
      </c>
      <c r="F14" s="214" t="s">
        <v>206</v>
      </c>
      <c r="G14" s="686" t="str">
        <f>CONCATENATE("Amount of ",I3-1," Ad Valorem Tax")</f>
        <v>Amount of 2012 Ad Valorem Tax</v>
      </c>
      <c r="H14" s="292" t="s">
        <v>559</v>
      </c>
      <c r="J14" s="496" t="s">
        <v>659</v>
      </c>
      <c r="K14" s="497"/>
      <c r="L14" s="497"/>
      <c r="M14" s="498">
        <f>ROUND(F22/1000,0)</f>
        <v>4779</v>
      </c>
    </row>
    <row r="15" spans="1:13" ht="15.75">
      <c r="A15" s="168" t="s">
        <v>51</v>
      </c>
      <c r="B15" s="113" t="s">
        <v>52</v>
      </c>
      <c r="C15" s="293" t="s">
        <v>191</v>
      </c>
      <c r="D15" s="113" t="s">
        <v>52</v>
      </c>
      <c r="E15" s="293" t="s">
        <v>191</v>
      </c>
      <c r="F15" s="113" t="s">
        <v>554</v>
      </c>
      <c r="G15" s="687"/>
      <c r="H15" s="293" t="s">
        <v>191</v>
      </c>
      <c r="J15" s="16"/>
      <c r="K15" s="16"/>
      <c r="L15" s="16"/>
      <c r="M15" s="16"/>
    </row>
    <row r="16" spans="1:13" ht="15.75">
      <c r="A16" s="36" t="str">
        <f>inputPrYr!B19</f>
        <v>General</v>
      </c>
      <c r="B16" s="122">
        <f>IF(gen!$C$39&lt;&gt;0,gen!$C$39,"  ")</f>
        <v>495</v>
      </c>
      <c r="C16" s="611">
        <f>IF(inputPrYr!D38&gt;0,inputPrYr!D38,"  ")</f>
        <v>4.097</v>
      </c>
      <c r="D16" s="549">
        <f>IF(gen!$D$39&lt;&gt;0,gen!$D$39,"  ")</f>
        <v>25625</v>
      </c>
      <c r="E16" s="614">
        <f>IF(inputOth!D16&gt;0,inputOth!D16,"  ")</f>
        <v>3.825</v>
      </c>
      <c r="F16" s="549">
        <f>IF(gen!$E$39&lt;&gt;0,gen!$E$39,"  ")</f>
        <v>160390</v>
      </c>
      <c r="G16" s="242">
        <f>IF(gen!$E$46&lt;&gt;0,gen!$E$46,"  ")</f>
        <v>16875</v>
      </c>
      <c r="H16" s="611">
        <f>IF(gen!E46&gt;0,ROUND(G16/$F$22*1000,3)," ")</f>
        <v>3.531</v>
      </c>
      <c r="J16" s="677" t="str">
        <f>CONCATENATE("Want The Mill Rate The Same As For ",I3-1,"?")</f>
        <v>Want The Mill Rate The Same As For 2012?</v>
      </c>
      <c r="K16" s="680"/>
      <c r="L16" s="680"/>
      <c r="M16" s="681"/>
    </row>
    <row r="17" spans="1:13" ht="16.5" thickBot="1">
      <c r="A17" s="123">
        <f>IF((inputPrYr!$B$30&gt;" "),(NonBud!$A$3),"")</f>
      </c>
      <c r="B17" s="481">
        <f>IF(NonBud!K28&gt;0,NonBud!K28,"")</f>
      </c>
      <c r="C17" s="612"/>
      <c r="D17" s="610"/>
      <c r="E17" s="615"/>
      <c r="F17" s="610"/>
      <c r="G17" s="617"/>
      <c r="H17" s="612"/>
      <c r="J17" s="501"/>
      <c r="K17" s="501"/>
      <c r="L17" s="501"/>
      <c r="M17" s="501"/>
    </row>
    <row r="18" spans="1:13" ht="15.75">
      <c r="A18" s="33" t="s">
        <v>129</v>
      </c>
      <c r="B18" s="608">
        <f>SUM(B16:B17)</f>
        <v>495</v>
      </c>
      <c r="C18" s="613">
        <f aca="true" t="shared" si="0" ref="C18:H18">SUM(C16:C16)</f>
        <v>4.097</v>
      </c>
      <c r="D18" s="608">
        <f t="shared" si="0"/>
        <v>25625</v>
      </c>
      <c r="E18" s="616">
        <f t="shared" si="0"/>
        <v>3.825</v>
      </c>
      <c r="F18" s="608">
        <f t="shared" si="0"/>
        <v>160390</v>
      </c>
      <c r="G18" s="608">
        <f t="shared" si="0"/>
        <v>16875</v>
      </c>
      <c r="H18" s="616">
        <f t="shared" si="0"/>
        <v>3.531</v>
      </c>
      <c r="J18" s="677" t="str">
        <f>CONCATENATE("Impact On Keeping The Same Mill Rate As For ",I3-1,"")</f>
        <v>Impact On Keeping The Same Mill Rate As For 2012</v>
      </c>
      <c r="K18" s="682"/>
      <c r="L18" s="682"/>
      <c r="M18" s="683"/>
    </row>
    <row r="19" spans="1:13" ht="15.75">
      <c r="A19" s="33" t="s">
        <v>161</v>
      </c>
      <c r="B19" s="42">
        <f>transfers!C26</f>
        <v>0</v>
      </c>
      <c r="C19" s="125"/>
      <c r="D19" s="42">
        <f>transfers!D26</f>
        <v>0</v>
      </c>
      <c r="E19" s="125"/>
      <c r="F19" s="609">
        <f>transfers!E26</f>
        <v>0</v>
      </c>
      <c r="G19" s="237"/>
      <c r="H19" s="294"/>
      <c r="J19" s="499"/>
      <c r="K19" s="494"/>
      <c r="L19" s="494"/>
      <c r="M19" s="500"/>
    </row>
    <row r="20" spans="1:13" ht="16.5" thickBot="1">
      <c r="A20" s="33" t="s">
        <v>162</v>
      </c>
      <c r="B20" s="128">
        <f>SUM(B18-B19)</f>
        <v>495</v>
      </c>
      <c r="C20" s="295"/>
      <c r="D20" s="128">
        <f>SUM(D18-D19)</f>
        <v>25625</v>
      </c>
      <c r="E20" s="295"/>
      <c r="F20" s="480">
        <f>SUM(F18-F19)</f>
        <v>160390</v>
      </c>
      <c r="G20" s="237"/>
      <c r="H20" s="294"/>
      <c r="J20" s="499" t="str">
        <f>CONCATENATE("",I3," Ad Valorem Tax Revenue:")</f>
        <v>2013 Ad Valorem Tax Revenue:</v>
      </c>
      <c r="K20" s="494"/>
      <c r="L20" s="494"/>
      <c r="M20" s="495">
        <f>G18</f>
        <v>16875</v>
      </c>
    </row>
    <row r="21" spans="1:13" ht="16.5" thickTop="1">
      <c r="A21" s="33" t="s">
        <v>53</v>
      </c>
      <c r="B21" s="608">
        <f>inputPrYr!E44</f>
        <v>16029</v>
      </c>
      <c r="C21" s="214"/>
      <c r="D21" s="608">
        <f>inputPrYr!E24</f>
        <v>16621</v>
      </c>
      <c r="E21" s="214"/>
      <c r="F21" s="83" t="s">
        <v>167</v>
      </c>
      <c r="G21" s="18"/>
      <c r="H21" s="18"/>
      <c r="J21" s="499" t="str">
        <f>CONCATENATE("",I3-1," Ad Valorem Tax Revenue:")</f>
        <v>2012 Ad Valorem Tax Revenue:</v>
      </c>
      <c r="K21" s="494"/>
      <c r="L21" s="494"/>
      <c r="M21" s="502" t="e">
        <f>ROUND(F22*#REF!/1000,0)</f>
        <v>#REF!</v>
      </c>
    </row>
    <row r="22" spans="1:13" ht="15.75">
      <c r="A22" s="33" t="s">
        <v>163</v>
      </c>
      <c r="B22" s="42">
        <f>inputPrYr!E45</f>
        <v>3912570</v>
      </c>
      <c r="C22" s="214"/>
      <c r="D22" s="42">
        <f>inputOth!E24</f>
        <v>4345949</v>
      </c>
      <c r="E22" s="214"/>
      <c r="F22" s="42">
        <f>inputOth!E7</f>
        <v>4778663</v>
      </c>
      <c r="G22" s="18"/>
      <c r="H22" s="18"/>
      <c r="J22" s="503" t="s">
        <v>660</v>
      </c>
      <c r="K22" s="504"/>
      <c r="L22" s="504"/>
      <c r="M22" s="498" t="e">
        <f>M20-M21</f>
        <v>#REF!</v>
      </c>
    </row>
    <row r="23" spans="1:13" ht="15.75">
      <c r="A23" s="20"/>
      <c r="B23" s="237"/>
      <c r="C23" s="69"/>
      <c r="D23" s="237"/>
      <c r="E23" s="69"/>
      <c r="F23" s="237"/>
      <c r="G23" s="18"/>
      <c r="H23" s="18"/>
      <c r="J23" s="505"/>
      <c r="K23" s="505"/>
      <c r="L23" s="505"/>
      <c r="M23" s="501"/>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84" t="str">
        <f>inputBudSum!B3</f>
        <v>Edwin D Winter</v>
      </c>
      <c r="B27" s="652"/>
      <c r="C27" s="98"/>
      <c r="D27" s="18"/>
      <c r="E27" s="18"/>
      <c r="F27" s="18"/>
      <c r="G27" s="18"/>
      <c r="H27" s="52"/>
    </row>
    <row r="28" spans="1:8" ht="15.75">
      <c r="A28" s="689" t="str">
        <f>inputBudSum!B5</f>
        <v>Treasurer</v>
      </c>
      <c r="B28" s="690"/>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A28:B28"/>
    <mergeCell ref="A6:H6"/>
    <mergeCell ref="J12:M12"/>
    <mergeCell ref="J16:M16"/>
    <mergeCell ref="J18:M18"/>
    <mergeCell ref="A27:B27"/>
    <mergeCell ref="A1:H1"/>
    <mergeCell ref="G14:G15"/>
    <mergeCell ref="A3:H3"/>
    <mergeCell ref="A4:H4"/>
    <mergeCell ref="A5:H5"/>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Watershed # 75 Roy's Creek</v>
      </c>
      <c r="B1" s="52"/>
      <c r="C1" s="52"/>
      <c r="D1" s="52"/>
      <c r="E1" s="52"/>
      <c r="F1" s="52">
        <f>inputPrYr!D6</f>
        <v>2013</v>
      </c>
    </row>
    <row r="2" spans="1:6" ht="15.75">
      <c r="A2" s="296"/>
      <c r="B2" s="52"/>
      <c r="C2" s="52"/>
      <c r="D2" s="52"/>
      <c r="E2" s="52"/>
      <c r="F2" s="52"/>
    </row>
    <row r="3" spans="1:6" ht="15.75">
      <c r="A3" s="52"/>
      <c r="B3" s="52"/>
      <c r="C3" s="52"/>
      <c r="D3" s="52"/>
      <c r="E3" s="52"/>
      <c r="F3" s="52"/>
    </row>
    <row r="4" spans="1:6" ht="15.75">
      <c r="A4" s="18"/>
      <c r="B4" s="643" t="str">
        <f>CONCATENATE("",F1," Neighborhood Revitalization Rebate")</f>
        <v>2013 Neighborhood Revitalization Rebate</v>
      </c>
      <c r="C4" s="693"/>
      <c r="D4" s="693"/>
      <c r="E4" s="685"/>
      <c r="F4" s="52"/>
    </row>
    <row r="5" spans="1:6" ht="15.7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4" t="str">
        <f>CONCATENATE("",F1-1," July 1 Valuation:")</f>
        <v>2012 July 1 Valuation:</v>
      </c>
      <c r="B16" s="692"/>
      <c r="C16" s="694"/>
      <c r="D16" s="304">
        <f>inputOth!E7</f>
        <v>4778663</v>
      </c>
      <c r="E16" s="18"/>
      <c r="F16" s="52"/>
    </row>
    <row r="17" spans="1:6" ht="15.75">
      <c r="A17" s="18"/>
      <c r="B17" s="18"/>
      <c r="C17" s="18"/>
      <c r="D17" s="18"/>
      <c r="E17" s="18"/>
      <c r="F17" s="52"/>
    </row>
    <row r="18" spans="1:6" ht="15.75">
      <c r="A18" s="18"/>
      <c r="B18" s="694" t="s">
        <v>312</v>
      </c>
      <c r="C18" s="694"/>
      <c r="D18" s="305">
        <f>IF(D16&gt;0,(D16*0.001),"")</f>
        <v>4778.6630000000005</v>
      </c>
      <c r="E18" s="18"/>
      <c r="F18" s="52"/>
    </row>
    <row r="19" spans="1:6" ht="15.75">
      <c r="A19" s="18"/>
      <c r="B19" s="137"/>
      <c r="C19" s="137"/>
      <c r="D19" s="306"/>
      <c r="E19" s="18"/>
      <c r="F19" s="52"/>
    </row>
    <row r="20" spans="1:6" ht="15.75">
      <c r="A20" s="691" t="s">
        <v>310</v>
      </c>
      <c r="B20" s="685"/>
      <c r="C20" s="685"/>
      <c r="D20" s="307">
        <f>inputOth!E12</f>
        <v>0</v>
      </c>
      <c r="E20" s="62"/>
      <c r="F20" s="62"/>
    </row>
    <row r="21" spans="1:6" ht="15">
      <c r="A21" s="62"/>
      <c r="B21" s="62"/>
      <c r="C21" s="62"/>
      <c r="D21" s="308"/>
      <c r="E21" s="62"/>
      <c r="F21" s="62"/>
    </row>
    <row r="22" spans="1:6" ht="15.75">
      <c r="A22" s="62"/>
      <c r="B22" s="691" t="s">
        <v>311</v>
      </c>
      <c r="C22" s="692"/>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03" t="s">
        <v>134</v>
      </c>
      <c r="C1" s="703"/>
      <c r="D1" s="703"/>
      <c r="E1" s="703"/>
      <c r="F1" s="703"/>
      <c r="G1" s="703"/>
      <c r="H1" s="703"/>
    </row>
    <row r="2" spans="2:8" ht="15.75">
      <c r="B2" s="6"/>
      <c r="C2"/>
      <c r="D2"/>
      <c r="E2"/>
      <c r="F2"/>
      <c r="G2"/>
      <c r="H2"/>
    </row>
    <row r="3" spans="2:8" ht="15.75">
      <c r="B3" s="704" t="s">
        <v>131</v>
      </c>
      <c r="C3" s="704"/>
      <c r="D3" s="704"/>
      <c r="E3" s="704"/>
      <c r="F3" s="704"/>
      <c r="G3" s="704"/>
      <c r="H3" s="704"/>
    </row>
    <row r="4" spans="2:8" ht="15.75">
      <c r="B4" s="7"/>
      <c r="C4"/>
      <c r="D4"/>
      <c r="E4"/>
      <c r="F4"/>
      <c r="G4"/>
      <c r="H4"/>
    </row>
    <row r="5" spans="2:8" ht="15.75">
      <c r="B5" s="696" t="str">
        <f>CONCATENATE("A resolution expressing the property taxation policy of the Board of ",(inputPrYr!D3)," District with respect to financing the ",inputPrYr!D6," annual budget for ",(inputPrYr!D3)," , ",(inputPrYr!D4)," , Kansas.")</f>
        <v>A resolution expressing the property taxation policy of the Board of Watershed # 75 Roy's Creek District with respect to financing the 2013 annual budget for Watershed # 75 Roy's Creek , Brown County , Kansas.</v>
      </c>
      <c r="C5" s="697"/>
      <c r="D5" s="697"/>
      <c r="E5" s="697"/>
      <c r="F5" s="697"/>
      <c r="G5" s="697"/>
      <c r="H5" s="697"/>
    </row>
    <row r="6" spans="2:10" ht="15.75">
      <c r="B6" s="697"/>
      <c r="C6" s="697"/>
      <c r="D6" s="697"/>
      <c r="E6" s="697"/>
      <c r="F6" s="697"/>
      <c r="G6" s="697"/>
      <c r="H6" s="697"/>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2013 Watershed # 75 Roy's Creek district budget exceed the amount levied to finance the</v>
      </c>
      <c r="C9"/>
      <c r="D9"/>
      <c r="E9"/>
      <c r="F9"/>
      <c r="G9"/>
      <c r="H9"/>
    </row>
    <row r="10" spans="2:8" ht="15.75">
      <c r="B10" s="12" t="str">
        <f>CONCATENATE("",inputPrYr!D6-1," ",inputPrYr!D3," except with regard to revenue produced and attributable to the")</f>
        <v>2012 Watershed # 75 Roy's Creek except with regard to revenue produced and attributable to the</v>
      </c>
      <c r="C10"/>
      <c r="D10"/>
      <c r="E10"/>
      <c r="F10"/>
      <c r="G10"/>
      <c r="H10"/>
    </row>
    <row r="11" spans="2:8" ht="15.75">
      <c r="B11" s="700" t="s">
        <v>169</v>
      </c>
      <c r="C11" s="705"/>
      <c r="D11" s="705"/>
      <c r="E11" s="705"/>
      <c r="F11" s="705"/>
      <c r="G11" s="705"/>
      <c r="H11" s="705"/>
    </row>
    <row r="12" spans="2:8" ht="15.75">
      <c r="B12" s="705"/>
      <c r="C12" s="705"/>
      <c r="D12" s="705"/>
      <c r="E12" s="705"/>
      <c r="F12" s="705"/>
      <c r="G12" s="705"/>
      <c r="H12" s="705"/>
    </row>
    <row r="13" spans="2:8" ht="15.75">
      <c r="B13" s="705"/>
      <c r="C13" s="705"/>
      <c r="D13" s="705"/>
      <c r="E13" s="705"/>
      <c r="F13" s="705"/>
      <c r="G13" s="705"/>
      <c r="H13" s="705"/>
    </row>
    <row r="14" spans="2:8" ht="15.75">
      <c r="B14" s="705"/>
      <c r="C14" s="705"/>
      <c r="D14" s="705"/>
      <c r="E14" s="705"/>
      <c r="F14" s="705"/>
      <c r="G14" s="705"/>
      <c r="H14" s="705"/>
    </row>
    <row r="15" spans="2:8" ht="15.75">
      <c r="B15" s="1"/>
      <c r="C15" s="1"/>
      <c r="D15" s="1"/>
      <c r="E15" s="1"/>
      <c r="F15" s="1"/>
      <c r="G15" s="1"/>
      <c r="H15" s="1"/>
    </row>
    <row r="16" spans="2:8" ht="15.75">
      <c r="B16" s="698" t="s">
        <v>143</v>
      </c>
      <c r="C16" s="699"/>
      <c r="D16" s="699"/>
      <c r="E16" s="699"/>
      <c r="F16" s="699"/>
      <c r="G16" s="699"/>
      <c r="H16" s="699"/>
    </row>
    <row r="17" spans="2:8" ht="15.75">
      <c r="B17" s="699"/>
      <c r="C17" s="699"/>
      <c r="D17" s="699"/>
      <c r="E17" s="699"/>
      <c r="F17" s="699"/>
      <c r="G17" s="699"/>
      <c r="H17" s="699"/>
    </row>
    <row r="18" spans="2:8" ht="15.75">
      <c r="B18" s="12"/>
      <c r="C18"/>
      <c r="D18"/>
      <c r="E18"/>
      <c r="F18"/>
      <c r="G18"/>
      <c r="H18"/>
    </row>
    <row r="19" spans="2:8" ht="15.75">
      <c r="B19" s="12" t="str">
        <f>CONCATENATE("Whereas, ",(inputPrYr!D3)," provides essential services to district residents; and")</f>
        <v>Whereas, Watershed # 75 Roy's Creek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70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Watershed # 75 Roy's Creek that is our desire to notify the public of the possibility of increased property taxes to finance the 2013 Watershed # 75 Roy's Creek  budget as defined above.</v>
      </c>
      <c r="C23" s="701"/>
      <c r="D23" s="701"/>
      <c r="E23" s="701"/>
      <c r="F23" s="701"/>
      <c r="G23" s="701"/>
      <c r="H23" s="701"/>
    </row>
    <row r="24" spans="2:8" ht="15.75">
      <c r="B24" s="701"/>
      <c r="C24" s="701"/>
      <c r="D24" s="701"/>
      <c r="E24" s="701"/>
      <c r="F24" s="701"/>
      <c r="G24" s="701"/>
      <c r="H24" s="701"/>
    </row>
    <row r="25" spans="2:8" ht="15.75">
      <c r="B25" s="701"/>
      <c r="C25" s="701"/>
      <c r="D25" s="701"/>
      <c r="E25" s="701"/>
      <c r="F25" s="701"/>
      <c r="G25" s="701"/>
      <c r="H25" s="701"/>
    </row>
    <row r="26" spans="2:8" ht="15.75">
      <c r="B26" s="12"/>
      <c r="C26"/>
      <c r="D26"/>
      <c r="E26"/>
      <c r="F26"/>
      <c r="G26"/>
      <c r="H26"/>
    </row>
    <row r="27" spans="2:8" ht="15.75">
      <c r="B27" s="698" t="str">
        <f>CONCATENATE("Adopted this _________ day of ___________, ",inputPrYr!D6-1," by the ",(inputPrYr!D3)," District Board, ",(inputPrYr!D4),", Kansas.")</f>
        <v>Adopted this _________ day of ___________, 2012 by the Watershed # 75 Roy's Creek District Board, Brown County, Kansas.</v>
      </c>
      <c r="C27" s="697"/>
      <c r="D27" s="697"/>
      <c r="E27" s="697"/>
      <c r="F27" s="697"/>
      <c r="G27" s="697"/>
      <c r="H27" s="697"/>
    </row>
    <row r="28" spans="2:8" ht="15.75">
      <c r="B28" s="697"/>
      <c r="C28" s="697"/>
      <c r="D28" s="697"/>
      <c r="E28" s="697"/>
      <c r="F28" s="697"/>
      <c r="G28" s="697"/>
      <c r="H28" s="697"/>
    </row>
    <row r="29" spans="2:8" ht="15.75">
      <c r="B29" s="8"/>
      <c r="C29"/>
      <c r="D29"/>
      <c r="E29"/>
      <c r="F29"/>
      <c r="G29"/>
      <c r="H29"/>
    </row>
    <row r="30" spans="2:8" ht="15.75">
      <c r="B30" s="8"/>
      <c r="C30"/>
      <c r="D30"/>
      <c r="E30"/>
      <c r="F30"/>
      <c r="G30"/>
      <c r="H30"/>
    </row>
    <row r="31" spans="2:8" ht="15.75">
      <c r="B31" s="9" t="str">
        <f>CONCATENATE(" ",(inputPrYr!D3)," District Board")</f>
        <v> Watershed # 75 Roy's Creek District Board</v>
      </c>
      <c r="C31"/>
      <c r="D31"/>
      <c r="E31"/>
      <c r="F31"/>
      <c r="G31"/>
      <c r="H31"/>
    </row>
    <row r="32" spans="2:8" ht="15.75">
      <c r="B32" s="8"/>
      <c r="C32"/>
      <c r="D32"/>
      <c r="E32"/>
      <c r="F32"/>
      <c r="G32"/>
      <c r="H32"/>
    </row>
    <row r="33" spans="2:8" ht="15.75">
      <c r="B33"/>
      <c r="C33"/>
      <c r="D33"/>
      <c r="E33" s="702" t="s">
        <v>132</v>
      </c>
      <c r="F33" s="702"/>
      <c r="G33" s="702"/>
      <c r="H33" s="702"/>
    </row>
    <row r="34" spans="2:8" ht="15.75">
      <c r="B34"/>
      <c r="C34"/>
      <c r="D34"/>
      <c r="E34" s="702" t="s">
        <v>135</v>
      </c>
      <c r="F34" s="702"/>
      <c r="G34" s="702"/>
      <c r="H34" s="702"/>
    </row>
    <row r="35" spans="2:8" ht="15.75">
      <c r="B35" s="8"/>
      <c r="C35"/>
      <c r="D35"/>
      <c r="E35" s="702"/>
      <c r="F35" s="702"/>
      <c r="G35" s="702"/>
      <c r="H35" s="702"/>
    </row>
    <row r="36" spans="2:8" ht="15.75">
      <c r="B36"/>
      <c r="C36"/>
      <c r="D36"/>
      <c r="E36" s="702" t="s">
        <v>132</v>
      </c>
      <c r="F36" s="702"/>
      <c r="G36" s="702"/>
      <c r="H36" s="702"/>
    </row>
    <row r="37" spans="2:8" ht="15.75">
      <c r="B37"/>
      <c r="C37"/>
      <c r="D37"/>
      <c r="E37" s="702" t="s">
        <v>136</v>
      </c>
      <c r="F37" s="702"/>
      <c r="G37" s="702"/>
      <c r="H37" s="702"/>
    </row>
    <row r="38" spans="2:8" ht="15.75">
      <c r="B38" s="8"/>
      <c r="C38"/>
      <c r="D38"/>
      <c r="E38" s="702"/>
      <c r="F38" s="702"/>
      <c r="G38" s="702"/>
      <c r="H38" s="702"/>
    </row>
    <row r="39" spans="2:8" ht="15.75">
      <c r="B39"/>
      <c r="C39"/>
      <c r="D39"/>
      <c r="E39" s="702" t="s">
        <v>132</v>
      </c>
      <c r="F39" s="702"/>
      <c r="G39" s="702"/>
      <c r="H39" s="702"/>
    </row>
    <row r="40" spans="2:8" ht="15.75">
      <c r="B40"/>
      <c r="C40"/>
      <c r="D40"/>
      <c r="E40" s="702" t="s">
        <v>137</v>
      </c>
      <c r="F40" s="702"/>
      <c r="G40" s="702"/>
      <c r="H40" s="70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695"/>
      <c r="F46" s="695"/>
      <c r="G46" s="695"/>
      <c r="H46" s="695"/>
    </row>
    <row r="47" spans="2:8" ht="15.75">
      <c r="B47" s="3"/>
      <c r="E47" s="695"/>
      <c r="F47" s="695"/>
      <c r="G47" s="695"/>
      <c r="H47" s="695"/>
    </row>
    <row r="48" spans="5:8" ht="15.75">
      <c r="E48" s="695"/>
      <c r="F48" s="695"/>
      <c r="G48" s="695"/>
      <c r="H48" s="695"/>
    </row>
    <row r="49" spans="5:8" ht="15.75">
      <c r="E49" s="695"/>
      <c r="F49" s="695"/>
      <c r="G49" s="695"/>
      <c r="H49" s="695"/>
    </row>
    <row r="50" spans="2:8" ht="15.75">
      <c r="B50" s="3"/>
      <c r="E50" s="695"/>
      <c r="F50" s="695"/>
      <c r="G50" s="695"/>
      <c r="H50" s="695"/>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 sqref="E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6" t="s">
        <v>7</v>
      </c>
      <c r="B1" s="627"/>
      <c r="C1" s="627"/>
      <c r="D1" s="627"/>
      <c r="E1" s="627"/>
    </row>
    <row r="2" spans="1:5" ht="15.75">
      <c r="A2" s="17"/>
      <c r="B2" s="18"/>
      <c r="C2" s="18"/>
      <c r="D2" s="18"/>
      <c r="E2" s="18"/>
    </row>
    <row r="3" spans="1:5" ht="15.75">
      <c r="A3" s="19" t="s">
        <v>126</v>
      </c>
      <c r="B3" s="18"/>
      <c r="C3" s="18"/>
      <c r="D3" s="511" t="s">
        <v>783</v>
      </c>
      <c r="E3" s="20"/>
    </row>
    <row r="4" spans="1:5" ht="15.75">
      <c r="A4" s="19" t="s">
        <v>220</v>
      </c>
      <c r="B4" s="18"/>
      <c r="C4" s="18"/>
      <c r="D4" s="512" t="s">
        <v>781</v>
      </c>
      <c r="E4" s="20"/>
    </row>
    <row r="5" spans="1:5" ht="15.75">
      <c r="A5" s="17"/>
      <c r="B5" s="18"/>
      <c r="C5" s="18"/>
      <c r="D5" s="21"/>
      <c r="E5" s="20"/>
    </row>
    <row r="6" spans="1:5" ht="15.75">
      <c r="A6" s="19" t="s">
        <v>145</v>
      </c>
      <c r="B6" s="18"/>
      <c r="C6" s="18"/>
      <c r="D6" s="22">
        <v>2013</v>
      </c>
      <c r="E6" s="20"/>
    </row>
    <row r="7" spans="1:5" ht="15.75">
      <c r="A7" s="18"/>
      <c r="B7" s="18"/>
      <c r="C7" s="18"/>
      <c r="D7" s="18"/>
      <c r="E7" s="18"/>
    </row>
    <row r="8" spans="1:5" ht="15.75">
      <c r="A8" s="628" t="s">
        <v>201</v>
      </c>
      <c r="B8" s="629"/>
      <c r="C8" s="629"/>
      <c r="D8" s="629"/>
      <c r="E8" s="629"/>
    </row>
    <row r="9" spans="1:5" ht="15.75">
      <c r="A9" s="23" t="s">
        <v>73</v>
      </c>
      <c r="B9" s="24"/>
      <c r="C9" s="24"/>
      <c r="D9" s="24"/>
      <c r="E9" s="24"/>
    </row>
    <row r="10" spans="1:8" ht="15.75">
      <c r="A10" s="630" t="s">
        <v>200</v>
      </c>
      <c r="B10" s="631"/>
      <c r="C10" s="631"/>
      <c r="D10" s="631"/>
      <c r="E10" s="631"/>
      <c r="F10" s="18"/>
      <c r="G10" s="619" t="s">
        <v>697</v>
      </c>
      <c r="H10" s="620"/>
    </row>
    <row r="11" spans="1:8" ht="15.75">
      <c r="A11" s="25"/>
      <c r="B11" s="18"/>
      <c r="C11" s="18"/>
      <c r="D11" s="18"/>
      <c r="E11" s="18"/>
      <c r="F11" s="18"/>
      <c r="G11" s="621"/>
      <c r="H11" s="620"/>
    </row>
    <row r="12" spans="1:8" ht="15.75">
      <c r="A12" s="624" t="s">
        <v>189</v>
      </c>
      <c r="B12" s="625"/>
      <c r="C12" s="625"/>
      <c r="D12" s="625"/>
      <c r="E12" s="625"/>
      <c r="F12" s="18"/>
      <c r="G12" s="621"/>
      <c r="H12" s="620"/>
    </row>
    <row r="13" spans="1:8" ht="15.75">
      <c r="A13" s="25"/>
      <c r="B13" s="18"/>
      <c r="C13" s="18"/>
      <c r="D13" s="18"/>
      <c r="E13" s="18"/>
      <c r="F13" s="18"/>
      <c r="G13" s="621"/>
      <c r="H13" s="620"/>
    </row>
    <row r="14" spans="1:8" ht="15.75">
      <c r="A14" s="26" t="s">
        <v>149</v>
      </c>
      <c r="B14" s="27"/>
      <c r="C14" s="18"/>
      <c r="D14" s="18"/>
      <c r="E14" s="18"/>
      <c r="F14" s="18"/>
      <c r="G14" s="621"/>
      <c r="H14" s="620"/>
    </row>
    <row r="15" spans="1:8" ht="15.75">
      <c r="A15" s="28" t="str">
        <f>CONCATENATE("the ",D6-1," Budget, Certificate Page:")</f>
        <v>the 2012 Budget, Certificate Page:</v>
      </c>
      <c r="B15" s="29"/>
      <c r="C15" s="18"/>
      <c r="D15" s="18"/>
      <c r="E15" s="18"/>
      <c r="F15" s="18"/>
      <c r="G15" s="621"/>
      <c r="H15" s="620"/>
    </row>
    <row r="16" spans="1:8" ht="15.75">
      <c r="A16" s="28" t="s">
        <v>269</v>
      </c>
      <c r="B16" s="29"/>
      <c r="C16" s="18"/>
      <c r="D16" s="18"/>
      <c r="E16" s="18"/>
      <c r="F16" s="18"/>
      <c r="G16" s="69"/>
      <c r="H16" s="52"/>
    </row>
    <row r="17" spans="1:8" ht="15.75">
      <c r="A17" s="18"/>
      <c r="B17" s="18"/>
      <c r="C17" s="30"/>
      <c r="D17" s="31">
        <f>D6-1</f>
        <v>2012</v>
      </c>
      <c r="E17" s="632" t="str">
        <f>CONCATENATE("Amount of ",D6-2,"     Ad Valorem Tax")</f>
        <v>Amount of 2011     Ad Valorem Tax</v>
      </c>
      <c r="G17" s="101" t="s">
        <v>698</v>
      </c>
      <c r="H17" s="110" t="s">
        <v>42</v>
      </c>
    </row>
    <row r="18" spans="1:8" ht="15.75">
      <c r="A18" s="17" t="s">
        <v>8</v>
      </c>
      <c r="B18" s="18"/>
      <c r="C18" s="30" t="s">
        <v>9</v>
      </c>
      <c r="D18" s="32" t="s">
        <v>270</v>
      </c>
      <c r="E18" s="633"/>
      <c r="G18" s="113" t="str">
        <f>CONCATENATE("",D6-2," Ad Valorem Tax")</f>
        <v>2011 Ad Valorem Tax</v>
      </c>
      <c r="H18" s="523">
        <v>0</v>
      </c>
    </row>
    <row r="19" spans="1:7" ht="15.75">
      <c r="A19" s="18"/>
      <c r="B19" s="33" t="s">
        <v>10</v>
      </c>
      <c r="C19" s="598" t="s">
        <v>782</v>
      </c>
      <c r="D19" s="35">
        <v>136225</v>
      </c>
      <c r="E19" s="35">
        <v>16621</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2012 Budgeted Year</v>
      </c>
      <c r="B24" s="40"/>
      <c r="C24" s="40"/>
      <c r="D24" s="41"/>
      <c r="E24" s="42">
        <f>SUM(E19:E20,E22:E23)</f>
        <v>16621</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136225</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2" t="str">
        <f>CONCATENATE("",D6-3," Tax Rate          (",D6-2," Column)")</f>
        <v>2010 Tax Rate          (2011 Column)</v>
      </c>
      <c r="E36" s="37"/>
    </row>
    <row r="37" spans="1:5" ht="15.75">
      <c r="A37" s="28" t="str">
        <f>CONCATENATE("the ",D6-1," Budget, Budget Summary Page:")</f>
        <v>the 2012 Budget, Budget Summary Page:</v>
      </c>
      <c r="B37" s="29"/>
      <c r="C37" s="18"/>
      <c r="D37" s="623"/>
      <c r="E37" s="37"/>
    </row>
    <row r="38" spans="1:5" ht="15.75">
      <c r="A38" s="18"/>
      <c r="B38" s="36" t="str">
        <f>B19</f>
        <v>General</v>
      </c>
      <c r="C38" s="18"/>
      <c r="D38" s="47">
        <v>4.097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4.097</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16029</v>
      </c>
    </row>
    <row r="45" spans="1:5" ht="15.75">
      <c r="A45" s="49" t="str">
        <f>CONCATENATE("Assessed Valuation (",D6-2," budget column)")</f>
        <v>Assessed Valuation (2011 budget column)</v>
      </c>
      <c r="B45" s="27"/>
      <c r="C45" s="18"/>
      <c r="D45" s="18"/>
      <c r="E45" s="51">
        <v>3912570</v>
      </c>
    </row>
    <row r="46" spans="1:5" ht="15.75">
      <c r="A46" s="18"/>
      <c r="B46" s="18"/>
      <c r="C46" s="18"/>
      <c r="D46" s="18"/>
      <c r="E46" s="37"/>
    </row>
    <row r="47" spans="1:5" ht="15.75">
      <c r="A47" s="27" t="s">
        <v>202</v>
      </c>
      <c r="B47" s="27"/>
      <c r="C47" s="52"/>
      <c r="D47" s="53">
        <f>D6-3</f>
        <v>2010</v>
      </c>
      <c r="E47" s="53">
        <f>D6-2</f>
        <v>2011</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06" t="s">
        <v>560</v>
      </c>
      <c r="C6" s="707"/>
      <c r="D6" s="707"/>
      <c r="E6" s="707"/>
      <c r="F6" s="707"/>
      <c r="G6" s="707"/>
      <c r="H6" s="707"/>
      <c r="I6" s="707"/>
      <c r="J6" s="707"/>
      <c r="K6" s="707"/>
      <c r="L6" s="393"/>
    </row>
    <row r="7" spans="1:12" ht="40.5" customHeight="1">
      <c r="A7" s="390"/>
      <c r="B7" s="708" t="s">
        <v>561</v>
      </c>
      <c r="C7" s="709"/>
      <c r="D7" s="709"/>
      <c r="E7" s="709"/>
      <c r="F7" s="709"/>
      <c r="G7" s="709"/>
      <c r="H7" s="709"/>
      <c r="I7" s="709"/>
      <c r="J7" s="709"/>
      <c r="K7" s="709"/>
      <c r="L7" s="390"/>
    </row>
    <row r="8" spans="1:12" ht="14.25">
      <c r="A8" s="390"/>
      <c r="B8" s="710" t="s">
        <v>562</v>
      </c>
      <c r="C8" s="710"/>
      <c r="D8" s="710"/>
      <c r="E8" s="710"/>
      <c r="F8" s="710"/>
      <c r="G8" s="710"/>
      <c r="H8" s="710"/>
      <c r="I8" s="710"/>
      <c r="J8" s="710"/>
      <c r="K8" s="710"/>
      <c r="L8" s="390"/>
    </row>
    <row r="9" spans="1:12" ht="14.25">
      <c r="A9" s="390"/>
      <c r="L9" s="390"/>
    </row>
    <row r="10" spans="1:12" ht="14.25">
      <c r="A10" s="390"/>
      <c r="B10" s="710" t="s">
        <v>563</v>
      </c>
      <c r="C10" s="710"/>
      <c r="D10" s="710"/>
      <c r="E10" s="710"/>
      <c r="F10" s="710"/>
      <c r="G10" s="710"/>
      <c r="H10" s="710"/>
      <c r="I10" s="710"/>
      <c r="J10" s="710"/>
      <c r="K10" s="710"/>
      <c r="L10" s="390"/>
    </row>
    <row r="11" spans="1:12" ht="14.25">
      <c r="A11" s="390"/>
      <c r="B11" s="521"/>
      <c r="C11" s="521"/>
      <c r="D11" s="521"/>
      <c r="E11" s="521"/>
      <c r="F11" s="521"/>
      <c r="G11" s="521"/>
      <c r="H11" s="521"/>
      <c r="I11" s="521"/>
      <c r="J11" s="521"/>
      <c r="K11" s="521"/>
      <c r="L11" s="390"/>
    </row>
    <row r="12" spans="1:12" ht="32.25" customHeight="1">
      <c r="A12" s="390"/>
      <c r="B12" s="711" t="s">
        <v>564</v>
      </c>
      <c r="C12" s="711"/>
      <c r="D12" s="711"/>
      <c r="E12" s="711"/>
      <c r="F12" s="711"/>
      <c r="G12" s="711"/>
      <c r="H12" s="711"/>
      <c r="I12" s="711"/>
      <c r="J12" s="711"/>
      <c r="K12" s="711"/>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2">
        <v>312000000</v>
      </c>
      <c r="G23" s="712"/>
      <c r="L23" s="390"/>
    </row>
    <row r="24" spans="1:12" ht="14.25">
      <c r="A24" s="390"/>
      <c r="L24" s="390"/>
    </row>
    <row r="25" spans="1:12" ht="14.25">
      <c r="A25" s="390"/>
      <c r="C25" s="713">
        <f>F23</f>
        <v>312000000</v>
      </c>
      <c r="D25" s="713"/>
      <c r="E25" s="392" t="s">
        <v>570</v>
      </c>
      <c r="F25" s="395">
        <v>1000</v>
      </c>
      <c r="G25" s="395" t="s">
        <v>569</v>
      </c>
      <c r="H25" s="522">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7">
        <v>1000</v>
      </c>
      <c r="G28" s="517"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14" t="s">
        <v>561</v>
      </c>
      <c r="C30" s="714"/>
      <c r="D30" s="714"/>
      <c r="E30" s="714"/>
      <c r="F30" s="714"/>
      <c r="G30" s="714"/>
      <c r="H30" s="714"/>
      <c r="I30" s="714"/>
      <c r="J30" s="714"/>
      <c r="K30" s="714"/>
      <c r="L30" s="390"/>
    </row>
    <row r="31" spans="1:12" ht="14.25">
      <c r="A31" s="390"/>
      <c r="B31" s="710" t="s">
        <v>573</v>
      </c>
      <c r="C31" s="710"/>
      <c r="D31" s="710"/>
      <c r="E31" s="710"/>
      <c r="F31" s="710"/>
      <c r="G31" s="710"/>
      <c r="H31" s="710"/>
      <c r="I31" s="710"/>
      <c r="J31" s="710"/>
      <c r="K31" s="710"/>
      <c r="L31" s="390"/>
    </row>
    <row r="32" spans="1:12" ht="14.25">
      <c r="A32" s="390"/>
      <c r="L32" s="390"/>
    </row>
    <row r="33" spans="1:12" ht="14.25">
      <c r="A33" s="390"/>
      <c r="B33" s="710" t="s">
        <v>574</v>
      </c>
      <c r="C33" s="710"/>
      <c r="D33" s="710"/>
      <c r="E33" s="710"/>
      <c r="F33" s="710"/>
      <c r="G33" s="710"/>
      <c r="H33" s="710"/>
      <c r="I33" s="710"/>
      <c r="J33" s="710"/>
      <c r="K33" s="710"/>
      <c r="L33" s="390"/>
    </row>
    <row r="34" spans="1:12" ht="14.25">
      <c r="A34" s="390"/>
      <c r="L34" s="390"/>
    </row>
    <row r="35" spans="1:12" ht="89.25" customHeight="1">
      <c r="A35" s="390"/>
      <c r="B35" s="711" t="s">
        <v>575</v>
      </c>
      <c r="C35" s="715"/>
      <c r="D35" s="715"/>
      <c r="E35" s="715"/>
      <c r="F35" s="715"/>
      <c r="G35" s="715"/>
      <c r="H35" s="715"/>
      <c r="I35" s="715"/>
      <c r="J35" s="715"/>
      <c r="K35" s="715"/>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16">
        <v>312000000</v>
      </c>
      <c r="D41" s="716"/>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17">
        <v>312000000</v>
      </c>
      <c r="C48" s="712"/>
      <c r="D48" s="400" t="s">
        <v>580</v>
      </c>
      <c r="E48" s="400" t="s">
        <v>570</v>
      </c>
      <c r="F48" s="517">
        <v>1000</v>
      </c>
      <c r="G48" s="517"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18" t="s">
        <v>583</v>
      </c>
      <c r="H50" s="719"/>
      <c r="I50" s="517" t="s">
        <v>569</v>
      </c>
      <c r="J50" s="410">
        <f>B50/F50</f>
        <v>0.16025641025641027</v>
      </c>
      <c r="K50" s="402"/>
      <c r="L50" s="390"/>
    </row>
    <row r="51" spans="1:15" ht="15" thickBot="1">
      <c r="A51" s="390"/>
      <c r="B51" s="403"/>
      <c r="C51" s="404"/>
      <c r="D51" s="404"/>
      <c r="E51" s="404"/>
      <c r="F51" s="404"/>
      <c r="G51" s="404"/>
      <c r="H51" s="404"/>
      <c r="I51" s="720" t="s">
        <v>584</v>
      </c>
      <c r="J51" s="720"/>
      <c r="K51" s="721"/>
      <c r="L51" s="390"/>
      <c r="O51" s="411"/>
    </row>
    <row r="52" spans="1:12" ht="40.5" customHeight="1">
      <c r="A52" s="390"/>
      <c r="B52" s="714" t="s">
        <v>561</v>
      </c>
      <c r="C52" s="714"/>
      <c r="D52" s="714"/>
      <c r="E52" s="714"/>
      <c r="F52" s="714"/>
      <c r="G52" s="714"/>
      <c r="H52" s="714"/>
      <c r="I52" s="714"/>
      <c r="J52" s="714"/>
      <c r="K52" s="714"/>
      <c r="L52" s="390"/>
    </row>
    <row r="53" spans="1:12" ht="14.25">
      <c r="A53" s="390"/>
      <c r="B53" s="710" t="s">
        <v>585</v>
      </c>
      <c r="C53" s="710"/>
      <c r="D53" s="710"/>
      <c r="E53" s="710"/>
      <c r="F53" s="710"/>
      <c r="G53" s="710"/>
      <c r="H53" s="710"/>
      <c r="I53" s="710"/>
      <c r="J53" s="710"/>
      <c r="K53" s="710"/>
      <c r="L53" s="390"/>
    </row>
    <row r="54" spans="1:12" ht="14.25">
      <c r="A54" s="390"/>
      <c r="B54" s="521"/>
      <c r="C54" s="521"/>
      <c r="D54" s="521"/>
      <c r="E54" s="521"/>
      <c r="F54" s="521"/>
      <c r="G54" s="521"/>
      <c r="H54" s="521"/>
      <c r="I54" s="521"/>
      <c r="J54" s="521"/>
      <c r="K54" s="521"/>
      <c r="L54" s="390"/>
    </row>
    <row r="55" spans="1:12" ht="14.25">
      <c r="A55" s="390"/>
      <c r="B55" s="706" t="s">
        <v>586</v>
      </c>
      <c r="C55" s="706"/>
      <c r="D55" s="706"/>
      <c r="E55" s="706"/>
      <c r="F55" s="706"/>
      <c r="G55" s="706"/>
      <c r="H55" s="706"/>
      <c r="I55" s="706"/>
      <c r="J55" s="706"/>
      <c r="K55" s="706"/>
      <c r="L55" s="390"/>
    </row>
    <row r="56" spans="1:12" ht="15" customHeight="1">
      <c r="A56" s="390"/>
      <c r="L56" s="390"/>
    </row>
    <row r="57" spans="1:24" ht="74.25" customHeight="1">
      <c r="A57" s="390"/>
      <c r="B57" s="711" t="s">
        <v>587</v>
      </c>
      <c r="C57" s="715"/>
      <c r="D57" s="715"/>
      <c r="E57" s="715"/>
      <c r="F57" s="715"/>
      <c r="G57" s="715"/>
      <c r="H57" s="715"/>
      <c r="I57" s="715"/>
      <c r="J57" s="715"/>
      <c r="K57" s="715"/>
      <c r="L57" s="390"/>
      <c r="M57" s="412"/>
      <c r="N57" s="413"/>
      <c r="O57" s="413"/>
      <c r="P57" s="413"/>
      <c r="Q57" s="413"/>
      <c r="R57" s="413"/>
      <c r="S57" s="413"/>
      <c r="T57" s="413"/>
      <c r="U57" s="413"/>
      <c r="V57" s="413"/>
      <c r="W57" s="413"/>
      <c r="X57" s="413"/>
    </row>
    <row r="58" spans="1:24" ht="15" customHeight="1">
      <c r="A58" s="390"/>
      <c r="B58" s="711"/>
      <c r="C58" s="715"/>
      <c r="D58" s="715"/>
      <c r="E58" s="715"/>
      <c r="F58" s="715"/>
      <c r="G58" s="715"/>
      <c r="H58" s="715"/>
      <c r="I58" s="715"/>
      <c r="J58" s="715"/>
      <c r="K58" s="715"/>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2">
        <v>312000000</v>
      </c>
      <c r="D74" s="712"/>
      <c r="E74" s="517" t="s">
        <v>570</v>
      </c>
      <c r="F74" s="517">
        <v>1000</v>
      </c>
      <c r="G74" s="517" t="s">
        <v>569</v>
      </c>
      <c r="H74" s="514">
        <f>C74/F74</f>
        <v>312000</v>
      </c>
      <c r="I74" s="400" t="s">
        <v>593</v>
      </c>
      <c r="J74" s="400"/>
      <c r="K74" s="402"/>
      <c r="L74" s="416"/>
    </row>
    <row r="75" spans="1:12" ht="14.25">
      <c r="A75" s="390"/>
      <c r="B75" s="408"/>
      <c r="C75" s="400"/>
      <c r="D75" s="400"/>
      <c r="E75" s="517"/>
      <c r="F75" s="400"/>
      <c r="G75" s="400"/>
      <c r="H75" s="400"/>
      <c r="I75" s="400"/>
      <c r="J75" s="400"/>
      <c r="K75" s="402"/>
      <c r="L75" s="416"/>
    </row>
    <row r="76" spans="1:12" ht="14.25">
      <c r="A76" s="390"/>
      <c r="B76" s="408"/>
      <c r="C76" s="400" t="s">
        <v>594</v>
      </c>
      <c r="D76" s="400"/>
      <c r="E76" s="517"/>
      <c r="F76" s="400" t="s">
        <v>593</v>
      </c>
      <c r="G76" s="400"/>
      <c r="H76" s="400"/>
      <c r="I76" s="400"/>
      <c r="J76" s="400"/>
      <c r="K76" s="402"/>
      <c r="L76" s="416"/>
    </row>
    <row r="77" spans="1:12" ht="14.25">
      <c r="A77" s="390"/>
      <c r="B77" s="408" t="s">
        <v>595</v>
      </c>
      <c r="C77" s="712">
        <v>50000</v>
      </c>
      <c r="D77" s="712"/>
      <c r="E77" s="517" t="s">
        <v>570</v>
      </c>
      <c r="F77" s="514">
        <f>H74</f>
        <v>312000</v>
      </c>
      <c r="G77" s="517" t="s">
        <v>569</v>
      </c>
      <c r="H77" s="410">
        <f>C77/F77</f>
        <v>0.16025641025641027</v>
      </c>
      <c r="I77" s="400" t="s">
        <v>596</v>
      </c>
      <c r="J77" s="400"/>
      <c r="K77" s="402"/>
      <c r="L77" s="416"/>
    </row>
    <row r="78" spans="1:12" ht="14.25">
      <c r="A78" s="390"/>
      <c r="B78" s="408"/>
      <c r="C78" s="400"/>
      <c r="D78" s="400"/>
      <c r="E78" s="517"/>
      <c r="F78" s="400"/>
      <c r="G78" s="400"/>
      <c r="H78" s="400"/>
      <c r="I78" s="400"/>
      <c r="J78" s="400"/>
      <c r="K78" s="402"/>
      <c r="L78" s="416"/>
    </row>
    <row r="79" spans="1:12" ht="14.25">
      <c r="A79" s="390"/>
      <c r="B79" s="417"/>
      <c r="C79" s="418" t="s">
        <v>597</v>
      </c>
      <c r="D79" s="418"/>
      <c r="E79" s="513"/>
      <c r="F79" s="418"/>
      <c r="G79" s="418"/>
      <c r="H79" s="418"/>
      <c r="I79" s="418"/>
      <c r="J79" s="418"/>
      <c r="K79" s="419"/>
      <c r="L79" s="416"/>
    </row>
    <row r="80" spans="1:12" ht="14.25">
      <c r="A80" s="390"/>
      <c r="B80" s="408" t="s">
        <v>598</v>
      </c>
      <c r="C80" s="712">
        <v>100000</v>
      </c>
      <c r="D80" s="712"/>
      <c r="E80" s="517" t="s">
        <v>28</v>
      </c>
      <c r="F80" s="517">
        <v>0.115</v>
      </c>
      <c r="G80" s="517" t="s">
        <v>569</v>
      </c>
      <c r="H80" s="514">
        <f>C80*F80</f>
        <v>11500</v>
      </c>
      <c r="I80" s="400" t="s">
        <v>599</v>
      </c>
      <c r="J80" s="400"/>
      <c r="K80" s="402"/>
      <c r="L80" s="416"/>
    </row>
    <row r="81" spans="1:12" ht="14.25">
      <c r="A81" s="390"/>
      <c r="B81" s="408"/>
      <c r="C81" s="400"/>
      <c r="D81" s="400"/>
      <c r="E81" s="517"/>
      <c r="F81" s="400"/>
      <c r="G81" s="400"/>
      <c r="H81" s="400"/>
      <c r="I81" s="400"/>
      <c r="J81" s="400"/>
      <c r="K81" s="402"/>
      <c r="L81" s="416"/>
    </row>
    <row r="82" spans="1:12" ht="14.25">
      <c r="A82" s="390"/>
      <c r="B82" s="417"/>
      <c r="C82" s="418" t="s">
        <v>600</v>
      </c>
      <c r="D82" s="418"/>
      <c r="E82" s="513"/>
      <c r="F82" s="418" t="s">
        <v>596</v>
      </c>
      <c r="G82" s="418"/>
      <c r="H82" s="418"/>
      <c r="I82" s="418"/>
      <c r="J82" s="418" t="s">
        <v>601</v>
      </c>
      <c r="K82" s="419"/>
      <c r="L82" s="416"/>
    </row>
    <row r="83" spans="1:12" ht="14.25">
      <c r="A83" s="390"/>
      <c r="B83" s="408" t="s">
        <v>602</v>
      </c>
      <c r="C83" s="722">
        <f>H80</f>
        <v>11500</v>
      </c>
      <c r="D83" s="722"/>
      <c r="E83" s="517" t="s">
        <v>28</v>
      </c>
      <c r="F83" s="410">
        <f>H77</f>
        <v>0.16025641025641027</v>
      </c>
      <c r="G83" s="517" t="s">
        <v>570</v>
      </c>
      <c r="H83" s="517">
        <v>1000</v>
      </c>
      <c r="I83" s="517" t="s">
        <v>569</v>
      </c>
      <c r="J83" s="515">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14" t="s">
        <v>561</v>
      </c>
      <c r="C85" s="714"/>
      <c r="D85" s="714"/>
      <c r="E85" s="714"/>
      <c r="F85" s="714"/>
      <c r="G85" s="714"/>
      <c r="H85" s="714"/>
      <c r="I85" s="714"/>
      <c r="J85" s="714"/>
      <c r="K85" s="714"/>
      <c r="L85" s="390"/>
    </row>
    <row r="86" spans="1:12" ht="14.25">
      <c r="A86" s="390"/>
      <c r="B86" s="706" t="s">
        <v>603</v>
      </c>
      <c r="C86" s="706"/>
      <c r="D86" s="706"/>
      <c r="E86" s="706"/>
      <c r="F86" s="706"/>
      <c r="G86" s="706"/>
      <c r="H86" s="706"/>
      <c r="I86" s="706"/>
      <c r="J86" s="706"/>
      <c r="K86" s="706"/>
      <c r="L86" s="390"/>
    </row>
    <row r="87" spans="1:12" ht="14.25">
      <c r="A87" s="390"/>
      <c r="B87" s="424"/>
      <c r="C87" s="424"/>
      <c r="D87" s="424"/>
      <c r="E87" s="424"/>
      <c r="F87" s="424"/>
      <c r="G87" s="424"/>
      <c r="H87" s="424"/>
      <c r="I87" s="424"/>
      <c r="J87" s="424"/>
      <c r="K87" s="424"/>
      <c r="L87" s="390"/>
    </row>
    <row r="88" spans="1:12" ht="14.25">
      <c r="A88" s="390"/>
      <c r="B88" s="706" t="s">
        <v>604</v>
      </c>
      <c r="C88" s="706"/>
      <c r="D88" s="706"/>
      <c r="E88" s="706"/>
      <c r="F88" s="706"/>
      <c r="G88" s="706"/>
      <c r="H88" s="706"/>
      <c r="I88" s="706"/>
      <c r="J88" s="706"/>
      <c r="K88" s="706"/>
      <c r="L88" s="390"/>
    </row>
    <row r="89" spans="1:12" ht="14.25">
      <c r="A89" s="390"/>
      <c r="B89" s="516"/>
      <c r="C89" s="516"/>
      <c r="D89" s="516"/>
      <c r="E89" s="516"/>
      <c r="F89" s="516"/>
      <c r="G89" s="516"/>
      <c r="H89" s="516"/>
      <c r="I89" s="516"/>
      <c r="J89" s="516"/>
      <c r="K89" s="516"/>
      <c r="L89" s="390"/>
    </row>
    <row r="90" spans="1:12" ht="45" customHeight="1">
      <c r="A90" s="390"/>
      <c r="B90" s="711" t="s">
        <v>605</v>
      </c>
      <c r="C90" s="711"/>
      <c r="D90" s="711"/>
      <c r="E90" s="711"/>
      <c r="F90" s="711"/>
      <c r="G90" s="711"/>
      <c r="H90" s="711"/>
      <c r="I90" s="711"/>
      <c r="J90" s="711"/>
      <c r="K90" s="711"/>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9" t="s">
        <v>571</v>
      </c>
      <c r="D93" s="519"/>
      <c r="E93" s="519"/>
      <c r="F93" s="519"/>
      <c r="G93" s="519"/>
      <c r="H93" s="519"/>
      <c r="I93" s="519"/>
      <c r="J93" s="519"/>
      <c r="K93" s="429"/>
      <c r="L93" s="390"/>
    </row>
    <row r="94" spans="1:12" ht="15" customHeight="1">
      <c r="A94" s="390"/>
      <c r="B94" s="428" t="s">
        <v>592</v>
      </c>
      <c r="C94" s="712">
        <v>312000000</v>
      </c>
      <c r="D94" s="712"/>
      <c r="E94" s="517" t="s">
        <v>570</v>
      </c>
      <c r="F94" s="517">
        <v>1000</v>
      </c>
      <c r="G94" s="517" t="s">
        <v>569</v>
      </c>
      <c r="H94" s="514">
        <f>C94/F94</f>
        <v>312000</v>
      </c>
      <c r="I94" s="519" t="s">
        <v>593</v>
      </c>
      <c r="J94" s="519"/>
      <c r="K94" s="429"/>
      <c r="L94" s="390"/>
    </row>
    <row r="95" spans="1:12" ht="15" customHeight="1">
      <c r="A95" s="390"/>
      <c r="B95" s="428"/>
      <c r="C95" s="519"/>
      <c r="D95" s="519"/>
      <c r="E95" s="517"/>
      <c r="F95" s="519"/>
      <c r="G95" s="519"/>
      <c r="H95" s="519"/>
      <c r="I95" s="519"/>
      <c r="J95" s="519"/>
      <c r="K95" s="429"/>
      <c r="L95" s="390"/>
    </row>
    <row r="96" spans="1:12" ht="15" customHeight="1">
      <c r="A96" s="390"/>
      <c r="B96" s="428"/>
      <c r="C96" s="519" t="s">
        <v>594</v>
      </c>
      <c r="D96" s="519"/>
      <c r="E96" s="517"/>
      <c r="F96" s="519" t="s">
        <v>593</v>
      </c>
      <c r="G96" s="519"/>
      <c r="H96" s="519"/>
      <c r="I96" s="519"/>
      <c r="J96" s="519"/>
      <c r="K96" s="429"/>
      <c r="L96" s="390"/>
    </row>
    <row r="97" spans="1:12" ht="15" customHeight="1">
      <c r="A97" s="390"/>
      <c r="B97" s="428" t="s">
        <v>595</v>
      </c>
      <c r="C97" s="712">
        <v>50000</v>
      </c>
      <c r="D97" s="712"/>
      <c r="E97" s="517" t="s">
        <v>570</v>
      </c>
      <c r="F97" s="514">
        <f>H94</f>
        <v>312000</v>
      </c>
      <c r="G97" s="517" t="s">
        <v>569</v>
      </c>
      <c r="H97" s="410">
        <f>C97/F97</f>
        <v>0.16025641025641027</v>
      </c>
      <c r="I97" s="519" t="s">
        <v>596</v>
      </c>
      <c r="J97" s="519"/>
      <c r="K97" s="429"/>
      <c r="L97" s="390"/>
    </row>
    <row r="98" spans="1:12" ht="15" customHeight="1">
      <c r="A98" s="390"/>
      <c r="B98" s="428"/>
      <c r="C98" s="519"/>
      <c r="D98" s="519"/>
      <c r="E98" s="517"/>
      <c r="F98" s="519"/>
      <c r="G98" s="519"/>
      <c r="H98" s="519"/>
      <c r="I98" s="519"/>
      <c r="J98" s="519"/>
      <c r="K98" s="429"/>
      <c r="L98" s="390"/>
    </row>
    <row r="99" spans="1:12" ht="15" customHeight="1">
      <c r="A99" s="390"/>
      <c r="B99" s="430"/>
      <c r="C99" s="431" t="s">
        <v>606</v>
      </c>
      <c r="D99" s="431"/>
      <c r="E99" s="513"/>
      <c r="F99" s="431"/>
      <c r="G99" s="431"/>
      <c r="H99" s="431"/>
      <c r="I99" s="431"/>
      <c r="J99" s="431"/>
      <c r="K99" s="432"/>
      <c r="L99" s="390"/>
    </row>
    <row r="100" spans="1:12" ht="15" customHeight="1">
      <c r="A100" s="390"/>
      <c r="B100" s="428" t="s">
        <v>598</v>
      </c>
      <c r="C100" s="712">
        <v>2500000</v>
      </c>
      <c r="D100" s="712"/>
      <c r="E100" s="517" t="s">
        <v>28</v>
      </c>
      <c r="F100" s="433">
        <v>0.3</v>
      </c>
      <c r="G100" s="517" t="s">
        <v>569</v>
      </c>
      <c r="H100" s="514">
        <f>C100*F100</f>
        <v>750000</v>
      </c>
      <c r="I100" s="519" t="s">
        <v>599</v>
      </c>
      <c r="J100" s="519"/>
      <c r="K100" s="429"/>
      <c r="L100" s="390"/>
    </row>
    <row r="101" spans="1:12" ht="15" customHeight="1">
      <c r="A101" s="390"/>
      <c r="B101" s="428"/>
      <c r="C101" s="519"/>
      <c r="D101" s="519"/>
      <c r="E101" s="517"/>
      <c r="F101" s="519"/>
      <c r="G101" s="519"/>
      <c r="H101" s="519"/>
      <c r="I101" s="519"/>
      <c r="J101" s="519"/>
      <c r="K101" s="429"/>
      <c r="L101" s="390"/>
    </row>
    <row r="102" spans="1:12" ht="15" customHeight="1">
      <c r="A102" s="390"/>
      <c r="B102" s="430"/>
      <c r="C102" s="431" t="s">
        <v>600</v>
      </c>
      <c r="D102" s="431"/>
      <c r="E102" s="513"/>
      <c r="F102" s="431" t="s">
        <v>596</v>
      </c>
      <c r="G102" s="431"/>
      <c r="H102" s="431"/>
      <c r="I102" s="431"/>
      <c r="J102" s="431" t="s">
        <v>601</v>
      </c>
      <c r="K102" s="432"/>
      <c r="L102" s="390"/>
    </row>
    <row r="103" spans="1:12" ht="15" customHeight="1">
      <c r="A103" s="390"/>
      <c r="B103" s="428" t="s">
        <v>602</v>
      </c>
      <c r="C103" s="722">
        <f>H100</f>
        <v>750000</v>
      </c>
      <c r="D103" s="722"/>
      <c r="E103" s="517" t="s">
        <v>28</v>
      </c>
      <c r="F103" s="410">
        <f>H97</f>
        <v>0.16025641025641027</v>
      </c>
      <c r="G103" s="517" t="s">
        <v>570</v>
      </c>
      <c r="H103" s="517">
        <v>1000</v>
      </c>
      <c r="I103" s="517" t="s">
        <v>569</v>
      </c>
      <c r="J103" s="515">
        <f>C103*F103/H103</f>
        <v>120.19230769230771</v>
      </c>
      <c r="K103" s="429"/>
      <c r="L103" s="390"/>
    </row>
    <row r="104" spans="1:12" ht="15" customHeight="1" thickBot="1">
      <c r="A104" s="390"/>
      <c r="B104" s="434"/>
      <c r="C104" s="420"/>
      <c r="D104" s="420"/>
      <c r="E104" s="421"/>
      <c r="F104" s="422"/>
      <c r="G104" s="421"/>
      <c r="H104" s="421"/>
      <c r="I104" s="421"/>
      <c r="J104" s="423"/>
      <c r="K104" s="520"/>
      <c r="L104" s="390"/>
    </row>
    <row r="105" spans="1:12" ht="40.5" customHeight="1">
      <c r="A105" s="390"/>
      <c r="B105" s="714" t="s">
        <v>561</v>
      </c>
      <c r="C105" s="723"/>
      <c r="D105" s="723"/>
      <c r="E105" s="723"/>
      <c r="F105" s="723"/>
      <c r="G105" s="723"/>
      <c r="H105" s="723"/>
      <c r="I105" s="723"/>
      <c r="J105" s="723"/>
      <c r="K105" s="723"/>
      <c r="L105" s="390"/>
    </row>
    <row r="106" spans="1:12" ht="15" customHeight="1">
      <c r="A106" s="390"/>
      <c r="B106" s="724" t="s">
        <v>607</v>
      </c>
      <c r="C106" s="707"/>
      <c r="D106" s="707"/>
      <c r="E106" s="707"/>
      <c r="F106" s="707"/>
      <c r="G106" s="707"/>
      <c r="H106" s="707"/>
      <c r="I106" s="707"/>
      <c r="J106" s="707"/>
      <c r="K106" s="707"/>
      <c r="L106" s="390"/>
    </row>
    <row r="107" spans="1:12" ht="15" customHeight="1">
      <c r="A107" s="390"/>
      <c r="B107" s="519"/>
      <c r="C107" s="435"/>
      <c r="D107" s="435"/>
      <c r="E107" s="517"/>
      <c r="F107" s="410"/>
      <c r="G107" s="517"/>
      <c r="H107" s="517"/>
      <c r="I107" s="517"/>
      <c r="J107" s="515"/>
      <c r="K107" s="519"/>
      <c r="L107" s="390"/>
    </row>
    <row r="108" spans="1:12" ht="15" customHeight="1">
      <c r="A108" s="390"/>
      <c r="B108" s="724" t="s">
        <v>608</v>
      </c>
      <c r="C108" s="725"/>
      <c r="D108" s="725"/>
      <c r="E108" s="725"/>
      <c r="F108" s="725"/>
      <c r="G108" s="725"/>
      <c r="H108" s="725"/>
      <c r="I108" s="725"/>
      <c r="J108" s="725"/>
      <c r="K108" s="725"/>
      <c r="L108" s="390"/>
    </row>
    <row r="109" spans="1:12" ht="15" customHeight="1">
      <c r="A109" s="390"/>
      <c r="B109" s="519"/>
      <c r="C109" s="435"/>
      <c r="D109" s="435"/>
      <c r="E109" s="517"/>
      <c r="F109" s="410"/>
      <c r="G109" s="517"/>
      <c r="H109" s="517"/>
      <c r="I109" s="517"/>
      <c r="J109" s="515"/>
      <c r="K109" s="519"/>
      <c r="L109" s="390"/>
    </row>
    <row r="110" spans="1:12" ht="59.25" customHeight="1">
      <c r="A110" s="390"/>
      <c r="B110" s="726" t="s">
        <v>609</v>
      </c>
      <c r="C110" s="715"/>
      <c r="D110" s="715"/>
      <c r="E110" s="715"/>
      <c r="F110" s="715"/>
      <c r="G110" s="715"/>
      <c r="H110" s="715"/>
      <c r="I110" s="715"/>
      <c r="J110" s="715"/>
      <c r="K110" s="715"/>
      <c r="L110" s="390"/>
    </row>
    <row r="111" spans="1:12" ht="15" thickBot="1">
      <c r="A111" s="390"/>
      <c r="B111" s="521"/>
      <c r="C111" s="521"/>
      <c r="D111" s="521"/>
      <c r="E111" s="521"/>
      <c r="F111" s="521"/>
      <c r="G111" s="521"/>
      <c r="H111" s="521"/>
      <c r="I111" s="521"/>
      <c r="J111" s="521"/>
      <c r="K111" s="521"/>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2">
        <v>312000000</v>
      </c>
      <c r="D114" s="712"/>
      <c r="E114" s="517" t="s">
        <v>570</v>
      </c>
      <c r="F114" s="517">
        <v>1000</v>
      </c>
      <c r="G114" s="517" t="s">
        <v>569</v>
      </c>
      <c r="H114" s="514">
        <f>C114/F114</f>
        <v>312000</v>
      </c>
      <c r="I114" s="400" t="s">
        <v>593</v>
      </c>
      <c r="J114" s="400"/>
      <c r="K114" s="402"/>
      <c r="L114" s="390"/>
    </row>
    <row r="115" spans="1:12" ht="14.25">
      <c r="A115" s="390"/>
      <c r="B115" s="408"/>
      <c r="C115" s="400"/>
      <c r="D115" s="400"/>
      <c r="E115" s="517"/>
      <c r="F115" s="400"/>
      <c r="G115" s="400"/>
      <c r="H115" s="400"/>
      <c r="I115" s="400"/>
      <c r="J115" s="400"/>
      <c r="K115" s="402"/>
      <c r="L115" s="390"/>
    </row>
    <row r="116" spans="1:12" ht="14.25">
      <c r="A116" s="390"/>
      <c r="B116" s="408"/>
      <c r="C116" s="400" t="s">
        <v>594</v>
      </c>
      <c r="D116" s="400"/>
      <c r="E116" s="517"/>
      <c r="F116" s="400" t="s">
        <v>593</v>
      </c>
      <c r="G116" s="400"/>
      <c r="H116" s="400"/>
      <c r="I116" s="400"/>
      <c r="J116" s="400"/>
      <c r="K116" s="402"/>
      <c r="L116" s="390"/>
    </row>
    <row r="117" spans="1:12" ht="14.25">
      <c r="A117" s="390"/>
      <c r="B117" s="408" t="s">
        <v>595</v>
      </c>
      <c r="C117" s="712">
        <v>50000</v>
      </c>
      <c r="D117" s="712"/>
      <c r="E117" s="517" t="s">
        <v>570</v>
      </c>
      <c r="F117" s="514">
        <f>H114</f>
        <v>312000</v>
      </c>
      <c r="G117" s="517" t="s">
        <v>569</v>
      </c>
      <c r="H117" s="410">
        <f>C117/F117</f>
        <v>0.16025641025641027</v>
      </c>
      <c r="I117" s="400" t="s">
        <v>596</v>
      </c>
      <c r="J117" s="400"/>
      <c r="K117" s="402"/>
      <c r="L117" s="390"/>
    </row>
    <row r="118" spans="1:12" ht="14.25">
      <c r="A118" s="390"/>
      <c r="B118" s="408"/>
      <c r="C118" s="400"/>
      <c r="D118" s="400"/>
      <c r="E118" s="517"/>
      <c r="F118" s="400"/>
      <c r="G118" s="400"/>
      <c r="H118" s="400"/>
      <c r="I118" s="400"/>
      <c r="J118" s="400"/>
      <c r="K118" s="402"/>
      <c r="L118" s="390"/>
    </row>
    <row r="119" spans="1:12" ht="14.25">
      <c r="A119" s="390"/>
      <c r="B119" s="417"/>
      <c r="C119" s="418" t="s">
        <v>606</v>
      </c>
      <c r="D119" s="418"/>
      <c r="E119" s="513"/>
      <c r="F119" s="418"/>
      <c r="G119" s="418"/>
      <c r="H119" s="418"/>
      <c r="I119" s="418"/>
      <c r="J119" s="418"/>
      <c r="K119" s="419"/>
      <c r="L119" s="390"/>
    </row>
    <row r="120" spans="1:12" ht="14.25">
      <c r="A120" s="390"/>
      <c r="B120" s="408" t="s">
        <v>598</v>
      </c>
      <c r="C120" s="712">
        <v>2500000</v>
      </c>
      <c r="D120" s="712"/>
      <c r="E120" s="517" t="s">
        <v>28</v>
      </c>
      <c r="F120" s="433">
        <v>0.25</v>
      </c>
      <c r="G120" s="517" t="s">
        <v>569</v>
      </c>
      <c r="H120" s="514">
        <f>C120*F120</f>
        <v>625000</v>
      </c>
      <c r="I120" s="400" t="s">
        <v>599</v>
      </c>
      <c r="J120" s="400"/>
      <c r="K120" s="402"/>
      <c r="L120" s="390"/>
    </row>
    <row r="121" spans="1:12" ht="14.25">
      <c r="A121" s="390"/>
      <c r="B121" s="408"/>
      <c r="C121" s="400"/>
      <c r="D121" s="400"/>
      <c r="E121" s="517"/>
      <c r="F121" s="400"/>
      <c r="G121" s="400"/>
      <c r="H121" s="400"/>
      <c r="I121" s="400"/>
      <c r="J121" s="400"/>
      <c r="K121" s="402"/>
      <c r="L121" s="390"/>
    </row>
    <row r="122" spans="1:12" ht="14.25">
      <c r="A122" s="390"/>
      <c r="B122" s="417"/>
      <c r="C122" s="418" t="s">
        <v>600</v>
      </c>
      <c r="D122" s="418"/>
      <c r="E122" s="513"/>
      <c r="F122" s="418" t="s">
        <v>596</v>
      </c>
      <c r="G122" s="418"/>
      <c r="H122" s="418"/>
      <c r="I122" s="418"/>
      <c r="J122" s="418" t="s">
        <v>601</v>
      </c>
      <c r="K122" s="419"/>
      <c r="L122" s="390"/>
    </row>
    <row r="123" spans="1:12" ht="14.25">
      <c r="A123" s="390"/>
      <c r="B123" s="408" t="s">
        <v>602</v>
      </c>
      <c r="C123" s="722">
        <f>H120</f>
        <v>625000</v>
      </c>
      <c r="D123" s="722"/>
      <c r="E123" s="517" t="s">
        <v>28</v>
      </c>
      <c r="F123" s="410">
        <f>H117</f>
        <v>0.16025641025641027</v>
      </c>
      <c r="G123" s="517" t="s">
        <v>570</v>
      </c>
      <c r="H123" s="517">
        <v>1000</v>
      </c>
      <c r="I123" s="517" t="s">
        <v>569</v>
      </c>
      <c r="J123" s="515">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14" t="s">
        <v>561</v>
      </c>
      <c r="C125" s="714"/>
      <c r="D125" s="714"/>
      <c r="E125" s="714"/>
      <c r="F125" s="714"/>
      <c r="G125" s="714"/>
      <c r="H125" s="714"/>
      <c r="I125" s="714"/>
      <c r="J125" s="714"/>
      <c r="K125" s="714"/>
      <c r="L125" s="436"/>
    </row>
    <row r="126" spans="1:12" ht="14.25">
      <c r="A126" s="390"/>
      <c r="B126" s="706" t="s">
        <v>610</v>
      </c>
      <c r="C126" s="706"/>
      <c r="D126" s="706"/>
      <c r="E126" s="706"/>
      <c r="F126" s="706"/>
      <c r="G126" s="706"/>
      <c r="H126" s="706"/>
      <c r="I126" s="706"/>
      <c r="J126" s="706"/>
      <c r="K126" s="706"/>
      <c r="L126" s="436"/>
    </row>
    <row r="127" spans="1:12" ht="14.25">
      <c r="A127" s="390"/>
      <c r="B127" s="521"/>
      <c r="C127" s="521"/>
      <c r="D127" s="521"/>
      <c r="E127" s="521"/>
      <c r="F127" s="521"/>
      <c r="G127" s="521"/>
      <c r="H127" s="521"/>
      <c r="I127" s="521"/>
      <c r="J127" s="521"/>
      <c r="K127" s="521"/>
      <c r="L127" s="436"/>
    </row>
    <row r="128" spans="1:12" ht="14.25">
      <c r="A128" s="390"/>
      <c r="B128" s="706" t="s">
        <v>611</v>
      </c>
      <c r="C128" s="706"/>
      <c r="D128" s="706"/>
      <c r="E128" s="706"/>
      <c r="F128" s="706"/>
      <c r="G128" s="706"/>
      <c r="H128" s="706"/>
      <c r="I128" s="706"/>
      <c r="J128" s="706"/>
      <c r="K128" s="706"/>
      <c r="L128" s="436"/>
    </row>
    <row r="129" spans="1:12" ht="14.25">
      <c r="A129" s="390"/>
      <c r="B129" s="516"/>
      <c r="C129" s="516"/>
      <c r="D129" s="516"/>
      <c r="E129" s="516"/>
      <c r="F129" s="516"/>
      <c r="G129" s="516"/>
      <c r="H129" s="516"/>
      <c r="I129" s="516"/>
      <c r="J129" s="516"/>
      <c r="K129" s="516"/>
      <c r="L129" s="436"/>
    </row>
    <row r="130" spans="1:12" ht="74.25" customHeight="1">
      <c r="A130" s="390"/>
      <c r="B130" s="711" t="s">
        <v>612</v>
      </c>
      <c r="C130" s="711"/>
      <c r="D130" s="711"/>
      <c r="E130" s="711"/>
      <c r="F130" s="711"/>
      <c r="G130" s="711"/>
      <c r="H130" s="711"/>
      <c r="I130" s="711"/>
      <c r="J130" s="711"/>
      <c r="K130" s="711"/>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27" t="s">
        <v>613</v>
      </c>
      <c r="D133" s="727"/>
      <c r="E133" s="400"/>
      <c r="F133" s="517" t="s">
        <v>614</v>
      </c>
      <c r="G133" s="400"/>
      <c r="H133" s="727" t="s">
        <v>599</v>
      </c>
      <c r="I133" s="727"/>
      <c r="J133" s="400"/>
      <c r="K133" s="402"/>
      <c r="L133" s="390"/>
    </row>
    <row r="134" spans="1:12" ht="14.25">
      <c r="A134" s="390"/>
      <c r="B134" s="408" t="s">
        <v>592</v>
      </c>
      <c r="C134" s="712">
        <v>100000</v>
      </c>
      <c r="D134" s="712"/>
      <c r="E134" s="517" t="s">
        <v>28</v>
      </c>
      <c r="F134" s="517">
        <v>0.115</v>
      </c>
      <c r="G134" s="517" t="s">
        <v>569</v>
      </c>
      <c r="H134" s="728">
        <f>C134*F134</f>
        <v>11500</v>
      </c>
      <c r="I134" s="728"/>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29" t="s">
        <v>599</v>
      </c>
      <c r="D136" s="729"/>
      <c r="E136" s="418"/>
      <c r="F136" s="513" t="s">
        <v>615</v>
      </c>
      <c r="G136" s="513"/>
      <c r="H136" s="418"/>
      <c r="I136" s="418"/>
      <c r="J136" s="418" t="s">
        <v>616</v>
      </c>
      <c r="K136" s="419"/>
      <c r="L136" s="390"/>
    </row>
    <row r="137" spans="1:12" ht="14.25">
      <c r="A137" s="390"/>
      <c r="B137" s="408" t="s">
        <v>595</v>
      </c>
      <c r="C137" s="728">
        <f>H134</f>
        <v>11500</v>
      </c>
      <c r="D137" s="728"/>
      <c r="E137" s="517" t="s">
        <v>28</v>
      </c>
      <c r="F137" s="437">
        <v>52.869</v>
      </c>
      <c r="G137" s="517" t="s">
        <v>570</v>
      </c>
      <c r="H137" s="517">
        <v>1000</v>
      </c>
      <c r="I137" s="517"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4"/>
      <c r="D141" s="514"/>
      <c r="E141" s="517"/>
      <c r="F141" s="454"/>
      <c r="G141" s="517"/>
      <c r="H141" s="517"/>
      <c r="I141" s="517"/>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4"/>
      <c r="D143" s="514"/>
      <c r="E143" s="517"/>
      <c r="F143" s="454"/>
      <c r="G143" s="517"/>
      <c r="H143" s="517"/>
      <c r="I143" s="517"/>
      <c r="J143" s="438"/>
      <c r="K143" s="402"/>
      <c r="L143" s="390"/>
    </row>
    <row r="144" spans="1:12" ht="76.5" customHeight="1">
      <c r="A144" s="390"/>
      <c r="B144" s="730" t="s">
        <v>619</v>
      </c>
      <c r="C144" s="731"/>
      <c r="D144" s="731"/>
      <c r="E144" s="731"/>
      <c r="F144" s="731"/>
      <c r="G144" s="731"/>
      <c r="H144" s="731"/>
      <c r="I144" s="731"/>
      <c r="J144" s="731"/>
      <c r="K144" s="732"/>
      <c r="L144" s="390"/>
    </row>
    <row r="145" spans="1:12" ht="15" thickBot="1">
      <c r="A145" s="390"/>
      <c r="B145" s="408"/>
      <c r="C145" s="514"/>
      <c r="D145" s="514"/>
      <c r="E145" s="517"/>
      <c r="F145" s="454"/>
      <c r="G145" s="517"/>
      <c r="H145" s="517"/>
      <c r="I145" s="517"/>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28" t="s">
        <v>620</v>
      </c>
      <c r="D147" s="728"/>
      <c r="E147" s="517"/>
      <c r="F147" s="454" t="s">
        <v>621</v>
      </c>
      <c r="G147" s="517"/>
      <c r="H147" s="517"/>
      <c r="I147" s="517"/>
      <c r="J147" s="733" t="s">
        <v>622</v>
      </c>
      <c r="K147" s="734"/>
      <c r="L147" s="390"/>
    </row>
    <row r="148" spans="1:12" ht="14.25">
      <c r="A148" s="390"/>
      <c r="B148" s="408"/>
      <c r="C148" s="735">
        <v>52.869</v>
      </c>
      <c r="D148" s="735"/>
      <c r="E148" s="517" t="s">
        <v>28</v>
      </c>
      <c r="F148" s="518">
        <v>312000000</v>
      </c>
      <c r="G148" s="459" t="s">
        <v>570</v>
      </c>
      <c r="H148" s="517">
        <v>1000</v>
      </c>
      <c r="I148" s="517" t="s">
        <v>569</v>
      </c>
      <c r="J148" s="733">
        <f>C148*(F148/1000)</f>
        <v>16495128</v>
      </c>
      <c r="K148" s="736"/>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Watershed # 75 Roy's Creek</v>
      </c>
      <c r="C1" s="18"/>
      <c r="D1" s="18"/>
      <c r="E1" s="235">
        <f>inputPrYr!$D$6</f>
        <v>2013</v>
      </c>
    </row>
    <row r="2" spans="2:5" ht="15.75">
      <c r="B2" s="18"/>
      <c r="C2" s="18"/>
      <c r="D2" s="18"/>
      <c r="E2" s="154"/>
    </row>
    <row r="3" spans="2:6" ht="15.75">
      <c r="B3" s="486" t="s">
        <v>76</v>
      </c>
      <c r="C3" s="221"/>
      <c r="D3" s="221"/>
      <c r="E3" s="236"/>
      <c r="F3" s="556"/>
    </row>
    <row r="4" spans="2:5" ht="15.75">
      <c r="B4" s="43" t="s">
        <v>32</v>
      </c>
      <c r="C4" s="367" t="s">
        <v>240</v>
      </c>
      <c r="D4" s="368" t="s">
        <v>241</v>
      </c>
      <c r="E4" s="222" t="s">
        <v>238</v>
      </c>
    </row>
    <row r="5" spans="2:5" ht="15.75">
      <c r="B5" s="386" t="s">
        <v>265</v>
      </c>
      <c r="C5" s="375" t="str">
        <f>CONCATENATE("Actual for ",E1-2,"")</f>
        <v>Actual for 2011</v>
      </c>
      <c r="D5" s="375" t="str">
        <f>CONCATENATE("Estimate for ",E1-1,"")</f>
        <v>Estimate for 2012</v>
      </c>
      <c r="E5" s="169" t="str">
        <f>CONCATENATE("Year for ",E1,"")</f>
        <v>Year for 2013</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6"/>
      <c r="G44" s="674" t="str">
        <f>CONCATENATE("Desired Carryover Into ",E1+1,"")</f>
        <v>Desired Carryover Into 2014</v>
      </c>
      <c r="H44" s="675"/>
      <c r="I44" s="675"/>
      <c r="J44" s="676"/>
      <c r="K44" s="586"/>
    </row>
    <row r="45" spans="2:11" ht="15.75">
      <c r="B45" s="249"/>
      <c r="C45" s="363"/>
      <c r="D45" s="363"/>
      <c r="E45" s="241"/>
      <c r="F45" s="586"/>
      <c r="G45" s="471"/>
      <c r="H45" s="69"/>
      <c r="I45" s="478"/>
      <c r="J45" s="470"/>
      <c r="K45" s="586"/>
    </row>
    <row r="46" spans="2:11" ht="15.75">
      <c r="B46" s="249"/>
      <c r="C46" s="363"/>
      <c r="D46" s="363"/>
      <c r="E46" s="241"/>
      <c r="F46" s="586"/>
      <c r="G46" s="469" t="s">
        <v>657</v>
      </c>
      <c r="H46" s="478"/>
      <c r="I46" s="478"/>
      <c r="J46" s="468">
        <v>0</v>
      </c>
      <c r="K46" s="586"/>
    </row>
    <row r="47" spans="2:11" ht="15.75">
      <c r="B47" s="249"/>
      <c r="C47" s="363"/>
      <c r="D47" s="363"/>
      <c r="E47" s="241"/>
      <c r="F47" s="586"/>
      <c r="G47" s="471" t="s">
        <v>658</v>
      </c>
      <c r="H47" s="69"/>
      <c r="I47" s="69"/>
      <c r="J47" s="587">
        <f>IF(J46=0,"",ROUND((J46+E60-G59)/inputOth!E7*1000,3)-G64)</f>
      </c>
      <c r="K47" s="586"/>
    </row>
    <row r="48" spans="2:11" ht="15.75">
      <c r="B48" s="249"/>
      <c r="C48" s="363"/>
      <c r="D48" s="363"/>
      <c r="E48" s="241"/>
      <c r="F48" s="586"/>
      <c r="G48" s="568" t="str">
        <f>CONCATENATE("",E1," Tot Exp/Non-Appr Must Be:")</f>
        <v>2013 Tot Exp/Non-Appr Must Be:</v>
      </c>
      <c r="H48" s="558"/>
      <c r="I48" s="557"/>
      <c r="J48" s="569">
        <f>IF(J46&gt;0,IF(E57&lt;E30,IF(J46=G59,E57,((J46-G59)*(1-D59))+E30),E57+(J46-G59)),0)</f>
        <v>0</v>
      </c>
      <c r="K48" s="586"/>
    </row>
    <row r="49" spans="2:11" ht="15.75">
      <c r="B49" s="249"/>
      <c r="C49" s="363"/>
      <c r="D49" s="363"/>
      <c r="E49" s="241"/>
      <c r="F49" s="586"/>
      <c r="G49" s="570" t="s">
        <v>723</v>
      </c>
      <c r="H49" s="571"/>
      <c r="I49" s="571"/>
      <c r="J49" s="572">
        <f>IF(J46&gt;0,J48-E57,0)</f>
        <v>0</v>
      </c>
      <c r="K49" s="586"/>
    </row>
    <row r="50" spans="2:11" ht="15.75">
      <c r="B50" s="120" t="s">
        <v>213</v>
      </c>
      <c r="C50" s="372"/>
      <c r="D50" s="372"/>
      <c r="E50" s="175">
        <f>Nhood!E8</f>
      </c>
      <c r="F50" s="586"/>
      <c r="G50" s="586"/>
      <c r="H50" s="586"/>
      <c r="I50" s="586"/>
      <c r="J50" s="586"/>
      <c r="K50" s="586"/>
    </row>
    <row r="51" spans="2:11" ht="15.75">
      <c r="B51" s="120" t="s">
        <v>212</v>
      </c>
      <c r="C51" s="372"/>
      <c r="D51" s="372"/>
      <c r="E51" s="241"/>
      <c r="F51" s="586"/>
      <c r="G51" s="674" t="str">
        <f>CONCATENATE("Projected Carryover Into ",E1+1,"")</f>
        <v>Projected Carryover Into 2014</v>
      </c>
      <c r="H51" s="737"/>
      <c r="I51" s="737"/>
      <c r="J51" s="738"/>
      <c r="K51" s="586"/>
    </row>
    <row r="52" spans="2:11" ht="15.75">
      <c r="B52" s="120" t="s">
        <v>555</v>
      </c>
      <c r="C52" s="364">
        <f>IF(C53*0.1&lt;C51,"Exceed 10% Rule","")</f>
      </c>
      <c r="D52" s="364">
        <f>IF(D53*0.1&lt;D51,"Exceed 10% Rule","")</f>
      </c>
      <c r="E52" s="383">
        <f>IF(E53*0.1&lt;E51,"Exceed 10% Rule","")</f>
      </c>
      <c r="F52" s="586"/>
      <c r="G52" s="471"/>
      <c r="H52" s="478"/>
      <c r="I52" s="478"/>
      <c r="J52" s="588"/>
      <c r="K52" s="586"/>
    </row>
    <row r="53" spans="2:11" ht="15.75">
      <c r="B53" s="232" t="s">
        <v>41</v>
      </c>
      <c r="C53" s="373">
        <f>SUM(C32:C51)</f>
        <v>0</v>
      </c>
      <c r="D53" s="373">
        <f>SUM(D32:D51)</f>
        <v>0</v>
      </c>
      <c r="E53" s="247">
        <f>SUM(E32:E51)</f>
        <v>0</v>
      </c>
      <c r="F53" s="586"/>
      <c r="G53" s="485">
        <f>D54</f>
        <v>0</v>
      </c>
      <c r="H53" s="484" t="str">
        <f>CONCATENATE("",E1-1," Ending Cash Balance (est.)")</f>
        <v>2012 Ending Cash Balance (est.)</v>
      </c>
      <c r="I53" s="573"/>
      <c r="J53" s="588"/>
      <c r="K53" s="586"/>
    </row>
    <row r="54" spans="2:11" ht="15.75">
      <c r="B54" s="112" t="s">
        <v>121</v>
      </c>
      <c r="C54" s="371">
        <f>C30-C53</f>
        <v>0</v>
      </c>
      <c r="D54" s="371">
        <f>D30-D53</f>
        <v>0</v>
      </c>
      <c r="E54" s="240" t="s">
        <v>28</v>
      </c>
      <c r="F54"/>
      <c r="G54" s="485">
        <f>E29</f>
        <v>0</v>
      </c>
      <c r="H54" s="478" t="str">
        <f>CONCATENATE("",E1," Non-AV Receipts (est.)")</f>
        <v>2013 Non-AV Receipts (est.)</v>
      </c>
      <c r="I54" s="573"/>
      <c r="J54" s="588"/>
      <c r="K54" s="586"/>
    </row>
    <row r="55" spans="2:11" ht="15.75">
      <c r="B55" s="137" t="str">
        <f>CONCATENATE("",E1-2,"/",E1-1," Budget Authority Amount:")</f>
        <v>2011/2012 Budget Authority Amount:</v>
      </c>
      <c r="C55" s="119">
        <f>inputOth!B42</f>
        <v>0</v>
      </c>
      <c r="D55" s="384">
        <f>inputPrYr!D20</f>
        <v>0</v>
      </c>
      <c r="E55" s="240" t="s">
        <v>28</v>
      </c>
      <c r="F55" s="250"/>
      <c r="G55" s="477">
        <f>IF(E59&gt;0,E58,E60)</f>
        <v>0</v>
      </c>
      <c r="H55" s="478" t="str">
        <f>CONCATENATE("",E1," Ad Valorem Tax (est.)")</f>
        <v>2013 Ad Valorem Tax (est.)</v>
      </c>
      <c r="I55" s="573"/>
      <c r="J55" s="588"/>
      <c r="K55" s="574">
        <f>IF(G55=E60,"","Note: Does not include Delinquent Taxes")</f>
      </c>
    </row>
    <row r="56" spans="2:11" ht="15.75">
      <c r="B56" s="137"/>
      <c r="C56" s="670" t="s">
        <v>652</v>
      </c>
      <c r="D56" s="671"/>
      <c r="E56" s="35"/>
      <c r="F56" s="589">
        <f>IF(E53/0.95-E53&lt;E56,"Exceeds 5%","")</f>
      </c>
      <c r="G56" s="485">
        <f>SUM(G53:G55)</f>
        <v>0</v>
      </c>
      <c r="H56" s="478" t="str">
        <f>CONCATENATE("Total ",E1," Resources Available")</f>
        <v>Total 2013 Resources Available</v>
      </c>
      <c r="I56" s="573"/>
      <c r="J56" s="588"/>
      <c r="K56" s="586"/>
    </row>
    <row r="57" spans="2:11" ht="15.75">
      <c r="B57" s="382" t="str">
        <f>CONCATENATE(C68,"     ",D68)</f>
        <v>     </v>
      </c>
      <c r="C57" s="672" t="s">
        <v>653</v>
      </c>
      <c r="D57" s="673"/>
      <c r="E57" s="45">
        <f>E53+E56</f>
        <v>0</v>
      </c>
      <c r="F57"/>
      <c r="G57" s="476"/>
      <c r="H57" s="478"/>
      <c r="I57" s="478"/>
      <c r="J57" s="588"/>
      <c r="K57" s="586"/>
    </row>
    <row r="58" spans="2:11" ht="15.75">
      <c r="B58" s="382" t="str">
        <f>CONCATENATE(C69,"     ",D69)</f>
        <v>     </v>
      </c>
      <c r="C58" s="489"/>
      <c r="D58" s="488" t="s">
        <v>654</v>
      </c>
      <c r="E58" s="42">
        <f>IF(E57-E30&gt;0,E57-E30,0)</f>
        <v>0</v>
      </c>
      <c r="F58"/>
      <c r="G58" s="477">
        <f>C53</f>
        <v>0</v>
      </c>
      <c r="H58" s="478" t="str">
        <f>CONCATENATE("Less ",E1-2," Expenditures")</f>
        <v>Less 2011 Expenditures</v>
      </c>
      <c r="I58" s="478"/>
      <c r="J58" s="588"/>
      <c r="K58" s="586"/>
    </row>
    <row r="59" spans="2:11" ht="15.75">
      <c r="B59" s="154"/>
      <c r="C59" s="487" t="s">
        <v>655</v>
      </c>
      <c r="D59" s="585">
        <f>inputOth!$E$35</f>
        <v>0</v>
      </c>
      <c r="E59" s="45">
        <f>ROUND(IF(D59&gt;0,(E58*D59),0),0)</f>
        <v>0</v>
      </c>
      <c r="F59"/>
      <c r="G59" s="506">
        <f>G56-G58</f>
        <v>0</v>
      </c>
      <c r="H59" s="467" t="str">
        <f>CONCATENATE("Projected ",E1+1," carryover (est.)")</f>
        <v>Projected 2014 carryover (est.)</v>
      </c>
      <c r="I59" s="576"/>
      <c r="J59" s="590"/>
      <c r="K59" s="586"/>
    </row>
    <row r="60" spans="2:11" ht="15.75">
      <c r="B60" s="18"/>
      <c r="C60" s="668" t="str">
        <f>CONCATENATE("Amount of  ",$E$1-1," Ad Valorem Tax")</f>
        <v>Amount of  2012 Ad Valorem Tax</v>
      </c>
      <c r="D60" s="669"/>
      <c r="E60" s="42">
        <f>E58+E59</f>
        <v>0</v>
      </c>
      <c r="F60"/>
      <c r="G60" s="586"/>
      <c r="H60" s="586"/>
      <c r="I60" s="586"/>
      <c r="J60" s="586"/>
      <c r="K60" s="586"/>
    </row>
    <row r="61" spans="2:11" ht="15.75">
      <c r="B61" s="154"/>
      <c r="C61" s="18"/>
      <c r="D61" s="18"/>
      <c r="E61" s="18"/>
      <c r="F61"/>
      <c r="G61" s="665" t="s">
        <v>724</v>
      </c>
      <c r="H61" s="666"/>
      <c r="I61" s="666"/>
      <c r="J61" s="667"/>
      <c r="K61" s="586"/>
    </row>
    <row r="62" spans="2:11" ht="15.75">
      <c r="B62" s="137" t="s">
        <v>43</v>
      </c>
      <c r="C62" s="251"/>
      <c r="D62" s="18"/>
      <c r="E62" s="18"/>
      <c r="F62"/>
      <c r="G62" s="577"/>
      <c r="H62" s="484"/>
      <c r="I62" s="559"/>
      <c r="J62" s="578"/>
      <c r="K62" s="586"/>
    </row>
    <row r="63" spans="6:11" ht="15.75">
      <c r="F63"/>
      <c r="G63" s="579" t="e">
        <f>summ!#REF!</f>
        <v>#REF!</v>
      </c>
      <c r="H63" s="484" t="str">
        <f>CONCATENATE("",E1," Fund Mill Rate")</f>
        <v>2013 Fund Mill Rate</v>
      </c>
      <c r="I63" s="559"/>
      <c r="J63" s="578"/>
      <c r="K63" s="586"/>
    </row>
    <row r="64" spans="6:11" ht="15.75">
      <c r="F64"/>
      <c r="G64" s="581" t="e">
        <f>summ!#REF!</f>
        <v>#REF!</v>
      </c>
      <c r="H64" s="484" t="str">
        <f>CONCATENATE("",E1-1," Fund Mill Rate")</f>
        <v>2012 Fund Mill Rate</v>
      </c>
      <c r="I64" s="559"/>
      <c r="J64" s="578"/>
      <c r="K64" s="586"/>
    </row>
    <row r="65" spans="6:11" ht="15.75">
      <c r="F65"/>
      <c r="G65" s="582">
        <f>summ!H18</f>
        <v>3.531</v>
      </c>
      <c r="H65" s="484" t="str">
        <f>CONCATENATE("Total ",E1," Mill Rate")</f>
        <v>Total 2013 Mill Rate</v>
      </c>
      <c r="I65" s="559"/>
      <c r="J65" s="578"/>
      <c r="K65" s="586"/>
    </row>
    <row r="66" spans="6:11" ht="15.75">
      <c r="F66"/>
      <c r="G66" s="581">
        <f>summ!E18</f>
        <v>3.825</v>
      </c>
      <c r="H66" s="583" t="str">
        <f>CONCATENATE("Total ",E1-1," Mill Rate")</f>
        <v>Total 2012 Mill Rate</v>
      </c>
      <c r="I66" s="584"/>
      <c r="J66" s="78"/>
      <c r="K66" s="586"/>
    </row>
    <row r="67" spans="7:10" ht="15.75">
      <c r="G67" s="562"/>
      <c r="H67" s="472"/>
      <c r="I67" s="562"/>
      <c r="J67" s="560"/>
    </row>
    <row r="68" spans="3:10" ht="15.75" customHeight="1" hidden="1">
      <c r="C68" s="16">
        <f>IF(C53&gt;C55,"See Tab A","")</f>
      </c>
      <c r="D68" s="16">
        <f>IF(D53&gt;D55,"See Tab C","")</f>
      </c>
      <c r="G68" s="561"/>
      <c r="H68" s="562"/>
      <c r="I68" s="562"/>
      <c r="J68" s="566"/>
    </row>
    <row r="69" spans="3:10" ht="15.75" customHeight="1" hidden="1">
      <c r="C69" s="16">
        <f>IF(C54&lt;0,"See Tab B","")</f>
      </c>
      <c r="D69" s="16">
        <f>IF(D54&lt;0,"See Tab D","")</f>
      </c>
      <c r="G69" s="562"/>
      <c r="H69" s="472"/>
      <c r="I69" s="472"/>
      <c r="J69" s="567"/>
    </row>
    <row r="70" spans="7:10" ht="15.75">
      <c r="G70" s="564"/>
      <c r="H70" s="472"/>
      <c r="I70" s="562"/>
      <c r="J70" s="563"/>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 75 Roy's Creek</v>
      </c>
      <c r="C1" s="18"/>
      <c r="D1" s="18"/>
      <c r="E1" s="181"/>
    </row>
    <row r="2" spans="2:5" ht="15.75">
      <c r="B2" s="18" t="str">
        <f>inputPrYr!D4</f>
        <v>Brown County</v>
      </c>
      <c r="C2" s="18"/>
      <c r="D2" s="18"/>
      <c r="E2" s="137"/>
    </row>
    <row r="3" spans="2:6" ht="15.75">
      <c r="B3" s="25" t="s">
        <v>76</v>
      </c>
      <c r="C3" s="221"/>
      <c r="D3" s="221"/>
      <c r="E3" s="18">
        <f>inputPrYr!D6</f>
        <v>2013</v>
      </c>
      <c r="F3" s="556"/>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2011</v>
      </c>
      <c r="D6" s="369" t="str">
        <f>CONCATENATE("Estimate for ",E3-1,"")</f>
        <v>Estimate for 2012</v>
      </c>
      <c r="E6" s="223" t="str">
        <f>CONCATENATE("Year for ",E3,"")</f>
        <v>Year for 2013</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4" t="str">
        <f>CONCATENATE("Desired Carryover Into ",E3+1,"")</f>
        <v>Desired Carryover Into 2014</v>
      </c>
      <c r="H25" s="675"/>
      <c r="I25" s="675"/>
      <c r="J25" s="676"/>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7">
        <f>IF(J27=0,"",ROUND((J27+E40-G40)/inputOth!E7*1000,3)-G45)</f>
      </c>
      <c r="K28" s="16"/>
    </row>
    <row r="29" spans="2:11" ht="15.75">
      <c r="B29" s="227"/>
      <c r="C29" s="363"/>
      <c r="D29" s="363"/>
      <c r="E29" s="197"/>
      <c r="F29" s="16"/>
      <c r="G29" s="568" t="str">
        <f>CONCATENATE("",E3," Tot Exp/Non-Appr Must Be:")</f>
        <v>2013 Tot Exp/Non-Appr Must Be:</v>
      </c>
      <c r="H29" s="558"/>
      <c r="I29" s="557"/>
      <c r="J29" s="569">
        <f>IF(J27&gt;0,IF(E37&lt;E22,IF(J27=G40,E37,((J27-G40)*(1-D39))+E22),E37+(J27-G40)),0)</f>
        <v>0</v>
      </c>
      <c r="K29" s="16"/>
    </row>
    <row r="30" spans="2:11" ht="15.75">
      <c r="B30" s="120" t="s">
        <v>213</v>
      </c>
      <c r="C30" s="363"/>
      <c r="D30" s="363"/>
      <c r="E30" s="202">
        <f>Nhood!E9</f>
      </c>
      <c r="F30" s="16"/>
      <c r="G30" s="570" t="s">
        <v>723</v>
      </c>
      <c r="H30" s="571"/>
      <c r="I30" s="571"/>
      <c r="J30" s="572">
        <f>IF(J27&gt;0,J29-E37,0)</f>
        <v>0</v>
      </c>
      <c r="K30" s="16"/>
    </row>
    <row r="31" spans="2:11" ht="15.75">
      <c r="B31" s="120" t="s">
        <v>212</v>
      </c>
      <c r="C31" s="227"/>
      <c r="D31" s="227"/>
      <c r="E31" s="197"/>
      <c r="F31" s="16"/>
      <c r="G31" s="16"/>
      <c r="H31" s="16"/>
      <c r="I31" s="16"/>
      <c r="J31" s="586"/>
      <c r="K31" s="16"/>
    </row>
    <row r="32" spans="2:11" ht="15.75">
      <c r="B32" s="120" t="s">
        <v>555</v>
      </c>
      <c r="C32" s="364">
        <f>IF(C33*0.1&lt;C31,"Exceed 10% Rule","")</f>
      </c>
      <c r="D32" s="364">
        <f>IF(D33*0.1&lt;D31,"Exceed 10% Rule","")</f>
      </c>
      <c r="E32" s="383">
        <f>IF(E33*0.1&lt;E31,"Exceed 10% Rule","")</f>
      </c>
      <c r="F32" s="16"/>
      <c r="G32" s="674" t="str">
        <f>CONCATENATE("Projected Carryover Into ",E3+1,"")</f>
        <v>Projected Carryover Into 2014</v>
      </c>
      <c r="H32" s="737"/>
      <c r="I32" s="737"/>
      <c r="J32" s="738"/>
      <c r="K32" s="16"/>
    </row>
    <row r="33" spans="2:11" ht="15.75">
      <c r="B33" s="232" t="s">
        <v>41</v>
      </c>
      <c r="C33" s="365">
        <f>SUM(C24:C31)</f>
        <v>0</v>
      </c>
      <c r="D33" s="365">
        <f>SUM(D24:D31)</f>
        <v>0</v>
      </c>
      <c r="E33" s="233">
        <f>SUM(E24:E31)</f>
        <v>0</v>
      </c>
      <c r="F33" s="16"/>
      <c r="G33" s="471"/>
      <c r="H33" s="478"/>
      <c r="I33" s="478"/>
      <c r="J33" s="591"/>
      <c r="K33" s="16"/>
    </row>
    <row r="34" spans="2:11" ht="15.75">
      <c r="B34" s="118" t="s">
        <v>121</v>
      </c>
      <c r="C34" s="366">
        <f>C22-C33</f>
        <v>0</v>
      </c>
      <c r="D34" s="366">
        <f>D22-D33</f>
        <v>0</v>
      </c>
      <c r="E34" s="127" t="s">
        <v>28</v>
      </c>
      <c r="F34" s="16"/>
      <c r="G34" s="485">
        <f>D34</f>
        <v>0</v>
      </c>
      <c r="H34" s="484" t="str">
        <f>CONCATENATE("",E3-1," Ending Cash Balance (est.)")</f>
        <v>2012 Ending Cash Balance (est.)</v>
      </c>
      <c r="I34" s="573"/>
      <c r="J34" s="591"/>
      <c r="K34" s="16"/>
    </row>
    <row r="35" spans="2:11" ht="15.75">
      <c r="B35" s="137" t="str">
        <f>CONCATENATE("",E3-2,"/",E3-1," Budget Authority Amount:")</f>
        <v>2011/2012 Budget Authority Amount:</v>
      </c>
      <c r="C35" s="119">
        <f>inputOth!B43</f>
        <v>0</v>
      </c>
      <c r="D35" s="384">
        <f>inputPrYr!D22</f>
        <v>0</v>
      </c>
      <c r="E35" s="127" t="s">
        <v>28</v>
      </c>
      <c r="F35" s="16"/>
      <c r="G35" s="485">
        <f>E21</f>
        <v>0</v>
      </c>
      <c r="H35" s="478" t="str">
        <f>CONCATENATE("",E3," Non-AV Receipts (est.)")</f>
        <v>2013 Non-AV Receipts (est.)</v>
      </c>
      <c r="I35" s="573"/>
      <c r="J35" s="591"/>
      <c r="K35" s="16"/>
    </row>
    <row r="36" spans="2:11" ht="15.75">
      <c r="B36" s="137"/>
      <c r="C36" s="670" t="s">
        <v>652</v>
      </c>
      <c r="D36" s="671"/>
      <c r="E36" s="35"/>
      <c r="F36" s="599">
        <f>IF(E33/0.95-E33&lt;E36,"Exceeds 5%","")</f>
      </c>
      <c r="G36" s="477">
        <f>IF(E39&gt;0,E38,E40)</f>
        <v>0</v>
      </c>
      <c r="H36" s="478" t="str">
        <f>CONCATENATE("",E3," Ad Valorem Tax (est.)")</f>
        <v>2013 Ad Valorem Tax (est.)</v>
      </c>
      <c r="I36" s="573"/>
      <c r="J36" s="592"/>
      <c r="K36" s="574">
        <f>IF(G36=E40,"","Note: Does not include Delinquent Taxes")</f>
      </c>
    </row>
    <row r="37" spans="2:11" ht="15.75">
      <c r="B37" s="382" t="str">
        <f>CONCATENATE(C87,"     ",D87)</f>
        <v>     </v>
      </c>
      <c r="C37" s="672" t="s">
        <v>653</v>
      </c>
      <c r="D37" s="673"/>
      <c r="E37" s="45">
        <f>E33+E36</f>
        <v>0</v>
      </c>
      <c r="G37" s="485">
        <f>SUM(G34:G36)</f>
        <v>0</v>
      </c>
      <c r="H37" s="478" t="str">
        <f>CONCATENATE("Total ",E3," Resources Available")</f>
        <v>Total 2013 Resources Available</v>
      </c>
      <c r="I37" s="573"/>
      <c r="J37" s="591"/>
      <c r="K37" s="16"/>
    </row>
    <row r="38" spans="2:11" ht="15.75">
      <c r="B38" s="382" t="str">
        <f>CONCATENATE(C88,"     ",D88)</f>
        <v>     </v>
      </c>
      <c r="C38" s="489"/>
      <c r="D38" s="488" t="s">
        <v>654</v>
      </c>
      <c r="E38" s="42">
        <f>IF(E37-E22&gt;0,E37-E22,0)</f>
        <v>0</v>
      </c>
      <c r="F38" s="16"/>
      <c r="G38" s="476"/>
      <c r="H38" s="478"/>
      <c r="I38" s="478"/>
      <c r="J38" s="591"/>
      <c r="K38" s="16"/>
    </row>
    <row r="39" spans="2:11" ht="15.75">
      <c r="B39" s="154"/>
      <c r="C39" s="487" t="s">
        <v>655</v>
      </c>
      <c r="D39" s="585">
        <f>inputOth!$E$35</f>
        <v>0</v>
      </c>
      <c r="E39" s="45">
        <f>ROUND(IF(D39&gt;0,(E38*D39),0),0)</f>
        <v>0</v>
      </c>
      <c r="F39" s="16"/>
      <c r="G39" s="477">
        <f>ROUND(C33*0.05+C33,0)</f>
        <v>0</v>
      </c>
      <c r="H39" s="478" t="str">
        <f>CONCATENATE("Less ",E3-2," Expenditures + 5%")</f>
        <v>Less 2011 Expenditures + 5%</v>
      </c>
      <c r="I39" s="573"/>
      <c r="J39" s="591"/>
      <c r="K39" s="16"/>
    </row>
    <row r="40" spans="2:11" ht="15.75">
      <c r="B40" s="18"/>
      <c r="C40" s="668" t="str">
        <f>CONCATENATE("Amount of  ",$E$3-1," Ad Valorem Tax")</f>
        <v>Amount of  2012 Ad Valorem Tax</v>
      </c>
      <c r="D40" s="669"/>
      <c r="E40" s="42">
        <f>E38+E39</f>
        <v>0</v>
      </c>
      <c r="F40" s="16"/>
      <c r="G40" s="506">
        <f>G37-G39</f>
        <v>0</v>
      </c>
      <c r="H40" s="467" t="str">
        <f>CONCATENATE("Projected ",E3+1," carryover (est.)")</f>
        <v>Projected 2014 carryover (est.)</v>
      </c>
      <c r="I40" s="576"/>
      <c r="J40" s="593"/>
      <c r="K40" s="16"/>
    </row>
    <row r="41" spans="2:11" ht="15.75">
      <c r="B41" s="18"/>
      <c r="C41" s="18"/>
      <c r="D41" s="18"/>
      <c r="E41" s="18"/>
      <c r="F41" s="16"/>
      <c r="G41" s="586"/>
      <c r="H41" s="586"/>
      <c r="I41" s="586"/>
      <c r="J41" s="586"/>
      <c r="K41" s="16"/>
    </row>
    <row r="42" spans="2:11" ht="15.7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9"/>
      <c r="J43" s="578"/>
      <c r="K43" s="16"/>
    </row>
    <row r="44" spans="2:11" ht="15.75" customHeight="1">
      <c r="B44" s="385">
        <f>inputPrYr!B23</f>
        <v>0</v>
      </c>
      <c r="C44" s="369" t="str">
        <f>C6</f>
        <v>Actual for 2011</v>
      </c>
      <c r="D44" s="369" t="str">
        <f>D6</f>
        <v>Estimate for 2012</v>
      </c>
      <c r="E44" s="223" t="str">
        <f>E6</f>
        <v>Year for 2013</v>
      </c>
      <c r="F44" s="16"/>
      <c r="G44" s="579" t="e">
        <f>summ!#REF!</f>
        <v>#REF!</v>
      </c>
      <c r="H44" s="484" t="str">
        <f>CONCATENATE("",E3," Fund Mill Rate")</f>
        <v>2013 Fund Mill Rate</v>
      </c>
      <c r="I44" s="559"/>
      <c r="J44" s="578"/>
      <c r="K44" s="16"/>
    </row>
    <row r="45" spans="2:11" ht="15.75">
      <c r="B45" s="118" t="s">
        <v>120</v>
      </c>
      <c r="C45" s="363"/>
      <c r="D45" s="370">
        <f>C72</f>
        <v>0</v>
      </c>
      <c r="E45" s="45">
        <f>D72</f>
        <v>0</v>
      </c>
      <c r="F45" s="16"/>
      <c r="G45" s="581" t="e">
        <f>summ!#REF!</f>
        <v>#REF!</v>
      </c>
      <c r="H45" s="484" t="str">
        <f>CONCATENATE("",E3-1," Fund Mill Rate")</f>
        <v>2012 Fund Mill Rate</v>
      </c>
      <c r="I45" s="559"/>
      <c r="J45" s="578"/>
      <c r="K45" s="16"/>
    </row>
    <row r="46" spans="2:11" ht="15.75">
      <c r="B46" s="225" t="s">
        <v>122</v>
      </c>
      <c r="C46" s="226"/>
      <c r="D46" s="226"/>
      <c r="E46" s="122"/>
      <c r="F46" s="16"/>
      <c r="G46" s="582">
        <f>summ!H18</f>
        <v>3.531</v>
      </c>
      <c r="H46" s="484" t="str">
        <f>CONCATENATE("Total ",E3," Mill Rate")</f>
        <v>Total 2013 Mill Rate</v>
      </c>
      <c r="I46" s="559"/>
      <c r="J46" s="578"/>
      <c r="K46" s="16"/>
    </row>
    <row r="47" spans="2:11" ht="15.75">
      <c r="B47" s="118" t="s">
        <v>33</v>
      </c>
      <c r="C47" s="363"/>
      <c r="D47" s="370">
        <f>IF(inputPrYr!H18&gt;0,inputPrYr!G23,inputPrYr!E23)</f>
        <v>0</v>
      </c>
      <c r="E47" s="127" t="s">
        <v>28</v>
      </c>
      <c r="F47" s="16"/>
      <c r="G47" s="581">
        <f>summ!E18</f>
        <v>3.825</v>
      </c>
      <c r="H47" s="583" t="str">
        <f>CONCATENATE("Total ",E3-1," Mill Rate")</f>
        <v>Total 2012 Mill Rate</v>
      </c>
      <c r="I47" s="584"/>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4" t="str">
        <f>CONCATENATE("Desired Carryover Into ",E3+1,"")</f>
        <v>Desired Carryover Into 2014</v>
      </c>
      <c r="H65" s="675"/>
      <c r="I65" s="675"/>
      <c r="J65" s="676"/>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7">
        <f>IF(J67=0,"",ROUND((J67+E81-G80)/inputOth!E7*1000,3)-G85)</f>
      </c>
      <c r="K68" s="16"/>
    </row>
    <row r="69" spans="2:11" ht="15.75">
      <c r="B69" s="120" t="s">
        <v>212</v>
      </c>
      <c r="C69" s="227"/>
      <c r="D69" s="227"/>
      <c r="E69" s="197"/>
      <c r="F69" s="16"/>
      <c r="G69" s="568" t="str">
        <f>CONCATENATE("",E3," Tot Exp/Non-Appr Must Be:")</f>
        <v>2013 Tot Exp/Non-Appr Must Be:</v>
      </c>
      <c r="H69" s="558"/>
      <c r="I69" s="557"/>
      <c r="J69" s="569">
        <f>IF(J67&gt;0,IF(E75&lt;E60,IF(J67=G80,E75,((J67-G80)*(1-D77))+E60),E75+(J67-G80)),0)</f>
        <v>0</v>
      </c>
      <c r="K69" s="16"/>
    </row>
    <row r="70" spans="2:11" ht="15.7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75">
      <c r="B71" s="232" t="s">
        <v>41</v>
      </c>
      <c r="C71" s="365">
        <f>SUM(C62:C69)</f>
        <v>0</v>
      </c>
      <c r="D71" s="365">
        <f>SUM(D62:D69)</f>
        <v>0</v>
      </c>
      <c r="E71" s="233">
        <f>SUM(E62:E69)</f>
        <v>0</v>
      </c>
      <c r="F71" s="16"/>
      <c r="G71" s="16"/>
      <c r="H71" s="16"/>
      <c r="I71" s="16"/>
      <c r="J71" s="586"/>
      <c r="K71" s="16"/>
    </row>
    <row r="72" spans="2:11" ht="15.75">
      <c r="B72" s="118" t="s">
        <v>121</v>
      </c>
      <c r="C72" s="366">
        <f>C60-C71</f>
        <v>0</v>
      </c>
      <c r="D72" s="366">
        <f>D60-D71</f>
        <v>0</v>
      </c>
      <c r="E72" s="127" t="s">
        <v>28</v>
      </c>
      <c r="F72" s="16"/>
      <c r="G72" s="674" t="str">
        <f>CONCATENATE("Projected Carryover Into ",E3+1,"")</f>
        <v>Projected Carryover Into 2014</v>
      </c>
      <c r="H72" s="739"/>
      <c r="I72" s="739"/>
      <c r="J72" s="738"/>
      <c r="K72" s="16"/>
    </row>
    <row r="73" spans="2:11" ht="15.75">
      <c r="B73" s="137" t="str">
        <f>CONCATENATE("",E3-2,"/",E3-1," Budget Authority Amount:")</f>
        <v>2011/2012 Budget Authority Amount:</v>
      </c>
      <c r="C73" s="119">
        <f>inputOth!B44</f>
        <v>0</v>
      </c>
      <c r="D73" s="384">
        <f>inputPrYr!D23</f>
        <v>0</v>
      </c>
      <c r="E73" s="127" t="s">
        <v>28</v>
      </c>
      <c r="F73" s="16"/>
      <c r="G73" s="490"/>
      <c r="H73" s="69"/>
      <c r="I73" s="69"/>
      <c r="J73" s="479"/>
      <c r="K73" s="16"/>
    </row>
    <row r="74" spans="2:11" ht="15.75">
      <c r="B74" s="137"/>
      <c r="C74" s="670" t="s">
        <v>652</v>
      </c>
      <c r="D74" s="671"/>
      <c r="E74" s="35"/>
      <c r="F74" s="600">
        <f>IF(E71/0.95-E71&lt;E74,"Exceeds 5%","")</f>
      </c>
      <c r="G74" s="485">
        <f>D72</f>
        <v>0</v>
      </c>
      <c r="H74" s="484" t="str">
        <f>CONCATENATE("",E3-1," Ending Cash Balance (est.)")</f>
        <v>2012 Ending Cash Balance (est.)</v>
      </c>
      <c r="I74" s="573"/>
      <c r="J74" s="479"/>
      <c r="K74" s="16"/>
    </row>
    <row r="75" spans="2:11" ht="15.75">
      <c r="B75" s="382" t="str">
        <f>CONCATENATE(C89,"     ",D89)</f>
        <v>     </v>
      </c>
      <c r="C75" s="672" t="s">
        <v>653</v>
      </c>
      <c r="D75" s="673"/>
      <c r="E75" s="45">
        <f>E71+E74</f>
        <v>0</v>
      </c>
      <c r="F75" s="16"/>
      <c r="G75" s="485">
        <f>E59</f>
        <v>0</v>
      </c>
      <c r="H75" s="478" t="str">
        <f>CONCATENATE("",E3," Non-AV Receipts (est.)")</f>
        <v>2013 Non-AV Receipts (est.)</v>
      </c>
      <c r="I75" s="573"/>
      <c r="J75" s="479"/>
      <c r="K75" s="16"/>
    </row>
    <row r="76" spans="2:11" ht="15.75">
      <c r="B76" s="382" t="str">
        <f>CONCATENATE(C90,"     ",D90)</f>
        <v>     </v>
      </c>
      <c r="C76" s="489"/>
      <c r="D76" s="488" t="s">
        <v>654</v>
      </c>
      <c r="E76" s="42">
        <f>IF(E75-E60&gt;0,E75-E60,0)</f>
        <v>0</v>
      </c>
      <c r="F76" s="250"/>
      <c r="G76" s="477">
        <f>IF(E77&gt;0,E76,E78)</f>
        <v>0</v>
      </c>
      <c r="H76" s="478" t="str">
        <f>CONCATENATE("",E3," Ad Valorem Tax (est.)")</f>
        <v>2013 Ad Valorem Tax (est.)</v>
      </c>
      <c r="I76" s="573"/>
      <c r="J76" s="479"/>
      <c r="K76" s="574">
        <f>IF(G76=E78,"","Note: Does not include Delinquent Taxes")</f>
      </c>
    </row>
    <row r="77" spans="2:11" ht="15.75">
      <c r="B77" s="154"/>
      <c r="C77" s="487" t="s">
        <v>655</v>
      </c>
      <c r="D77" s="585">
        <f>inputOth!$E$35</f>
        <v>0</v>
      </c>
      <c r="E77" s="45">
        <f>ROUND(IF(D77&gt;0,(E76*D77),0),0)</f>
        <v>0</v>
      </c>
      <c r="G77" s="594">
        <f>SUM(G74:G76)</f>
        <v>0</v>
      </c>
      <c r="H77" s="478" t="str">
        <f>CONCATENATE("Total ",E3," Resources Available")</f>
        <v>Total 2013 Resources Available</v>
      </c>
      <c r="I77" s="479"/>
      <c r="J77" s="479"/>
      <c r="K77" s="16"/>
    </row>
    <row r="78" spans="2:11" ht="15.75">
      <c r="B78" s="18"/>
      <c r="C78" s="668" t="str">
        <f>CONCATENATE("Amount of  ",$E$3-1," Ad Valorem Tax")</f>
        <v>Amount of  2012 Ad Valorem Tax</v>
      </c>
      <c r="D78" s="669"/>
      <c r="E78" s="42">
        <f>E76+E77</f>
        <v>0</v>
      </c>
      <c r="F78" s="16"/>
      <c r="G78" s="595"/>
      <c r="H78" s="491"/>
      <c r="I78" s="69"/>
      <c r="J78" s="479"/>
      <c r="K78" s="16"/>
    </row>
    <row r="79" spans="2:11" ht="15.75">
      <c r="B79" s="18"/>
      <c r="C79" s="155"/>
      <c r="D79" s="155"/>
      <c r="E79" s="155"/>
      <c r="F79" s="16"/>
      <c r="G79" s="596">
        <f>ROUND(C71*0.05+C71,0)</f>
        <v>0</v>
      </c>
      <c r="H79" s="491" t="str">
        <f>CONCATENATE("Less ",E3-2," Expenditures + 5%")</f>
        <v>Less 2011 Expenditures + 5%</v>
      </c>
      <c r="I79" s="479"/>
      <c r="J79" s="479"/>
      <c r="K79" s="16"/>
    </row>
    <row r="80" spans="2:11" ht="15.75">
      <c r="B80" s="137" t="s">
        <v>43</v>
      </c>
      <c r="C80" s="251"/>
      <c r="D80" s="18"/>
      <c r="E80" s="18"/>
      <c r="F80" s="16"/>
      <c r="G80" s="597">
        <f>G77-G79</f>
        <v>0</v>
      </c>
      <c r="H80" s="492" t="str">
        <f>CONCATENATE("Projected ",E3+1," carryover (est.)")</f>
        <v>Projected 2014 carryover (est.)</v>
      </c>
      <c r="I80" s="473"/>
      <c r="J80" s="593"/>
      <c r="K80" s="16"/>
    </row>
    <row r="81" spans="6:11" ht="15.75">
      <c r="F81" s="16"/>
      <c r="G81" s="586"/>
      <c r="H81" s="586"/>
      <c r="I81" s="586"/>
      <c r="J81" s="16"/>
      <c r="K81" s="16"/>
    </row>
    <row r="82" spans="6:11" ht="15.75">
      <c r="F82" s="16"/>
      <c r="G82" s="665" t="s">
        <v>724</v>
      </c>
      <c r="H82" s="666"/>
      <c r="I82" s="666"/>
      <c r="J82" s="667"/>
      <c r="K82" s="16"/>
    </row>
    <row r="83" spans="6:11" ht="15.75">
      <c r="F83" s="16"/>
      <c r="G83" s="577"/>
      <c r="H83" s="484"/>
      <c r="I83" s="559"/>
      <c r="J83" s="578"/>
      <c r="K83" s="16"/>
    </row>
    <row r="84" spans="6:11" ht="15.75">
      <c r="F84" s="16"/>
      <c r="G84" s="579" t="e">
        <f>summ!#REF!</f>
        <v>#REF!</v>
      </c>
      <c r="H84" s="484" t="str">
        <f>CONCATENATE("",E3," Fund Mill Rate")</f>
        <v>2013 Fund Mill Rate</v>
      </c>
      <c r="I84" s="559"/>
      <c r="J84" s="578"/>
      <c r="K84" s="16"/>
    </row>
    <row r="85" spans="6:11" ht="15.75">
      <c r="F85" s="16"/>
      <c r="G85" s="581" t="e">
        <f>summ!#REF!</f>
        <v>#REF!</v>
      </c>
      <c r="H85" s="484" t="str">
        <f>CONCATENATE("",E3-1," Fund Mill Rate")</f>
        <v>2012 Fund Mill Rate</v>
      </c>
      <c r="I85" s="559"/>
      <c r="J85" s="578"/>
      <c r="K85" s="16"/>
    </row>
    <row r="86" spans="6:11" ht="15.75" customHeight="1">
      <c r="F86" s="16"/>
      <c r="G86" s="582">
        <f>summ!H18</f>
        <v>3.531</v>
      </c>
      <c r="H86" s="484" t="str">
        <f>CONCATENATE("Total ",E3," Mill Rate")</f>
        <v>Total 2013 Mill Rate</v>
      </c>
      <c r="I86" s="559"/>
      <c r="J86" s="578"/>
      <c r="K86" s="16"/>
    </row>
    <row r="87" spans="3:11" ht="19.5" customHeight="1">
      <c r="C87" s="95">
        <f>IF(C33&gt;C35,"See Tab A","")</f>
      </c>
      <c r="D87" s="95">
        <f>IF(D33&gt;D35,"See Tab C","")</f>
      </c>
      <c r="F87" s="16"/>
      <c r="G87" s="581">
        <f>summ!E18</f>
        <v>3.825</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1"/>
      <c r="H91" s="561"/>
      <c r="I91" s="606"/>
      <c r="J91" s="602"/>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Watershed # 75 Roy's Creek</v>
      </c>
      <c r="C1" s="221"/>
      <c r="D1" s="18"/>
      <c r="E1" s="181"/>
    </row>
    <row r="2" spans="2:5" ht="15.75">
      <c r="B2" s="18" t="str">
        <f>inputPrYr!D4</f>
        <v>Brown County</v>
      </c>
      <c r="C2" s="221"/>
      <c r="D2" s="18"/>
      <c r="E2" s="137"/>
    </row>
    <row r="3" spans="2:5" ht="15.75">
      <c r="B3" s="25" t="s">
        <v>77</v>
      </c>
      <c r="C3" s="221"/>
      <c r="D3" s="221"/>
      <c r="E3" s="137">
        <f>inputPrYr!D6</f>
        <v>2013</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2011</v>
      </c>
      <c r="D6" s="223" t="str">
        <f>CONCATENATE("Estimate for ",E3-1,"")</f>
        <v>Estimate for 2012</v>
      </c>
      <c r="E6" s="223" t="str">
        <f>CONCATENATE("Year for ",E3,"")</f>
        <v>Year for 2013</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2011/2012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2011/2012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Watershed # 75 Roy's Creek</v>
      </c>
      <c r="B1" s="254"/>
      <c r="C1" s="60"/>
      <c r="D1" s="60"/>
      <c r="E1" s="60"/>
      <c r="F1" s="255" t="s">
        <v>225</v>
      </c>
      <c r="G1" s="60"/>
      <c r="H1" s="60"/>
      <c r="I1" s="60"/>
      <c r="J1" s="60"/>
      <c r="K1" s="60">
        <f>inputPrYr!$D$6</f>
        <v>2013</v>
      </c>
    </row>
    <row r="2" spans="1:11" ht="15.75">
      <c r="A2" s="60"/>
      <c r="B2" s="60"/>
      <c r="C2" s="60"/>
      <c r="D2" s="60"/>
      <c r="E2" s="60"/>
      <c r="F2" s="256" t="str">
        <f>CONCATENATE("(Only the actual budget year for ",K1-2," is to be shown)")</f>
        <v>(Only the actual budget year for 2011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740">
        <f>inputPrYr!B30</f>
        <v>0</v>
      </c>
      <c r="B5" s="741"/>
      <c r="C5" s="740">
        <f>inputPrYr!B31</f>
        <v>0</v>
      </c>
      <c r="D5" s="741"/>
      <c r="E5" s="740">
        <f>inputPrYr!B32</f>
        <v>0</v>
      </c>
      <c r="F5" s="741"/>
      <c r="G5" s="740">
        <f>inputPrYr!B33</f>
        <v>0</v>
      </c>
      <c r="H5" s="741"/>
      <c r="I5" s="740">
        <f>inputPrYr!B34</f>
        <v>0</v>
      </c>
      <c r="J5" s="741"/>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5.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3" t="s">
        <v>727</v>
      </c>
    </row>
    <row r="3" ht="15.75">
      <c r="A3" s="603"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7" t="s">
        <v>689</v>
      </c>
    </row>
    <row r="29" ht="15.75">
      <c r="A29" s="507" t="s">
        <v>690</v>
      </c>
    </row>
    <row r="31" ht="15.75">
      <c r="A31" s="349" t="s">
        <v>661</v>
      </c>
    </row>
    <row r="32" ht="15.75">
      <c r="A32" s="507" t="s">
        <v>662</v>
      </c>
    </row>
    <row r="33" ht="15.75">
      <c r="A33" s="507" t="s">
        <v>663</v>
      </c>
    </row>
    <row r="34" ht="31.5">
      <c r="A34" s="508" t="s">
        <v>686</v>
      </c>
    </row>
    <row r="35" ht="15.75">
      <c r="A35" s="507" t="s">
        <v>664</v>
      </c>
    </row>
    <row r="36" ht="15.75">
      <c r="A36" s="507" t="s">
        <v>665</v>
      </c>
    </row>
    <row r="37" ht="15.75">
      <c r="A37" s="507" t="s">
        <v>666</v>
      </c>
    </row>
    <row r="38" ht="15.75">
      <c r="A38" s="507" t="s">
        <v>667</v>
      </c>
    </row>
    <row r="39" ht="15.75">
      <c r="A39" s="507" t="s">
        <v>668</v>
      </c>
    </row>
    <row r="40" ht="15.75">
      <c r="A40" s="507" t="s">
        <v>669</v>
      </c>
    </row>
    <row r="41" ht="15.75">
      <c r="A41" s="507" t="s">
        <v>670</v>
      </c>
    </row>
    <row r="42" ht="15.75">
      <c r="A42" s="507" t="s">
        <v>671</v>
      </c>
    </row>
    <row r="43" ht="15.75">
      <c r="A43" s="507" t="s">
        <v>672</v>
      </c>
    </row>
    <row r="44" ht="15.75">
      <c r="A44" s="507" t="s">
        <v>673</v>
      </c>
    </row>
    <row r="45" ht="15.75">
      <c r="A45" s="507" t="s">
        <v>674</v>
      </c>
    </row>
    <row r="46" ht="15.75">
      <c r="A46" s="507" t="s">
        <v>675</v>
      </c>
    </row>
    <row r="47" ht="15.75">
      <c r="A47" s="507" t="s">
        <v>676</v>
      </c>
    </row>
    <row r="48" ht="15.75">
      <c r="A48" s="507" t="s">
        <v>677</v>
      </c>
    </row>
    <row r="49" ht="15.75">
      <c r="A49" s="507" t="s">
        <v>678</v>
      </c>
    </row>
    <row r="50" ht="15.75">
      <c r="A50" s="507" t="s">
        <v>679</v>
      </c>
    </row>
    <row r="51" ht="15.75">
      <c r="A51" s="507" t="s">
        <v>680</v>
      </c>
    </row>
    <row r="52" ht="15.75">
      <c r="A52" s="507" t="s">
        <v>681</v>
      </c>
    </row>
    <row r="53" ht="15.75">
      <c r="A53" s="507" t="s">
        <v>682</v>
      </c>
    </row>
    <row r="54" ht="15.75">
      <c r="A54" s="507"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Watershed # 75 Roy's Creek</v>
      </c>
      <c r="B1" s="60"/>
      <c r="C1" s="60"/>
      <c r="D1" s="60"/>
      <c r="E1" s="60">
        <f>inputPrYr!D6</f>
        <v>2013</v>
      </c>
    </row>
    <row r="2" spans="1:5" ht="15.75">
      <c r="A2" s="60" t="str">
        <f>inputPrYr!D4</f>
        <v>Brown County</v>
      </c>
      <c r="B2" s="60"/>
      <c r="C2" s="60"/>
      <c r="D2" s="60"/>
      <c r="E2" s="60"/>
    </row>
    <row r="3" spans="1:5" ht="15">
      <c r="A3" s="62"/>
      <c r="B3" s="62"/>
      <c r="C3" s="62"/>
      <c r="D3" s="62"/>
      <c r="E3" s="62"/>
    </row>
    <row r="4" spans="1:5" ht="15.75">
      <c r="A4" s="624" t="s">
        <v>189</v>
      </c>
      <c r="B4" s="625"/>
      <c r="C4" s="625"/>
      <c r="D4" s="625"/>
      <c r="E4" s="625"/>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4778663</v>
      </c>
    </row>
    <row r="8" spans="1:5" ht="15.75">
      <c r="A8" s="66" t="str">
        <f>CONCATENATE("New Improvements for ",inputPrYr!D6-1,"")</f>
        <v>New Improvements for 2012</v>
      </c>
      <c r="B8" s="67"/>
      <c r="C8" s="67"/>
      <c r="D8" s="67"/>
      <c r="E8" s="68">
        <v>4972</v>
      </c>
    </row>
    <row r="9" spans="1:5" ht="15.75">
      <c r="A9" s="66" t="str">
        <f>CONCATENATE("Personal Property excluding oil, gas, and mobile homes- ",inputPrYr!D6-1,"")</f>
        <v>Personal Property excluding oil, gas, and mobile homes- 2012</v>
      </c>
      <c r="B9" s="67"/>
      <c r="C9" s="67"/>
      <c r="D9" s="67"/>
      <c r="E9" s="68">
        <v>225519</v>
      </c>
    </row>
    <row r="10" spans="1:5" ht="15.75">
      <c r="A10" s="66" t="str">
        <f>CONCATENATE("Property that has changed in use for ",inputPrYr!D6-1,"")</f>
        <v>Property that has changed in use for 2012</v>
      </c>
      <c r="B10" s="67"/>
      <c r="C10" s="67"/>
      <c r="D10" s="67"/>
      <c r="E10" s="68">
        <v>21793</v>
      </c>
    </row>
    <row r="11" spans="1:5" ht="15.75">
      <c r="A11" s="65" t="str">
        <f>CONCATENATE("Personal Property excluding oil, gas, and mobile homes- ",inputPrYr!D6-2,"")</f>
        <v>Personal Property excluding oil, gas, and mobile homes- 2011</v>
      </c>
      <c r="B11" s="40"/>
      <c r="C11" s="40"/>
      <c r="D11" s="40"/>
      <c r="E11" s="68">
        <v>180299</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34" t="s">
        <v>26</v>
      </c>
      <c r="B15" s="629"/>
      <c r="C15" s="62"/>
      <c r="D15" s="73" t="s">
        <v>58</v>
      </c>
      <c r="E15" s="72"/>
    </row>
    <row r="16" spans="1:5" ht="15.75">
      <c r="A16" s="65" t="s">
        <v>10</v>
      </c>
      <c r="B16" s="40"/>
      <c r="C16" s="69"/>
      <c r="D16" s="74">
        <v>3.825</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3.825</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4345949</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951</v>
      </c>
    </row>
    <row r="28" spans="1:5" ht="15.75">
      <c r="A28" s="66" t="s">
        <v>15</v>
      </c>
      <c r="B28" s="67"/>
      <c r="C28" s="67"/>
      <c r="D28" s="84"/>
      <c r="E28" s="35">
        <v>36</v>
      </c>
    </row>
    <row r="29" spans="1:5" ht="15.75">
      <c r="A29" s="66" t="s">
        <v>164</v>
      </c>
      <c r="B29" s="67"/>
      <c r="C29" s="67"/>
      <c r="D29" s="84"/>
      <c r="E29" s="35">
        <v>194</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2010 Tax - (rate .01213 = 1.213%, key in 1.2)</v>
      </c>
      <c r="B34" s="40"/>
      <c r="C34" s="40"/>
      <c r="D34" s="44"/>
      <c r="E34" s="524">
        <v>0</v>
      </c>
    </row>
    <row r="35" spans="1:5" ht="15.75">
      <c r="A35" s="66" t="s">
        <v>699</v>
      </c>
      <c r="B35" s="86"/>
      <c r="C35" s="69"/>
      <c r="D35" s="69"/>
      <c r="E35" s="525">
        <v>0</v>
      </c>
    </row>
    <row r="36" spans="1:5" ht="15.75">
      <c r="A36" s="87" t="s">
        <v>166</v>
      </c>
      <c r="B36" s="87"/>
      <c r="C36" s="88"/>
      <c r="D36" s="88"/>
      <c r="E36" s="89"/>
    </row>
    <row r="37" spans="1:5" ht="15">
      <c r="A37" s="62"/>
      <c r="B37" s="62"/>
      <c r="C37" s="62"/>
      <c r="D37" s="62"/>
      <c r="E37" s="62"/>
    </row>
    <row r="38" spans="1:5" ht="15.75">
      <c r="A38" s="635" t="str">
        <f>CONCATENATE("From the ",E1-2," Budget Certificate Page")</f>
        <v>From the 2011 Budget Certificate Page</v>
      </c>
      <c r="B38" s="636"/>
      <c r="C38" s="62"/>
      <c r="D38" s="62"/>
      <c r="E38" s="62"/>
    </row>
    <row r="39" spans="1:5" ht="15.75">
      <c r="A39" s="90"/>
      <c r="B39" s="90" t="str">
        <f>CONCATENATE("",E1-2," Expenditure Amounts")</f>
        <v>2011 Expenditure Amounts</v>
      </c>
      <c r="C39" s="637" t="str">
        <f>CONCATENATE("Note: If the ",E1-2," budget was amended, then the")</f>
        <v>Note: If the 2011 budget was amended, then the</v>
      </c>
      <c r="D39" s="638"/>
      <c r="E39" s="638"/>
    </row>
    <row r="40" spans="1:5" ht="15.75">
      <c r="A40" s="91" t="s">
        <v>205</v>
      </c>
      <c r="B40" s="91" t="s">
        <v>206</v>
      </c>
      <c r="C40" s="92" t="s">
        <v>207</v>
      </c>
      <c r="D40" s="93"/>
      <c r="E40" s="93"/>
    </row>
    <row r="41" spans="1:5" ht="15.75">
      <c r="A41" s="94" t="str">
        <f>inputPrYr!B19</f>
        <v>General</v>
      </c>
      <c r="B41" s="56">
        <v>30625</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14" sqref="B14"/>
    </sheetView>
  </sheetViews>
  <sheetFormatPr defaultColWidth="8.796875" defaultRowHeight="15"/>
  <cols>
    <col min="1" max="1" width="13.796875" style="0" customWidth="1"/>
    <col min="2" max="2" width="16.09765625" style="0" customWidth="1"/>
  </cols>
  <sheetData>
    <row r="1" ht="15">
      <c r="J1" s="528" t="s">
        <v>703</v>
      </c>
    </row>
    <row r="2" spans="1:10" ht="54" customHeight="1">
      <c r="A2" s="639" t="s">
        <v>313</v>
      </c>
      <c r="B2" s="640"/>
      <c r="C2" s="640"/>
      <c r="D2" s="640"/>
      <c r="E2" s="640"/>
      <c r="F2" s="640"/>
      <c r="J2" s="528" t="s">
        <v>704</v>
      </c>
    </row>
    <row r="3" spans="1:10" ht="15.75">
      <c r="A3" s="526" t="s">
        <v>701</v>
      </c>
      <c r="B3" s="527" t="s">
        <v>795</v>
      </c>
      <c r="C3" s="527"/>
      <c r="J3" s="528" t="s">
        <v>705</v>
      </c>
    </row>
    <row r="4" spans="1:10" ht="15.75">
      <c r="A4" s="336"/>
      <c r="B4" s="336"/>
      <c r="C4" s="336"/>
      <c r="D4" s="337"/>
      <c r="E4" s="336"/>
      <c r="F4" s="336"/>
      <c r="J4" s="528" t="s">
        <v>706</v>
      </c>
    </row>
    <row r="5" spans="1:10" ht="15.75">
      <c r="A5" s="526" t="s">
        <v>702</v>
      </c>
      <c r="B5" s="527" t="s">
        <v>796</v>
      </c>
      <c r="C5" s="336"/>
      <c r="D5" s="337"/>
      <c r="E5" s="336"/>
      <c r="F5" s="336"/>
      <c r="J5" s="528" t="s">
        <v>707</v>
      </c>
    </row>
    <row r="6" spans="1:10" ht="15.75">
      <c r="A6" s="336"/>
      <c r="B6" s="336"/>
      <c r="C6" s="336"/>
      <c r="D6" s="337"/>
      <c r="E6" s="336"/>
      <c r="F6" s="336"/>
      <c r="J6" s="528" t="s">
        <v>708</v>
      </c>
    </row>
    <row r="7" spans="1:10" ht="15.75">
      <c r="A7" s="338" t="s">
        <v>314</v>
      </c>
      <c r="B7" s="339" t="s">
        <v>793</v>
      </c>
      <c r="C7" s="340"/>
      <c r="D7" s="338" t="s">
        <v>700</v>
      </c>
      <c r="E7" s="336"/>
      <c r="F7" s="336"/>
      <c r="J7" s="528" t="s">
        <v>709</v>
      </c>
    </row>
    <row r="8" spans="1:10" ht="15.75">
      <c r="A8" s="338"/>
      <c r="B8" s="341"/>
      <c r="C8" s="342"/>
      <c r="D8" s="529" t="str">
        <f>IF(B7="","",CONCATENATE("Latest date for notice to be published in your newspaper: ",G18," ",G22,", ",G23))</f>
        <v>Latest date for notice to be published in your newspaper: July 22, 2012</v>
      </c>
      <c r="E8" s="336"/>
      <c r="F8" s="336"/>
      <c r="J8" s="528" t="s">
        <v>710</v>
      </c>
    </row>
    <row r="9" spans="1:10" ht="15.75">
      <c r="A9" s="338" t="s">
        <v>315</v>
      </c>
      <c r="B9" s="339" t="s">
        <v>794</v>
      </c>
      <c r="C9" s="343"/>
      <c r="D9" s="338"/>
      <c r="E9" s="336"/>
      <c r="F9" s="336"/>
      <c r="J9" s="528" t="s">
        <v>711</v>
      </c>
    </row>
    <row r="10" spans="1:10" ht="15.75">
      <c r="A10" s="338"/>
      <c r="B10" s="338"/>
      <c r="C10" s="338"/>
      <c r="D10" s="338"/>
      <c r="E10" s="336"/>
      <c r="F10" s="336"/>
      <c r="J10" s="528" t="s">
        <v>712</v>
      </c>
    </row>
    <row r="11" spans="1:10" ht="15.75">
      <c r="A11" s="338" t="s">
        <v>316</v>
      </c>
      <c r="B11" s="344" t="s">
        <v>784</v>
      </c>
      <c r="C11" s="344"/>
      <c r="D11" s="344"/>
      <c r="E11" s="345"/>
      <c r="F11" s="336"/>
      <c r="J11" s="528" t="s">
        <v>713</v>
      </c>
    </row>
    <row r="12" spans="1:10" ht="15.75">
      <c r="A12" s="338"/>
      <c r="B12" s="338"/>
      <c r="C12" s="338"/>
      <c r="D12" s="338"/>
      <c r="E12" s="336"/>
      <c r="F12" s="336"/>
      <c r="J12" s="528" t="s">
        <v>714</v>
      </c>
    </row>
    <row r="13" spans="1:6" ht="15.75">
      <c r="A13" s="338"/>
      <c r="B13" s="338"/>
      <c r="C13" s="338"/>
      <c r="D13" s="338"/>
      <c r="E13" s="336"/>
      <c r="F13" s="336"/>
    </row>
    <row r="14" spans="1:6" ht="15.75">
      <c r="A14" s="338" t="s">
        <v>317</v>
      </c>
      <c r="B14" s="344" t="s">
        <v>785</v>
      </c>
      <c r="C14" s="344"/>
      <c r="D14" s="344"/>
      <c r="E14" s="345"/>
      <c r="F14" s="336"/>
    </row>
    <row r="17" spans="1:6" ht="15.75">
      <c r="A17" s="641" t="s">
        <v>318</v>
      </c>
      <c r="B17" s="641"/>
      <c r="C17" s="338"/>
      <c r="D17" s="338"/>
      <c r="E17" s="338"/>
      <c r="F17" s="336"/>
    </row>
    <row r="18" spans="1:7" ht="15.75">
      <c r="A18" s="338"/>
      <c r="B18" s="338"/>
      <c r="C18" s="338"/>
      <c r="D18" s="338"/>
      <c r="E18" s="338"/>
      <c r="F18" s="336"/>
      <c r="G18" s="528" t="str">
        <f ca="1">IF(B7="","",INDIRECT(G19))</f>
        <v>July</v>
      </c>
    </row>
    <row r="19" spans="1:7" ht="15.75">
      <c r="A19" s="338" t="s">
        <v>314</v>
      </c>
      <c r="B19" s="341" t="s">
        <v>319</v>
      </c>
      <c r="C19" s="338"/>
      <c r="D19" s="338"/>
      <c r="E19" s="338"/>
      <c r="G19" s="530" t="str">
        <f>IF(B7="","",CONCATENATE("J",G21))</f>
        <v>J7</v>
      </c>
    </row>
    <row r="20" spans="1:7" ht="15.75">
      <c r="A20" s="338"/>
      <c r="B20" s="338"/>
      <c r="C20" s="338"/>
      <c r="D20" s="338"/>
      <c r="E20" s="338"/>
      <c r="G20" s="531">
        <f>B7-10</f>
        <v>41112</v>
      </c>
    </row>
    <row r="21" spans="1:7" ht="15.75">
      <c r="A21" s="338" t="s">
        <v>315</v>
      </c>
      <c r="B21" s="338" t="s">
        <v>320</v>
      </c>
      <c r="C21" s="338"/>
      <c r="D21" s="338"/>
      <c r="E21" s="338"/>
      <c r="G21" s="532">
        <f>IF(B7="","",MONTH(G20))</f>
        <v>7</v>
      </c>
    </row>
    <row r="22" spans="1:7" ht="15.75">
      <c r="A22" s="338"/>
      <c r="B22" s="338"/>
      <c r="C22" s="338"/>
      <c r="D22" s="338"/>
      <c r="E22" s="338"/>
      <c r="G22" s="533">
        <f>IF(B7="","",DAY(G20))</f>
        <v>22</v>
      </c>
    </row>
    <row r="23" spans="1:7" ht="15.75">
      <c r="A23" s="338" t="s">
        <v>316</v>
      </c>
      <c r="B23" s="338" t="s">
        <v>322</v>
      </c>
      <c r="C23" s="338"/>
      <c r="D23" s="338"/>
      <c r="E23" s="338"/>
      <c r="G23" s="534">
        <f>IF(B7="","",YEAR(G20))</f>
        <v>2012</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3" t="s">
        <v>74</v>
      </c>
      <c r="B2" s="643"/>
      <c r="C2" s="643"/>
      <c r="D2" s="643"/>
      <c r="E2" s="643"/>
      <c r="F2" s="643"/>
      <c r="G2" s="643"/>
    </row>
    <row r="3" spans="1:7" ht="15.75">
      <c r="A3" s="18"/>
      <c r="B3" s="18"/>
      <c r="C3" s="18"/>
      <c r="D3" s="18"/>
      <c r="E3" s="18"/>
      <c r="F3" s="18"/>
      <c r="G3" s="60">
        <f>inputPrYr!D6</f>
        <v>2013</v>
      </c>
    </row>
    <row r="4" spans="1:7" ht="15.75">
      <c r="A4" s="644" t="str">
        <f>CONCATENATE("To the Clerk of ",inputPrYr!D4,", State of Kansas")</f>
        <v>To the Clerk of Brown County, State of Kansas</v>
      </c>
      <c r="B4" s="644"/>
      <c r="C4" s="644"/>
      <c r="D4" s="644"/>
      <c r="E4" s="644"/>
      <c r="F4" s="644"/>
      <c r="G4" s="644"/>
    </row>
    <row r="5" spans="1:7" ht="15.75">
      <c r="A5" s="97" t="s">
        <v>150</v>
      </c>
      <c r="B5" s="24"/>
      <c r="C5" s="24"/>
      <c r="D5" s="24"/>
      <c r="E5" s="24"/>
      <c r="F5" s="24"/>
      <c r="G5" s="24"/>
    </row>
    <row r="6" spans="1:7" ht="15.75">
      <c r="A6" s="626" t="str">
        <f>inputPrYr!D3</f>
        <v>Watershed # 75 Roy's Creek</v>
      </c>
      <c r="B6" s="626"/>
      <c r="C6" s="626"/>
      <c r="D6" s="626"/>
      <c r="E6" s="626"/>
      <c r="F6" s="626"/>
      <c r="G6" s="626"/>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8"/>
      <c r="E12" s="99"/>
      <c r="F12" s="99"/>
      <c r="G12" s="99"/>
    </row>
    <row r="13" spans="1:7" ht="15.75">
      <c r="A13" s="18"/>
      <c r="B13" s="18"/>
      <c r="C13" s="18"/>
      <c r="D13" s="18"/>
      <c r="E13" s="645" t="str">
        <f>CONCATENATE("",G3," Adopted Budget")</f>
        <v>2013 Adopted Budget</v>
      </c>
      <c r="F13" s="646"/>
      <c r="G13" s="647"/>
    </row>
    <row r="14" spans="1:8" ht="15.75">
      <c r="A14" s="17"/>
      <c r="B14" s="18"/>
      <c r="C14" s="18"/>
      <c r="D14" s="40"/>
      <c r="E14" s="100" t="s">
        <v>18</v>
      </c>
      <c r="F14" s="101"/>
      <c r="G14" s="102" t="s">
        <v>19</v>
      </c>
      <c r="H14" s="103"/>
    </row>
    <row r="15" spans="1:7" ht="15.75">
      <c r="A15" s="18"/>
      <c r="B15" s="18"/>
      <c r="C15" s="18"/>
      <c r="D15" s="101" t="s">
        <v>20</v>
      </c>
      <c r="E15" s="104" t="s">
        <v>206</v>
      </c>
      <c r="F15" s="648" t="str">
        <f>CONCATENATE("Amount of ",G3-1," Ad Valorem Tax")</f>
        <v>Amount of 2012 Ad Valorem Tax</v>
      </c>
      <c r="G15" s="102" t="s">
        <v>21</v>
      </c>
    </row>
    <row r="16" spans="1:7" ht="15.75">
      <c r="A16" s="17" t="s">
        <v>22</v>
      </c>
      <c r="B16" s="18"/>
      <c r="C16" s="18"/>
      <c r="D16" s="104" t="s">
        <v>23</v>
      </c>
      <c r="E16" s="104" t="s">
        <v>554</v>
      </c>
      <c r="F16" s="648"/>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2013</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24-1219</v>
      </c>
      <c r="D23" s="119">
        <v>6</v>
      </c>
      <c r="E23" s="547">
        <f>IF(gen!$E$39&lt;&gt;0,gen!$E$39,"  ")</f>
        <v>160390</v>
      </c>
      <c r="F23" s="547">
        <f>IF(gen!$E$46&lt;&gt;0,gen!$E$46,"  ")</f>
        <v>16875</v>
      </c>
      <c r="G23" s="548">
        <v>3.544</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8"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8"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8"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9"/>
      <c r="G27" s="548"/>
    </row>
    <row r="28" spans="1:7" ht="15.75">
      <c r="A28" s="123" t="str">
        <f>IF(inputPrYr!$B$27&gt;"  ",inputPrYr!$B$27,"  ")</f>
        <v>  </v>
      </c>
      <c r="B28" s="124"/>
      <c r="C28" s="121"/>
      <c r="D28" s="119" t="str">
        <f>IF(nolevypage9!C70&gt;0,nolevypage9!C70," ")</f>
        <v> </v>
      </c>
      <c r="E28" s="242" t="str">
        <f>IF(nolevypage9!$E$64&lt;&gt;0,nolevypage9!$E$64,"  ")</f>
        <v>  </v>
      </c>
      <c r="F28" s="549"/>
      <c r="G28" s="548"/>
    </row>
    <row r="29" spans="1:7" ht="15.75">
      <c r="A29" s="123">
        <f>IF((inputPrYr!$B$30&gt;" "),(NonBud!$A$3),"")</f>
      </c>
      <c r="B29" s="124"/>
      <c r="C29" s="102"/>
      <c r="D29" s="119">
        <f>IF(NonBud!F33&gt;0,NonBud!F33,"")</f>
      </c>
      <c r="E29" s="550"/>
      <c r="F29" s="551"/>
      <c r="G29" s="552"/>
    </row>
    <row r="30" spans="1:7" ht="15.75">
      <c r="A30" s="126" t="s">
        <v>129</v>
      </c>
      <c r="B30" s="67"/>
      <c r="C30" s="115"/>
      <c r="D30" s="127" t="s">
        <v>28</v>
      </c>
      <c r="E30" s="553">
        <f>SUM(E23:E28)</f>
        <v>160390</v>
      </c>
      <c r="F30" s="554">
        <f>SUM(F23:F28)</f>
        <v>16875</v>
      </c>
      <c r="G30" s="555">
        <f>IF(SUM(G23:G28)=0,"",SUM(G23:G28))</f>
        <v>3.544</v>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v>4761537</v>
      </c>
    </row>
    <row r="33" spans="1:7" ht="15.75">
      <c r="A33" s="135" t="s">
        <v>192</v>
      </c>
      <c r="B33" s="67"/>
      <c r="C33" s="115"/>
      <c r="D33" s="130">
        <f>IF(Resolution!E45=0,"",Resolution!E45)</f>
      </c>
      <c r="E33" s="60"/>
      <c r="F33" s="69"/>
      <c r="G33" s="649" t="str">
        <f>CONCATENATE("Nov. 1, ",G3," Total Assessed Valuation")</f>
        <v>Nov. 1, 2013 Total Assessed Valuation</v>
      </c>
    </row>
    <row r="34" spans="1:7" ht="15.75">
      <c r="A34" s="20"/>
      <c r="B34" s="69"/>
      <c r="C34" s="18"/>
      <c r="D34" s="136"/>
      <c r="E34" s="60"/>
      <c r="F34" s="69"/>
      <c r="G34" s="650"/>
    </row>
    <row r="35" spans="1:7" ht="15.75">
      <c r="A35" s="17" t="s">
        <v>557</v>
      </c>
      <c r="B35" s="69"/>
      <c r="C35" s="69"/>
      <c r="D35" s="69"/>
      <c r="E35" s="131"/>
      <c r="F35" s="69"/>
      <c r="G35" s="18"/>
    </row>
    <row r="36" spans="1:7" ht="15.75">
      <c r="A36" s="509" t="s">
        <v>776</v>
      </c>
      <c r="B36" s="509"/>
      <c r="C36" s="69"/>
      <c r="D36" s="69"/>
      <c r="E36" s="138"/>
      <c r="F36" s="69"/>
      <c r="G36" s="18"/>
    </row>
    <row r="37" spans="1:7" ht="15.75">
      <c r="A37" s="510"/>
      <c r="B37" s="510"/>
      <c r="C37" s="69"/>
      <c r="D37" s="69"/>
      <c r="E37" s="388"/>
      <c r="F37" s="69"/>
      <c r="G37" s="69"/>
    </row>
    <row r="38" spans="1:7" ht="15.75">
      <c r="A38" s="20" t="s">
        <v>558</v>
      </c>
      <c r="B38" s="69"/>
      <c r="C38" s="69"/>
      <c r="D38" s="69"/>
      <c r="E38" s="542"/>
      <c r="F38" s="69"/>
      <c r="G38" s="69"/>
    </row>
    <row r="39" spans="1:7" ht="15.75">
      <c r="A39" s="509" t="s">
        <v>777</v>
      </c>
      <c r="B39" s="509"/>
      <c r="C39" s="69"/>
      <c r="D39" s="69" t="s">
        <v>721</v>
      </c>
      <c r="E39" s="543"/>
      <c r="F39" s="543"/>
      <c r="G39" s="69"/>
    </row>
    <row r="40" spans="1:7" ht="15.75">
      <c r="A40" s="510" t="s">
        <v>778</v>
      </c>
      <c r="B40" s="510"/>
      <c r="C40" s="52"/>
      <c r="D40" s="69"/>
      <c r="E40" s="543"/>
      <c r="F40" s="543"/>
      <c r="G40" s="69"/>
    </row>
    <row r="41" spans="1:7" ht="15.75">
      <c r="A41" s="20" t="s">
        <v>720</v>
      </c>
      <c r="B41" s="69"/>
      <c r="C41" s="18"/>
      <c r="D41" s="69" t="s">
        <v>721</v>
      </c>
      <c r="E41" s="544"/>
      <c r="F41" s="69"/>
      <c r="G41" s="69"/>
    </row>
    <row r="42" spans="1:7" ht="15.75">
      <c r="A42" s="618" t="s">
        <v>779</v>
      </c>
      <c r="B42" s="510"/>
      <c r="C42" s="17"/>
      <c r="D42" s="21"/>
      <c r="E42" s="140"/>
      <c r="F42" s="69"/>
      <c r="G42" s="69"/>
    </row>
    <row r="43" spans="1:7" ht="15.75">
      <c r="A43" s="20"/>
      <c r="B43" s="69"/>
      <c r="C43" s="69"/>
      <c r="D43" s="69" t="s">
        <v>721</v>
      </c>
      <c r="E43" s="140"/>
      <c r="F43" s="545"/>
      <c r="G43" s="545"/>
    </row>
    <row r="44" spans="1:7" ht="15.75">
      <c r="A44" s="20"/>
      <c r="B44" s="99"/>
      <c r="C44" s="69"/>
      <c r="D44" s="140"/>
      <c r="E44" s="140"/>
      <c r="F44" s="140"/>
      <c r="G44" s="140"/>
    </row>
    <row r="45" spans="1:7" ht="15.75">
      <c r="A45" s="20"/>
      <c r="B45" s="69"/>
      <c r="C45" s="69"/>
      <c r="D45" s="69" t="s">
        <v>721</v>
      </c>
      <c r="E45" s="140"/>
      <c r="F45" s="545"/>
      <c r="G45" s="545"/>
    </row>
    <row r="46" spans="1:7" ht="15.75">
      <c r="A46" s="69"/>
      <c r="B46" s="69"/>
      <c r="C46" s="69"/>
      <c r="D46" s="140"/>
      <c r="E46" s="140"/>
      <c r="F46" s="140"/>
      <c r="G46" s="140"/>
    </row>
    <row r="47" spans="1:7" ht="15.75">
      <c r="A47" s="17" t="s">
        <v>190</v>
      </c>
      <c r="B47" s="18"/>
      <c r="C47" s="17">
        <f>G3-1</f>
        <v>2012</v>
      </c>
      <c r="D47" s="69" t="s">
        <v>721</v>
      </c>
      <c r="E47" s="69"/>
      <c r="F47" s="545"/>
      <c r="G47" s="545"/>
    </row>
    <row r="48" spans="1:7" ht="15.75">
      <c r="A48" s="140"/>
      <c r="B48" s="69"/>
      <c r="C48" s="17"/>
      <c r="D48" s="69"/>
      <c r="E48" s="69"/>
      <c r="F48" s="546"/>
      <c r="G48" s="546"/>
    </row>
    <row r="49" spans="1:7" ht="15.75">
      <c r="A49" s="651"/>
      <c r="B49" s="652"/>
      <c r="C49" s="18"/>
      <c r="D49" s="69" t="s">
        <v>721</v>
      </c>
      <c r="E49" s="69"/>
      <c r="F49" s="69"/>
      <c r="G49" s="69"/>
    </row>
    <row r="50" spans="1:7" ht="15.75">
      <c r="A50" s="24" t="s">
        <v>30</v>
      </c>
      <c r="B50" s="24"/>
      <c r="C50" s="18"/>
      <c r="D50" s="653" t="s">
        <v>29</v>
      </c>
      <c r="E50" s="654"/>
      <c r="F50" s="654"/>
      <c r="G50" s="654"/>
    </row>
    <row r="51" spans="1:7" ht="15.75">
      <c r="A51" s="655"/>
      <c r="B51" s="655"/>
      <c r="C51" s="655"/>
      <c r="D51" s="655"/>
      <c r="E51" s="655"/>
      <c r="F51" s="655"/>
      <c r="G51" s="655"/>
    </row>
    <row r="52" spans="1:7" ht="15.75">
      <c r="A52" s="656"/>
      <c r="B52" s="656"/>
      <c r="C52" s="656"/>
      <c r="D52" s="656"/>
      <c r="E52" s="656"/>
      <c r="F52" s="656"/>
      <c r="G52" s="656"/>
    </row>
    <row r="53" spans="1:7" ht="15.75">
      <c r="A53" s="16"/>
      <c r="B53" s="16"/>
      <c r="C53" s="16"/>
      <c r="D53" s="16"/>
      <c r="E53" s="16"/>
      <c r="F53" s="16"/>
      <c r="G53" s="642"/>
    </row>
    <row r="54" spans="1:7" ht="15.75">
      <c r="A54" s="16"/>
      <c r="B54" s="16"/>
      <c r="C54" s="16"/>
      <c r="D54" s="16"/>
      <c r="E54" s="16"/>
      <c r="F54" s="16"/>
      <c r="G54" s="642"/>
    </row>
    <row r="55" spans="1:7" ht="15.75">
      <c r="A55" s="16"/>
      <c r="B55" s="16"/>
      <c r="C55" s="16"/>
      <c r="D55" s="16"/>
      <c r="E55" s="16"/>
      <c r="F55" s="16"/>
      <c r="G55" s="642"/>
    </row>
    <row r="56" spans="1:7" ht="15.75">
      <c r="A56" s="16"/>
      <c r="B56" s="16"/>
      <c r="C56" s="16"/>
      <c r="D56" s="16"/>
      <c r="E56" s="16"/>
      <c r="F56" s="16"/>
      <c r="G56" s="642"/>
    </row>
    <row r="57" spans="1:7" ht="15.75">
      <c r="A57" s="16"/>
      <c r="B57" s="16"/>
      <c r="C57" s="16"/>
      <c r="D57" s="141"/>
      <c r="E57" s="16"/>
      <c r="F57" s="16"/>
      <c r="G57" s="642"/>
    </row>
    <row r="58" ht="15.75">
      <c r="G58" s="642"/>
    </row>
    <row r="59" ht="15.75">
      <c r="G59" s="642"/>
    </row>
    <row r="60" ht="15.75">
      <c r="G60" s="642"/>
    </row>
    <row r="61" ht="15.75">
      <c r="G61" s="642"/>
    </row>
    <row r="62" ht="15.75">
      <c r="G62" s="642"/>
    </row>
    <row r="63" ht="15.75">
      <c r="G63" s="642"/>
    </row>
    <row r="64" ht="15.75">
      <c r="G64" s="642"/>
    </row>
    <row r="65" ht="15.75">
      <c r="G65" s="642"/>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Watershed # 75 Roy's Creek</v>
      </c>
      <c r="D1" s="18"/>
      <c r="E1" s="18"/>
      <c r="F1" s="18"/>
      <c r="G1" s="18"/>
      <c r="H1" s="18"/>
      <c r="I1" s="18"/>
      <c r="J1" s="18">
        <f>inputPrYr!D6</f>
        <v>2013</v>
      </c>
    </row>
    <row r="2" spans="1:10" ht="15.75" customHeight="1">
      <c r="A2" s="18"/>
      <c r="B2" s="18"/>
      <c r="C2" s="18" t="str">
        <f>inputPrYr!D4</f>
        <v>Brown County</v>
      </c>
      <c r="D2" s="18"/>
      <c r="E2" s="18"/>
      <c r="F2" s="18"/>
      <c r="G2" s="18"/>
      <c r="H2" s="18"/>
      <c r="I2" s="18"/>
      <c r="J2" s="18"/>
    </row>
    <row r="3" spans="1:10" ht="15.75">
      <c r="A3" s="628" t="str">
        <f>CONCATENATE("Computation to Determine Limit for ",J1,"")</f>
        <v>Computation to Determine Limit for 2013</v>
      </c>
      <c r="B3" s="643"/>
      <c r="C3" s="643"/>
      <c r="D3" s="643"/>
      <c r="E3" s="643"/>
      <c r="F3" s="643"/>
      <c r="G3" s="643"/>
      <c r="H3" s="643"/>
      <c r="I3" s="643"/>
      <c r="J3" s="643"/>
    </row>
    <row r="4" spans="1:10" ht="15.75">
      <c r="A4" s="18"/>
      <c r="B4" s="18"/>
      <c r="C4" s="18"/>
      <c r="D4" s="18"/>
      <c r="E4" s="643"/>
      <c r="F4" s="643"/>
      <c r="G4" s="643"/>
      <c r="H4" s="96"/>
      <c r="I4" s="18"/>
      <c r="J4" s="143" t="s">
        <v>85</v>
      </c>
    </row>
    <row r="5" spans="1:10" ht="15.75">
      <c r="A5" s="144" t="s">
        <v>86</v>
      </c>
      <c r="B5" s="18" t="str">
        <f>CONCATENATE("Total Tax Levy Amount in ",J1-1," Budget")</f>
        <v>Total Tax Levy Amount in 2012 Budget</v>
      </c>
      <c r="C5" s="18"/>
      <c r="D5" s="18"/>
      <c r="E5" s="37"/>
      <c r="F5" s="37"/>
      <c r="G5" s="37"/>
      <c r="H5" s="145" t="s">
        <v>87</v>
      </c>
      <c r="I5" s="37" t="s">
        <v>88</v>
      </c>
      <c r="J5" s="358">
        <f>inputPrYr!E24</f>
        <v>16621</v>
      </c>
    </row>
    <row r="6" spans="1:10" ht="15.75">
      <c r="A6" s="144" t="s">
        <v>89</v>
      </c>
      <c r="B6" s="18" t="str">
        <f>CONCATENATE("Debt Service Levy in ",J1-1," Budget")</f>
        <v>Debt Service Levy in 2012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16621</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2012:</v>
      </c>
      <c r="C11" s="18"/>
      <c r="D11" s="18"/>
      <c r="E11" s="145"/>
      <c r="F11" s="145" t="s">
        <v>87</v>
      </c>
      <c r="G11" s="147">
        <f>inputOth!E8</f>
        <v>4972</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2012:</v>
      </c>
      <c r="C13" s="18"/>
      <c r="D13" s="18"/>
      <c r="E13" s="145"/>
      <c r="F13" s="145"/>
      <c r="G13" s="148"/>
      <c r="H13" s="148"/>
      <c r="I13" s="37"/>
      <c r="J13" s="37"/>
    </row>
    <row r="14" spans="1:10" ht="15.75">
      <c r="A14" s="18"/>
      <c r="B14" s="18" t="s">
        <v>93</v>
      </c>
      <c r="C14" s="18" t="str">
        <f>CONCATENATE("Personal Property ",J1-1,"")</f>
        <v>Personal Property 2012</v>
      </c>
      <c r="D14" s="144" t="s">
        <v>87</v>
      </c>
      <c r="E14" s="147">
        <f>inputOth!E9</f>
        <v>225519</v>
      </c>
      <c r="F14" s="145"/>
      <c r="G14" s="37"/>
      <c r="H14" s="37"/>
      <c r="I14" s="148"/>
      <c r="J14" s="37"/>
    </row>
    <row r="15" spans="1:10" ht="15.75">
      <c r="A15" s="144"/>
      <c r="B15" s="18" t="s">
        <v>94</v>
      </c>
      <c r="C15" s="18" t="str">
        <f>CONCATENATE("Personal Property ",J1-2,"")</f>
        <v>Personal Property 2011</v>
      </c>
      <c r="D15" s="144" t="s">
        <v>90</v>
      </c>
      <c r="E15" s="41">
        <f>inputOth!E11</f>
        <v>180299</v>
      </c>
      <c r="F15" s="145"/>
      <c r="G15" s="148"/>
      <c r="H15" s="148"/>
      <c r="I15" s="37"/>
      <c r="J15" s="37"/>
    </row>
    <row r="16" spans="1:10" ht="15.75">
      <c r="A16" s="144"/>
      <c r="B16" s="18" t="s">
        <v>95</v>
      </c>
      <c r="C16" s="18" t="s">
        <v>109</v>
      </c>
      <c r="D16" s="18"/>
      <c r="E16" s="37"/>
      <c r="F16" s="37" t="s">
        <v>87</v>
      </c>
      <c r="G16" s="147">
        <f>IF(E14&gt;E15,E14-E15,0)</f>
        <v>45220</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2012:</v>
      </c>
      <c r="C18" s="18"/>
      <c r="D18" s="144"/>
      <c r="E18" s="37"/>
      <c r="F18" s="37"/>
      <c r="G18" s="37">
        <f>inputOth!E10</f>
        <v>21793</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71985</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1,2012</v>
      </c>
      <c r="C22" s="18"/>
      <c r="D22" s="18"/>
      <c r="E22" s="147">
        <f>inputOth!E7</f>
        <v>4778663</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4706678</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0.015294226628632763</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254</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16875</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2013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16875</v>
      </c>
    </row>
    <row r="35" spans="1:10" ht="16.5" thickTop="1">
      <c r="A35" s="18"/>
      <c r="B35" s="18"/>
      <c r="C35" s="18"/>
      <c r="D35" s="18"/>
      <c r="E35" s="18"/>
      <c r="F35" s="18"/>
      <c r="G35" s="18"/>
      <c r="H35" s="18"/>
      <c r="I35" s="18"/>
      <c r="J35" s="18"/>
    </row>
    <row r="36" spans="1:10" ht="15.75">
      <c r="A36" s="657" t="str">
        <f>CONCATENATE("If the ",J1," budget includes tax levies exceeding the total on line 14, you must")</f>
        <v>If the 2013 budget includes tax levies exceeding the total on line 14, you must</v>
      </c>
      <c r="B36" s="657"/>
      <c r="C36" s="657"/>
      <c r="D36" s="657"/>
      <c r="E36" s="657"/>
      <c r="F36" s="657"/>
      <c r="G36" s="657"/>
      <c r="H36" s="657"/>
      <c r="I36" s="657"/>
      <c r="J36" s="657"/>
    </row>
    <row r="37" spans="1:10" ht="15.7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Watershed # 75 Roy's Creek</v>
      </c>
      <c r="C1" s="18"/>
      <c r="D1" s="18"/>
      <c r="E1" s="18"/>
      <c r="F1" s="18"/>
      <c r="G1" s="18"/>
      <c r="H1" s="18"/>
      <c r="I1" s="154"/>
      <c r="J1" s="18"/>
    </row>
    <row r="2" spans="1:10" ht="15.75">
      <c r="A2" s="18"/>
      <c r="B2" s="18" t="str">
        <f>inputPrYr!D4</f>
        <v>Brown County</v>
      </c>
      <c r="C2" s="18"/>
      <c r="D2" s="18"/>
      <c r="E2" s="18"/>
      <c r="F2" s="18"/>
      <c r="G2" s="18">
        <f>inputPrYr!D6</f>
        <v>2013</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8" t="s">
        <v>715</v>
      </c>
      <c r="C6" s="658"/>
      <c r="D6" s="658"/>
      <c r="E6" s="658"/>
      <c r="F6" s="658"/>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1" t="str">
        <f>CONCATENATE("",G2-1,"                    Budgeted Funds")</f>
        <v>2012                    Budgeted Funds</v>
      </c>
      <c r="C9" s="659" t="str">
        <f>CONCATENATE("Tax Levy Amount in ",G2-2," Budget")</f>
        <v>Tax Levy Amount in 2011 Budget</v>
      </c>
      <c r="D9" s="645" t="str">
        <f>CONCATENATE("Allocation for Year ",G2,"")</f>
        <v>Allocation for Year 2013</v>
      </c>
      <c r="E9" s="662"/>
      <c r="F9" s="663"/>
      <c r="G9" s="18"/>
      <c r="H9" s="18"/>
      <c r="I9" s="18"/>
      <c r="J9" s="18"/>
    </row>
    <row r="10" spans="1:10" ht="15.75">
      <c r="A10" s="18"/>
      <c r="B10" s="660"/>
      <c r="C10" s="660"/>
      <c r="D10" s="113" t="s">
        <v>44</v>
      </c>
      <c r="E10" s="113" t="s">
        <v>45</v>
      </c>
      <c r="F10" s="110" t="s">
        <v>82</v>
      </c>
      <c r="G10" s="18"/>
      <c r="H10" s="18"/>
      <c r="I10" s="18"/>
      <c r="J10" s="18"/>
    </row>
    <row r="11" spans="1:10" ht="15.75">
      <c r="A11" s="18"/>
      <c r="B11" s="36" t="str">
        <f>inputPrYr!B19</f>
        <v>General</v>
      </c>
      <c r="C11" s="122">
        <f>inputPrYr!E19</f>
        <v>16621</v>
      </c>
      <c r="D11" s="122">
        <f>IF(E17=0,0,E17-D12-D13-D14)</f>
        <v>951</v>
      </c>
      <c r="E11" s="122">
        <f>IF(E19=0,0,E19-E12-E13-E14)</f>
        <v>36</v>
      </c>
      <c r="F11" s="122">
        <f>IF(E21=0,0,E21-F12-F13-F14)</f>
        <v>194</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16621</v>
      </c>
      <c r="D15" s="129">
        <f>SUM(D11:D14)</f>
        <v>951</v>
      </c>
      <c r="E15" s="129">
        <f>SUM(E11:E14)</f>
        <v>36</v>
      </c>
      <c r="F15" s="202">
        <f>SUM(F11:F14)</f>
        <v>194</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951</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36</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194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0.05721677396065219</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0.002165934660971061</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0.011671981228566271</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2013</v>
      </c>
    </row>
    <row r="2" spans="1:6" ht="15.75">
      <c r="A2" s="164" t="str">
        <f>inputPrYr!D3</f>
        <v>Watershed # 75 Roy's Creek</v>
      </c>
      <c r="B2" s="164"/>
      <c r="C2" s="18"/>
      <c r="D2" s="18"/>
      <c r="E2" s="154"/>
      <c r="F2" s="18"/>
    </row>
    <row r="3" spans="1:6" ht="15.75">
      <c r="A3" s="164" t="str">
        <f>inputPrYr!D4</f>
        <v>Brown County</v>
      </c>
      <c r="B3" s="164"/>
      <c r="C3" s="18"/>
      <c r="D3" s="18"/>
      <c r="E3" s="154"/>
      <c r="F3" s="18"/>
    </row>
    <row r="4" spans="1:6" ht="15.75">
      <c r="A4" s="155"/>
      <c r="B4" s="18"/>
      <c r="C4" s="18"/>
      <c r="D4" s="18"/>
      <c r="E4" s="154"/>
      <c r="F4" s="18"/>
    </row>
    <row r="5" spans="1:6" ht="15" customHeight="1">
      <c r="A5" s="643" t="s">
        <v>139</v>
      </c>
      <c r="B5" s="643"/>
      <c r="C5" s="643"/>
      <c r="D5" s="643"/>
      <c r="E5" s="643"/>
      <c r="F5" s="643"/>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2012-07-11T18:22:33Z</cp:lastPrinted>
  <dcterms:created xsi:type="dcterms:W3CDTF">1999-08-06T13:59:57Z</dcterms:created>
  <dcterms:modified xsi:type="dcterms:W3CDTF">2012-12-11T20:44:30Z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