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Resolution" sheetId="13" r:id="rId13"/>
    <sheet name="DebtService" sheetId="14" r:id="rId14"/>
    <sheet name="levypage8" sheetId="15" r:id="rId15"/>
    <sheet name="nolevypage9" sheetId="16" r:id="rId16"/>
    <sheet name="NonBud" sheetId="17" r:id="rId17"/>
    <sheet name="NonBudFunds"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3">'DebtService'!$B$1:$E$62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4">'levypage8'!$A$1:$E$91</definedName>
    <definedName name="_xlnm.Print_Area" localSheetId="11">'summ'!$A$1:$I$41</definedName>
  </definedNames>
  <calcPr fullCalcOnLoad="1"/>
</workbook>
</file>

<file path=xl/sharedStrings.xml><?xml version="1.0" encoding="utf-8"?>
<sst xmlns="http://schemas.openxmlformats.org/spreadsheetml/2006/main" count="1166" uniqueCount="790">
  <si>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</si>
  <si>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</si>
  <si>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</si>
  <si>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</si>
  <si>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</si>
  <si>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</si>
  <si>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</si>
  <si>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</si>
  <si>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</si>
  <si>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</si>
  <si>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</si>
  <si>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</si>
  <si>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</si>
  <si>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</si>
  <si>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</si>
  <si>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</si>
  <si>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</si>
  <si>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</si>
  <si>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</si>
  <si>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</si>
  <si>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</si>
  <si>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</si>
  <si>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</si>
  <si>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</si>
  <si>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</si>
  <si>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</si>
  <si>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</si>
  <si>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</si>
  <si>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</si>
  <si>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</si>
  <si>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</si>
  <si>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</si>
  <si>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</si>
  <si>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</si>
  <si>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</si>
  <si>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</si>
  <si>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</si>
  <si>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</si>
  <si>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</si>
  <si>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</si>
  <si>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</si>
  <si>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</si>
  <si>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</si>
  <si>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</si>
  <si>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</si>
  <si>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</si>
  <si>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</si>
  <si>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</si>
  <si>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</si>
  <si>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</si>
  <si>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</si>
  <si>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</si>
  <si>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</si>
  <si>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</si>
  <si>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</si>
  <si>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</si>
  <si>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</si>
  <si>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</si>
  <si>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</si>
  <si>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</si>
  <si>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</si>
  <si>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</si>
  <si>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</si>
  <si>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</si>
  <si>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</si>
  <si>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</si>
  <si>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</si>
  <si>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</si>
  <si>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</si>
  <si>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</si>
  <si>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</si>
  <si>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</si>
  <si>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</si>
  <si>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</si>
  <si>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</si>
  <si>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</si>
  <si>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</si>
  <si>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</si>
  <si>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</si>
  <si>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</si>
  <si>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</si>
  <si>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</si>
  <si>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</si>
  <si>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</si>
  <si>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</si>
  <si>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</si>
  <si>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</si>
  <si>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</si>
  <si>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</si>
  <si>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</si>
  <si>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</si>
  <si>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</si>
  <si>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</si>
  <si>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</si>
  <si>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</si>
  <si>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</si>
  <si>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</si>
  <si>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</si>
  <si>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</si>
  <si>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</si>
  <si>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</si>
  <si>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</si>
  <si>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</si>
  <si>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</si>
  <si>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</si>
  <si>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</si>
  <si>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</si>
  <si>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</si>
  <si>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</si>
  <si>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</si>
  <si>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</si>
  <si>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</si>
  <si>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</si>
  <si>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</si>
  <si>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</si>
  <si>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</si>
  <si>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</si>
  <si>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</si>
  <si>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</si>
  <si>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</si>
  <si>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</si>
  <si>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</si>
  <si>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</si>
  <si>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</si>
  <si>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</si>
  <si>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</si>
  <si>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</si>
  <si>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</si>
  <si>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</si>
  <si>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</si>
  <si>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</si>
  <si>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</si>
  <si>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</si>
  <si>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</si>
  <si>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</si>
  <si>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</si>
  <si>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</si>
  <si>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</si>
  <si>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</si>
  <si>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</si>
  <si>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</si>
  <si>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</si>
  <si>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</si>
  <si>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</si>
  <si>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</si>
  <si>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</si>
  <si>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</si>
  <si>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</si>
  <si>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</si>
  <si>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</si>
  <si>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</si>
  <si>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</si>
  <si>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</si>
  <si>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</si>
  <si>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</si>
  <si>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</si>
  <si>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</si>
  <si>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</si>
  <si>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</si>
  <si>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</si>
  <si>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</si>
  <si>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</si>
  <si>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</si>
  <si>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</si>
  <si>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</si>
  <si>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</si>
  <si>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</si>
  <si>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</si>
  <si>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</si>
  <si>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</si>
  <si>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</si>
  <si>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</si>
  <si>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</si>
  <si>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</si>
  <si>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</si>
  <si>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</si>
  <si>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</si>
  <si>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</si>
  <si>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</si>
  <si>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</si>
  <si>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</si>
  <si>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</si>
  <si>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</si>
  <si>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</si>
  <si>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</si>
  <si>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</si>
  <si>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</si>
  <si>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</si>
  <si>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</si>
  <si>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</si>
  <si>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</si>
  <si>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</si>
  <si>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</si>
  <si>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</si>
  <si>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</si>
  <si>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</si>
  <si>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</si>
  <si>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</si>
  <si>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</si>
  <si>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</si>
  <si>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</si>
  <si>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</si>
  <si>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</si>
  <si>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</si>
  <si>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</si>
  <si>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</si>
  <si>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</si>
  <si>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</si>
  <si>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</si>
  <si>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</si>
  <si>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</si>
  <si>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</si>
  <si>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</si>
  <si>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</si>
  <si>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</si>
  <si>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</si>
  <si>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</si>
  <si>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</si>
  <si>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</si>
  <si>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</si>
  <si>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</si>
  <si>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</si>
  <si>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</si>
  <si>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</si>
  <si>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</si>
  <si>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</si>
  <si>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</si>
  <si>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</si>
  <si>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</si>
  <si>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</si>
  <si>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</si>
  <si>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</si>
  <si>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</si>
  <si>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</si>
  <si>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</si>
  <si>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</si>
  <si>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</si>
  <si>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</si>
  <si>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</si>
  <si>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</si>
  <si>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</si>
  <si>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</si>
  <si>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</si>
  <si>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</si>
  <si>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</si>
  <si>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</si>
  <si>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</si>
  <si>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</si>
  <si>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</si>
  <si>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</si>
  <si>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</si>
  <si>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</si>
  <si>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</si>
  <si>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</si>
  <si>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</si>
  <si>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</si>
  <si>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</si>
  <si>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</si>
  <si>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</si>
  <si>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</si>
  <si>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</si>
  <si>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</si>
  <si>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</si>
  <si>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</si>
  <si>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</si>
  <si>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</si>
  <si>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</si>
  <si>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</si>
  <si>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</si>
  <si>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</si>
  <si>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</si>
  <si>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</si>
  <si>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</si>
  <si>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</si>
  <si>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</si>
  <si>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</si>
  <si>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</si>
  <si>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</si>
  <si>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</si>
  <si>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</si>
  <si>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</si>
  <si>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</si>
  <si>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</si>
  <si>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</si>
  <si>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</si>
  <si>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</si>
  <si>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</si>
  <si>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</si>
  <si>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</si>
  <si>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</si>
  <si>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</si>
  <si>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</si>
  <si>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</si>
  <si>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</si>
  <si>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</si>
  <si>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</si>
  <si>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</si>
  <si>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</si>
  <si>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</si>
  <si>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</si>
  <si>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</si>
  <si>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</si>
  <si>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</si>
  <si>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</si>
  <si>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</si>
  <si>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</si>
  <si>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</si>
  <si>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</si>
  <si>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</si>
  <si>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</si>
  <si>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</si>
  <si>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</si>
  <si>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</si>
  <si>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</si>
  <si>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</si>
  <si>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</si>
  <si>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</si>
  <si>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</si>
  <si>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</si>
  <si>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</si>
  <si>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</si>
  <si>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</si>
  <si>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</si>
  <si>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</si>
  <si>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</si>
  <si>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</si>
  <si>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</si>
  <si>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</si>
  <si>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</si>
  <si>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</si>
  <si>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</si>
  <si>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</si>
  <si>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</si>
  <si>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</si>
  <si>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</si>
  <si>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</si>
  <si>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</si>
  <si>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</si>
  <si>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</si>
  <si>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</si>
  <si>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</si>
  <si>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</si>
  <si>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</si>
  <si>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</si>
  <si>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</si>
  <si>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</si>
  <si>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</si>
  <si>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</si>
  <si>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</si>
  <si>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</si>
  <si>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</si>
  <si>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</si>
  <si>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</si>
  <si>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</si>
  <si>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</si>
  <si>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</si>
  <si>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</si>
  <si>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</si>
  <si>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</si>
  <si>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</si>
  <si>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</si>
  <si>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</si>
  <si>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</si>
  <si>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</si>
  <si>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</si>
  <si>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</si>
  <si>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</si>
  <si>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</si>
  <si>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</si>
  <si>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</si>
  <si>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</si>
  <si>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</si>
  <si>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</si>
  <si>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</si>
  <si>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</si>
  <si>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</si>
  <si>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</si>
  <si>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</si>
  <si>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</si>
  <si>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</si>
  <si>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</si>
  <si>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</si>
  <si>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</si>
  <si>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</si>
  <si>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</si>
  <si>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</si>
  <si>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</si>
  <si>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</si>
  <si>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</si>
  <si>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</si>
  <si>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</si>
  <si>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</si>
  <si>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</si>
  <si>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</si>
  <si>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</si>
  <si>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</si>
  <si>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</si>
  <si>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</si>
  <si>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</si>
  <si>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</si>
  <si>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</si>
  <si>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</si>
  <si>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</si>
  <si>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</si>
  <si>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</si>
  <si>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</si>
  <si>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</si>
  <si>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</si>
  <si>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</si>
  <si>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</si>
  <si>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</si>
  <si>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</si>
  <si>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</si>
  <si>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</si>
  <si>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</si>
  <si>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</si>
  <si>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</si>
  <si>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</si>
  <si>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</si>
  <si>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</si>
  <si>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</si>
  <si>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</si>
  <si>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</si>
  <si>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</si>
  <si>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</si>
  <si>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</si>
  <si>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</si>
  <si>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</si>
  <si>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</si>
  <si>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</si>
  <si>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</si>
  <si>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</si>
  <si>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</si>
  <si>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</si>
  <si>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</si>
  <si>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</si>
  <si>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</si>
  <si>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</si>
  <si>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</si>
  <si>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</si>
  <si>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</si>
  <si>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</si>
  <si>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</si>
  <si>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</si>
  <si>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</si>
  <si>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</si>
  <si>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</si>
  <si>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</si>
  <si>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</si>
  <si>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</si>
  <si>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</si>
  <si>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</si>
  <si>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</si>
  <si>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</si>
  <si>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</si>
  <si>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</si>
  <si>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</si>
  <si>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</si>
  <si>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</si>
  <si>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</si>
  <si>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</si>
  <si>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</si>
  <si>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</si>
  <si>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</si>
  <si>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</si>
  <si>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</si>
  <si>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</si>
  <si>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</si>
  <si>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</si>
  <si>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</si>
  <si>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</si>
  <si>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</si>
  <si>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</si>
  <si>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</si>
  <si>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</si>
  <si>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</si>
  <si>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</si>
  <si>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</si>
  <si>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</si>
  <si>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</si>
  <si>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</si>
  <si>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</si>
  <si>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</si>
  <si>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</si>
  <si>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</si>
  <si>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</si>
  <si>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</si>
  <si>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</si>
  <si>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</si>
  <si>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</si>
  <si>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</si>
  <si>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</si>
  <si>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</si>
  <si>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</si>
  <si>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</si>
  <si>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</si>
  <si>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</si>
  <si>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</si>
  <si>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</si>
  <si>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</si>
  <si>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</si>
  <si>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</si>
  <si>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</si>
  <si>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</si>
  <si>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</si>
  <si>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</si>
  <si>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</si>
  <si>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</si>
  <si>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</si>
  <si>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</si>
  <si>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</si>
  <si>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</si>
  <si>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</si>
  <si>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</si>
  <si>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</si>
  <si>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</si>
  <si>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</si>
  <si>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</si>
  <si>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</si>
  <si>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</si>
  <si>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</si>
  <si>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</si>
  <si>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</si>
  <si>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</si>
  <si>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</si>
  <si>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</si>
  <si>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</si>
  <si>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</si>
  <si>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</si>
  <si>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</si>
  <si>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</si>
  <si>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</si>
  <si>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</si>
  <si>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</si>
  <si>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</si>
  <si>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</si>
  <si>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</si>
  <si>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</si>
  <si>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</si>
  <si>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</si>
  <si>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</si>
  <si>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</si>
  <si>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</si>
  <si>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</si>
  <si>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</si>
  <si>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</si>
  <si>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</si>
  <si>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</si>
  <si>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</si>
  <si>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</si>
  <si>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</si>
  <si>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</si>
  <si>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</si>
  <si>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</si>
  <si>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</si>
  <si>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</si>
  <si>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</si>
  <si>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</si>
  <si>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</si>
  <si>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</si>
  <si>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</si>
  <si>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</si>
  <si>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</si>
  <si>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</si>
  <si>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</si>
  <si>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</si>
  <si>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</si>
  <si>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</si>
  <si>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</si>
  <si>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</si>
  <si>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</si>
  <si>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</si>
  <si>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</si>
  <si>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</si>
  <si>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</si>
  <si>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</si>
  <si>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</si>
  <si>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</si>
  <si>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</si>
  <si>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</si>
  <si>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</si>
  <si>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</si>
  <si>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</si>
  <si>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</si>
  <si>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</si>
  <si>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</si>
  <si>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</si>
  <si>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</si>
  <si>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</si>
  <si>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</si>
  <si>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</si>
  <si>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</si>
  <si>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</si>
  <si>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</si>
  <si>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</si>
  <si>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</si>
  <si>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</si>
  <si>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</si>
  <si>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</si>
  <si>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</si>
  <si>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</si>
  <si>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</si>
  <si>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</si>
  <si>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</si>
  <si>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</si>
  <si>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</si>
  <si>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</si>
  <si>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</si>
  <si>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</si>
  <si>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</si>
  <si>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</si>
  <si>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</si>
  <si>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</si>
  <si>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</si>
  <si>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</si>
  <si>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</si>
  <si>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</si>
  <si>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</si>
  <si>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</si>
  <si>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</si>
  <si>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</si>
  <si>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</si>
  <si>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</si>
  <si>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</si>
  <si>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</si>
  <si>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</si>
  <si>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</si>
  <si>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</si>
  <si>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</si>
  <si>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</si>
  <si>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</si>
  <si>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</si>
  <si>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</si>
  <si>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</si>
  <si>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</si>
  <si>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</si>
  <si>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</si>
  <si>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</si>
  <si>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</si>
  <si>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</si>
  <si>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</si>
  <si>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</si>
  <si>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</si>
  <si>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</si>
  <si>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</si>
  <si>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</si>
  <si>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</si>
  <si>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</si>
  <si>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</si>
  <si>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</si>
  <si>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</si>
  <si>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</si>
  <si>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</si>
  <si>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</si>
  <si>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</si>
  <si>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</si>
  <si>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</si>
  <si>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</si>
  <si>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</si>
  <si>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</si>
  <si>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</si>
  <si>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</si>
  <si>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</si>
  <si>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</si>
  <si>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</si>
  <si>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</si>
  <si>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</si>
  <si>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</si>
  <si>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</si>
  <si>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</si>
  <si>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</si>
  <si>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</si>
  <si>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</si>
  <si>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</si>
  <si>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</si>
  <si>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</si>
  <si>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</si>
  <si>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</si>
  <si>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</si>
  <si>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</si>
  <si>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</si>
  <si>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</si>
  <si>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</si>
  <si>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</si>
  <si>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</si>
  <si>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</si>
  <si>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</si>
  <si>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</si>
  <si>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</si>
  <si>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</si>
  <si>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</si>
  <si>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</si>
  <si>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</si>
  <si>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</si>
  <si>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</si>
  <si>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</si>
  <si>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</si>
  <si>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</si>
  <si>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</si>
  <si>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</si>
  <si>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</si>
  <si>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</si>
  <si>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</si>
  <si>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</si>
  <si>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</si>
  <si>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</si>
  <si>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</si>
  <si>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</si>
  <si>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</si>
  <si>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</si>
  <si>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</si>
  <si>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</si>
  <si>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</si>
  <si>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</si>
  <si>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</si>
  <si>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</si>
  <si>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</si>
  <si>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</si>
  <si>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</si>
  <si>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</si>
  <si>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</si>
  <si>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</si>
  <si>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</si>
  <si>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</si>
  <si>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</si>
  <si>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</si>
  <si>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</si>
  <si>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</si>
  <si>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</si>
  <si>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</si>
  <si>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</si>
  <si>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</si>
  <si>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</si>
  <si>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</si>
  <si>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</si>
  <si>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</si>
  <si>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</si>
  <si>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</si>
  <si>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</si>
  <si>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</si>
  <si>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</si>
  <si>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</si>
  <si>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</si>
  <si>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</si>
  <si>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</si>
  <si>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</si>
  <si>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</si>
  <si>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</si>
  <si>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</si>
  <si>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</si>
  <si>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</si>
  <si>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</si>
  <si>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</si>
  <si>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</si>
  <si>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</si>
  <si>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</si>
  <si>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</si>
  <si>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</si>
  <si>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</si>
  <si>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</si>
  <si>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</si>
  <si>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</si>
  <si>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</si>
  <si>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</si>
  <si>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</si>
  <si>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</si>
  <si>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</si>
  <si>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</si>
  <si>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</si>
  <si>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</si>
  <si>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</si>
  <si>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</si>
  <si>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</si>
  <si>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</si>
  <si>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</si>
  <si>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</si>
  <si>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</si>
  <si>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</si>
  <si>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</si>
  <si>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</si>
  <si>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</si>
  <si>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</si>
  <si>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</si>
  <si>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</si>
  <si>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</si>
  <si>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Timberhill Township Cemetery</t>
  </si>
  <si>
    <t>Bourbon County</t>
  </si>
  <si>
    <t>17-1330</t>
  </si>
  <si>
    <t>Operations</t>
  </si>
  <si>
    <t>Mowing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</si>
</sst>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Timberhill Township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0">
      <selection activeCell="E38" sqref="E3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Timberhill Township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3050</v>
      </c>
      <c r="D7" s="374">
        <f>C62</f>
        <v>7434</v>
      </c>
      <c r="E7" s="45">
        <f>D62</f>
        <v>4277</v>
      </c>
    </row>
    <row r="8" spans="2:5" ht="15.75">
      <c r="B8" s="226" t="s">
        <v>127</v>
      </c>
      <c r="C8" s="227"/>
      <c r="D8" s="227"/>
      <c r="E8" s="123"/>
    </row>
    <row r="9" spans="2:5" ht="15.75">
      <c r="B9" s="119" t="s">
        <v>33</v>
      </c>
      <c r="C9" s="367">
        <v>7864</v>
      </c>
      <c r="D9" s="374">
        <f>IF(inputPrYr!H18&gt;0,inputPrYr!G19,inputPrYr!E19)</f>
        <v>5143</v>
      </c>
      <c r="E9" s="128" t="s">
        <v>28</v>
      </c>
    </row>
    <row r="10" spans="2:5" ht="15.75">
      <c r="B10" s="119" t="s">
        <v>34</v>
      </c>
      <c r="C10" s="367"/>
      <c r="D10" s="367"/>
      <c r="E10" s="198"/>
    </row>
    <row r="11" spans="2:5" ht="15.75">
      <c r="B11" s="119" t="s">
        <v>35</v>
      </c>
      <c r="C11" s="367"/>
      <c r="D11" s="367"/>
      <c r="E11" s="45">
        <f>mvalloc!D11</f>
        <v>993</v>
      </c>
    </row>
    <row r="12" spans="2:5" ht="15.75">
      <c r="B12" s="119" t="s">
        <v>36</v>
      </c>
      <c r="C12" s="367"/>
      <c r="D12" s="367"/>
      <c r="E12" s="45">
        <f>mvalloc!E11</f>
        <v>12</v>
      </c>
    </row>
    <row r="13" spans="2:5" ht="15.75">
      <c r="B13" s="227" t="s">
        <v>109</v>
      </c>
      <c r="C13" s="367"/>
      <c r="D13" s="367"/>
      <c r="E13" s="45">
        <f>mvalloc!F11</f>
        <v>52</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7864</v>
      </c>
      <c r="D33" s="369">
        <f>SUM(D9:D31)</f>
        <v>5143</v>
      </c>
      <c r="E33" s="234">
        <f>SUM(E9:E31)</f>
        <v>1057</v>
      </c>
    </row>
    <row r="34" spans="2:5" ht="15.75">
      <c r="B34" s="233" t="s">
        <v>40</v>
      </c>
      <c r="C34" s="369">
        <f>C7+C33</f>
        <v>10914</v>
      </c>
      <c r="D34" s="369">
        <f>D7+D33</f>
        <v>12577</v>
      </c>
      <c r="E34" s="234">
        <f>E7+E33</f>
        <v>5334</v>
      </c>
    </row>
    <row r="35" spans="2:5" ht="15.75">
      <c r="B35" s="119" t="s">
        <v>41</v>
      </c>
      <c r="C35" s="121"/>
      <c r="D35" s="121"/>
      <c r="E35" s="36"/>
    </row>
    <row r="36" spans="2:5" ht="15.75">
      <c r="B36" s="228" t="s">
        <v>788</v>
      </c>
      <c r="C36" s="367">
        <v>105</v>
      </c>
      <c r="D36" s="367"/>
      <c r="E36" s="198"/>
    </row>
    <row r="37" spans="2:5" ht="15.75">
      <c r="B37" s="228" t="s">
        <v>789</v>
      </c>
      <c r="C37" s="367">
        <v>3375</v>
      </c>
      <c r="D37" s="367">
        <v>8300</v>
      </c>
      <c r="E37" s="198">
        <v>11000</v>
      </c>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3480</v>
      </c>
      <c r="D61" s="369">
        <f>SUM(D36:D59)</f>
        <v>8300</v>
      </c>
      <c r="E61" s="234">
        <f>SUM(E36:E59)</f>
        <v>11000</v>
      </c>
      <c r="F61" s="16"/>
      <c r="G61" s="490">
        <f>D62</f>
        <v>4277</v>
      </c>
      <c r="H61" s="489" t="str">
        <f>CONCATENATE("",E3-1," Ending Cash Balance (est.)")</f>
        <v>2012 Ending Cash Balance (est.)</v>
      </c>
      <c r="I61" s="586"/>
      <c r="J61" s="484"/>
      <c r="K61" s="16"/>
    </row>
    <row r="62" spans="2:11" ht="15.75">
      <c r="B62" s="119" t="s">
        <v>126</v>
      </c>
      <c r="C62" s="370">
        <f>C34-C61</f>
        <v>7434</v>
      </c>
      <c r="D62" s="370">
        <f>D34-D61</f>
        <v>4277</v>
      </c>
      <c r="E62" s="128" t="s">
        <v>28</v>
      </c>
      <c r="F62" s="16"/>
      <c r="G62" s="490">
        <f>E33</f>
        <v>1057</v>
      </c>
      <c r="H62" s="483" t="str">
        <f>CONCATENATE("",E3," Non-AV Receipts (est.)")</f>
        <v>2013 Non-AV Receipts (est.)</v>
      </c>
      <c r="I62" s="586"/>
      <c r="J62" s="484"/>
      <c r="K62" s="16"/>
    </row>
    <row r="63" spans="2:11" ht="15.75">
      <c r="B63" s="138" t="str">
        <f>CONCATENATE("",E3-2,"/",E3-1," Budget Authority Amount:")</f>
        <v>2011/2012 Budget Authority Amount:</v>
      </c>
      <c r="C63" s="120">
        <f>inputOth!B41</f>
        <v>8270</v>
      </c>
      <c r="D63" s="388">
        <f>inputPrYr!D19</f>
        <v>8300</v>
      </c>
      <c r="E63" s="128" t="s">
        <v>28</v>
      </c>
      <c r="F63" s="251"/>
      <c r="G63" s="482">
        <f>IF(E67&gt;0,E66,E68)</f>
        <v>5666</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11000</v>
      </c>
      <c r="H64" s="483" t="str">
        <f>CONCATENATE("Total ",E3," Resources Available")</f>
        <v>Total 2013 Resources Available</v>
      </c>
      <c r="I64" s="586"/>
      <c r="J64" s="484"/>
      <c r="K64" s="16"/>
    </row>
    <row r="65" spans="2:11" ht="15.75">
      <c r="B65" s="386" t="str">
        <f>CONCATENATE(C81,"     ",D81)</f>
        <v>     </v>
      </c>
      <c r="C65" s="684" t="s">
        <v>660</v>
      </c>
      <c r="D65" s="685"/>
      <c r="E65" s="45">
        <f>E61+E64</f>
        <v>11000</v>
      </c>
      <c r="F65" s="16"/>
      <c r="G65" s="481"/>
      <c r="H65" s="483"/>
      <c r="I65" s="483"/>
      <c r="J65" s="484"/>
      <c r="K65" s="16"/>
    </row>
    <row r="66" spans="2:11" ht="15.75">
      <c r="B66" s="386" t="str">
        <f>CONCATENATE(C82,"     ",D82)</f>
        <v>     </v>
      </c>
      <c r="C66" s="494"/>
      <c r="D66" s="493" t="s">
        <v>661</v>
      </c>
      <c r="E66" s="42">
        <f>IF(E65-E34&gt;0,E65-E34,0)</f>
        <v>5666</v>
      </c>
      <c r="F66" s="16"/>
      <c r="G66" s="482">
        <f>ROUND(C61*0.05+C61,0)</f>
        <v>3654</v>
      </c>
      <c r="H66" s="483" t="str">
        <f>CONCATENATE("Less ",E3-2," Expenditures + 5%")</f>
        <v>Less 2011 Expenditures + 5%</v>
      </c>
      <c r="I66" s="586"/>
      <c r="J66" s="484"/>
      <c r="K66" s="16"/>
    </row>
    <row r="67" spans="2:11" ht="15.75">
      <c r="B67" s="155"/>
      <c r="C67" s="492" t="s">
        <v>662</v>
      </c>
      <c r="D67" s="598">
        <f>inputOth!$E$35</f>
        <v>0.0329</v>
      </c>
      <c r="E67" s="45">
        <f>ROUND(IF(D67&gt;0,(E66*D67),0),0)</f>
        <v>186</v>
      </c>
      <c r="F67" s="16"/>
      <c r="G67" s="480">
        <f>G64-G66</f>
        <v>7346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5852</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4.417</v>
      </c>
      <c r="H71" s="489" t="str">
        <f>CONCATENATE("",E3," Fund Mill Rate")</f>
        <v>2013 Fund Mill Rate</v>
      </c>
      <c r="I71" s="571"/>
      <c r="J71" s="591"/>
      <c r="K71" s="16"/>
    </row>
    <row r="72" spans="2:11" ht="16.5">
      <c r="B72" s="18"/>
      <c r="C72" s="18"/>
      <c r="D72" s="18"/>
      <c r="E72" s="18"/>
      <c r="F72" s="593"/>
      <c r="G72" s="594">
        <f>summ!E16</f>
        <v>4.434</v>
      </c>
      <c r="H72" s="489" t="str">
        <f>CONCATENATE("",E3-1," Fund Mill Rate")</f>
        <v>2012 Fund Mill Rate</v>
      </c>
      <c r="I72" s="571"/>
      <c r="J72" s="591"/>
      <c r="K72" s="16"/>
    </row>
    <row r="73" spans="2:11" ht="16.5">
      <c r="B73" s="18"/>
      <c r="C73" s="222"/>
      <c r="D73" s="222"/>
      <c r="E73" s="222"/>
      <c r="F73" s="577"/>
      <c r="G73" s="595">
        <f>summ!H23</f>
        <v>4.417</v>
      </c>
      <c r="H73" s="489" t="str">
        <f>CONCATENATE("Total ",E3," Mill Rate")</f>
        <v>Total 2013 Mill Rate</v>
      </c>
      <c r="I73" s="571"/>
      <c r="J73" s="591"/>
      <c r="K73" s="16"/>
    </row>
    <row r="74" spans="2:11" ht="16.5">
      <c r="B74" s="138"/>
      <c r="C74" s="18" t="s">
        <v>228</v>
      </c>
      <c r="D74" s="18"/>
      <c r="E74" s="18"/>
      <c r="F74" s="577"/>
      <c r="G74" s="594">
        <f>summ!E23</f>
        <v>4.434</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Timberhill Township Cemetery</v>
      </c>
      <c r="B4" s="638"/>
      <c r="C4" s="638"/>
      <c r="D4" s="638"/>
      <c r="E4" s="638"/>
      <c r="F4" s="638"/>
      <c r="G4" s="638"/>
      <c r="H4" s="638"/>
    </row>
    <row r="5" spans="1:8" ht="15.75">
      <c r="A5" s="705" t="str">
        <f>inputPrYr!D4</f>
        <v>Bourbon County</v>
      </c>
      <c r="B5" s="705"/>
      <c r="C5" s="705"/>
      <c r="D5" s="705"/>
      <c r="E5" s="705"/>
      <c r="F5" s="705"/>
      <c r="G5" s="705"/>
      <c r="H5" s="705"/>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1325</v>
      </c>
    </row>
    <row r="15" spans="1:13" ht="15.75">
      <c r="A15" s="169" t="s">
        <v>52</v>
      </c>
      <c r="B15" s="114" t="s">
        <v>53</v>
      </c>
      <c r="C15" s="294" t="s">
        <v>198</v>
      </c>
      <c r="D15" s="114" t="s">
        <v>53</v>
      </c>
      <c r="E15" s="294" t="s">
        <v>198</v>
      </c>
      <c r="F15" s="114" t="s">
        <v>561</v>
      </c>
      <c r="G15" s="704"/>
      <c r="H15" s="294" t="s">
        <v>198</v>
      </c>
      <c r="J15" s="16"/>
      <c r="K15" s="16"/>
      <c r="L15" s="16"/>
      <c r="M15" s="16"/>
    </row>
    <row r="16" spans="1:13" ht="16.5">
      <c r="A16" s="36" t="str">
        <f>inputPrYr!B19</f>
        <v>General</v>
      </c>
      <c r="B16" s="123">
        <f>IF(gen!$C$61&lt;&gt;0,gen!$C$61,"  ")</f>
        <v>3480</v>
      </c>
      <c r="C16" s="624">
        <f>IF(inputPrYr!D38&gt;0,inputPrYr!D38,"  ")</f>
        <v>5.238</v>
      </c>
      <c r="D16" s="561">
        <f>IF(gen!$D$61&lt;&gt;0,gen!$D$61,"  ")</f>
        <v>8300</v>
      </c>
      <c r="E16" s="627">
        <f>IF(inputOth!D16&gt;0,inputOth!D16,"  ")</f>
        <v>4.434</v>
      </c>
      <c r="F16" s="561">
        <f>IF(gen!$E$61&lt;&gt;0,gen!$E$61,"  ")</f>
        <v>11000</v>
      </c>
      <c r="G16" s="243">
        <f>IF(gen!$E$68&lt;&gt;0,gen!$E$68,"  ")</f>
        <v>5852</v>
      </c>
      <c r="H16" s="624">
        <f>IF(gen!E68&gt;0,ROUND(G16/$F$27*1000,3)," ")</f>
        <v>4.417</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4.434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23</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3480</v>
      </c>
      <c r="C23" s="626">
        <f aca="true" t="shared" si="0" ref="C23:H23">SUM(C16:C21)</f>
        <v>5.238</v>
      </c>
      <c r="D23" s="621">
        <f t="shared" si="0"/>
        <v>8300</v>
      </c>
      <c r="E23" s="629">
        <f t="shared" si="0"/>
        <v>4.434</v>
      </c>
      <c r="F23" s="621">
        <f t="shared" si="0"/>
        <v>11000</v>
      </c>
      <c r="G23" s="621">
        <f t="shared" si="0"/>
        <v>5852</v>
      </c>
      <c r="H23" s="629">
        <f t="shared" si="0"/>
        <v>4.417</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3480</v>
      </c>
      <c r="C25" s="296"/>
      <c r="D25" s="129">
        <f>SUM(D23-D24)</f>
        <v>8300</v>
      </c>
      <c r="E25" s="296"/>
      <c r="F25" s="485">
        <f>SUM(F23-F24)</f>
        <v>11000</v>
      </c>
      <c r="G25" s="238"/>
      <c r="H25" s="295"/>
      <c r="J25" s="504" t="str">
        <f>CONCATENATE("",I3," Ad Valorem Tax Revenue:")</f>
        <v>2013 Ad Valorem Tax Revenue:</v>
      </c>
      <c r="K25" s="499"/>
      <c r="L25" s="499"/>
      <c r="M25" s="500">
        <f>G23</f>
        <v>5852</v>
      </c>
    </row>
    <row r="26" spans="1:13" ht="16.5" thickTop="1">
      <c r="A26" s="33" t="s">
        <v>54</v>
      </c>
      <c r="B26" s="621">
        <f>inputPrYr!E44</f>
        <v>6215</v>
      </c>
      <c r="C26" s="215"/>
      <c r="D26" s="621">
        <f>inputPrYr!E24</f>
        <v>5143</v>
      </c>
      <c r="E26" s="215"/>
      <c r="F26" s="83" t="s">
        <v>174</v>
      </c>
      <c r="G26" s="18"/>
      <c r="H26" s="18"/>
      <c r="J26" s="504" t="str">
        <f>CONCATENATE("",I3-1," Ad Valorem Tax Revenue:")</f>
        <v>2012 Ad Valorem Tax Revenue:</v>
      </c>
      <c r="K26" s="499"/>
      <c r="L26" s="499"/>
      <c r="M26" s="513">
        <f>ROUND(F27*M18/1000,0)</f>
        <v>5875</v>
      </c>
    </row>
    <row r="27" spans="1:13" ht="15.75">
      <c r="A27" s="33" t="s">
        <v>170</v>
      </c>
      <c r="B27" s="42">
        <f>inputPrYr!E45</f>
        <v>1186633</v>
      </c>
      <c r="C27" s="215"/>
      <c r="D27" s="42">
        <f>inputOth!E24</f>
        <v>1159987</v>
      </c>
      <c r="E27" s="215"/>
      <c r="F27" s="42">
        <f>inputOth!E7</f>
        <v>1324931</v>
      </c>
      <c r="G27" s="18"/>
      <c r="H27" s="18"/>
      <c r="J27" s="514" t="s">
        <v>668</v>
      </c>
      <c r="K27" s="515"/>
      <c r="L27" s="515"/>
      <c r="M27" s="503">
        <f>M25-M26</f>
        <v>-23</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4.417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1">
        <f>inputBudSum!B3</f>
        <v>0</v>
      </c>
      <c r="B40" s="666"/>
      <c r="C40" s="99"/>
      <c r="D40" s="18"/>
      <c r="E40" s="18"/>
      <c r="F40" s="18"/>
      <c r="G40" s="18"/>
      <c r="H40" s="52"/>
    </row>
    <row r="41" spans="1:8" ht="16.5">
      <c r="A41" s="706">
        <f>inputBudSum!B5</f>
        <v>0</v>
      </c>
      <c r="B41" s="707"/>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3">
      <selection activeCell="E46" sqref="E46:H46"/>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Timberhill Township Cemetery District with respect to financing the 2013 annual budget for Timberhill Township Cemetery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Timberhill Township Cemetery district budget exceed the amount levied to finance the</v>
      </c>
      <c r="C9"/>
      <c r="D9"/>
      <c r="E9"/>
      <c r="F9"/>
      <c r="G9"/>
      <c r="H9"/>
    </row>
    <row r="10" spans="2:8" ht="16.5">
      <c r="B10" s="12" t="str">
        <f>CONCATENATE("",inputPrYr!D6-1," ",inputPrYr!D3," except with regard to revenue produced and attributable to the")</f>
        <v>2012 Timberhill Township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Timberhill Township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Timberhill Township Cemetery that is our desire to notify the public of the possibility of increased property taxes to finance the 2013 Timberhill Township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Timberhill Township Cemetery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Timberhill Township Cemetery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Timberhill Township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0.0329</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4.417</v>
      </c>
      <c r="H65" s="489" t="str">
        <f>CONCATENATE("Total ",E1," Mill Rate")</f>
        <v>Total 2013 Mill Rate</v>
      </c>
      <c r="I65" s="571"/>
      <c r="J65" s="591"/>
      <c r="K65" s="599"/>
    </row>
    <row r="66" spans="6:11" ht="16.5">
      <c r="F66"/>
      <c r="G66" s="594">
        <f>summ!E23</f>
        <v>4.434</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Timberhill Township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0.0329</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4.417</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4.434</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0.0329</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4.417</v>
      </c>
      <c r="H86" s="489" t="str">
        <f>CONCATENATE("Total ",E3," Mill Rate")</f>
        <v>Total 2013 Mill Rate</v>
      </c>
      <c r="I86" s="571"/>
      <c r="J86" s="591"/>
      <c r="K86" s="16"/>
    </row>
    <row r="87" spans="3:11" ht="19.5" customHeight="1">
      <c r="C87" s="95">
        <f>IF(C33&gt;C35,"See Tab A","")</f>
      </c>
      <c r="D87" s="95">
        <f>IF(D33&gt;D35,"See Tab C","")</f>
      </c>
      <c r="F87" s="16"/>
      <c r="G87" s="594">
        <f>summ!E23</f>
        <v>4.434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Timberhill Township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Timberhill Township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Timberhill Township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702"/>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1324931</v>
      </c>
      <c r="E16" s="18"/>
      <c r="F16" s="52"/>
    </row>
    <row r="17" spans="1:6" ht="16.5">
      <c r="A17" s="18"/>
      <c r="B17" s="18"/>
      <c r="C17" s="18"/>
      <c r="D17" s="18"/>
      <c r="E17" s="18"/>
      <c r="F17" s="52"/>
    </row>
    <row r="18" spans="1:6" ht="16.5">
      <c r="A18" s="18"/>
      <c r="B18" s="711" t="s">
        <v>319</v>
      </c>
      <c r="C18" s="711"/>
      <c r="D18" s="309">
        <f>IF(D16&gt;0,(D16*0.001),"")</f>
        <v>1324.931</v>
      </c>
      <c r="E18" s="18"/>
      <c r="F18" s="52"/>
    </row>
    <row r="19" spans="1:6" ht="16.5">
      <c r="A19" s="18"/>
      <c r="B19" s="138"/>
      <c r="C19" s="138"/>
      <c r="D19" s="310"/>
      <c r="E19" s="18"/>
      <c r="F19" s="52"/>
    </row>
    <row r="20" spans="1:6" ht="16.5">
      <c r="A20" s="708" t="s">
        <v>317</v>
      </c>
      <c r="B20" s="702"/>
      <c r="C20" s="702"/>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8300</v>
      </c>
      <c r="E19" s="35">
        <v>5143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5143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8300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5.238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5.238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6215</v>
      </c>
    </row>
    <row r="45" spans="1:5" ht="15.75">
      <c r="A45" s="49" t="str">
        <f>CONCATENATE("Assessed Valuation (",D6-2," budget column)")</f>
        <v>Assessed Valuation (2011 budget column)</v>
      </c>
      <c r="B45" s="27"/>
      <c r="C45" s="18"/>
      <c r="D45" s="18"/>
      <c r="E45" s="51">
        <v>1186633</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Timberhill Township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1324931</v>
      </c>
    </row>
    <row r="8" spans="1:5" ht="16.5">
      <c r="A8" s="66" t="str">
        <f>CONCATENATE("New Improvements for ",inputPrYr!D6-1,"")</f>
        <v>New Improvements for 2012</v>
      </c>
      <c r="B8" s="67"/>
      <c r="C8" s="67"/>
      <c r="D8" s="67"/>
      <c r="E8" s="68">
        <v>20635</v>
      </c>
    </row>
    <row r="9" spans="1:5" ht="16.5">
      <c r="A9" s="66" t="str">
        <f>CONCATENATE("Personal Property excluding oil, gas, and mobile homes- ",inputPrYr!D6-1,"")</f>
        <v>Personal Property excluding oil, gas, and mobile homes- 2012</v>
      </c>
      <c r="B9" s="67"/>
      <c r="C9" s="67"/>
      <c r="D9" s="67"/>
      <c r="E9" s="68">
        <v>18808</v>
      </c>
    </row>
    <row r="10" spans="1:5" ht="16.5">
      <c r="A10" s="66" t="str">
        <f>CONCATENATE("Property that has changed in use for ",inputPrYr!D6-1,"")</f>
        <v>Property that has changed in use for 2012</v>
      </c>
      <c r="B10" s="67"/>
      <c r="C10" s="67"/>
      <c r="D10" s="67"/>
      <c r="E10" s="68">
        <v>1</v>
      </c>
    </row>
    <row r="11" spans="1:5" ht="16.5">
      <c r="A11" s="65" t="str">
        <f>CONCATENATE("Personal Property excluding oil, gas, and mobile homes- ",inputPrYr!D6-2,"")</f>
        <v>Personal Property excluding oil, gas, and mobile homes- 2011</v>
      </c>
      <c r="B11" s="40"/>
      <c r="C11" s="40"/>
      <c r="D11" s="40"/>
      <c r="E11" s="68">
        <v>30464</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4.434</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4.434</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1159987</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993</v>
      </c>
    </row>
    <row r="28" spans="1:5" ht="16.5">
      <c r="A28" s="66" t="s">
        <v>15</v>
      </c>
      <c r="B28" s="67"/>
      <c r="C28" s="67"/>
      <c r="D28" s="84"/>
      <c r="E28" s="35">
        <v>12</v>
      </c>
    </row>
    <row r="29" spans="1:5" ht="16.5">
      <c r="A29" s="66" t="s">
        <v>171</v>
      </c>
      <c r="B29" s="67"/>
      <c r="C29" s="67"/>
      <c r="D29" s="84"/>
      <c r="E29" s="35">
        <v>52</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0.0329</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8270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Timberhill Township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11000</v>
      </c>
      <c r="F23" s="559">
        <f>IF(gen!$E$68&lt;&gt;0,gen!$E$68,"  ")</f>
        <v>5852</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11000</v>
      </c>
      <c r="F30" s="566">
        <f>SUM(F23:F28)</f>
        <v>5852</v>
      </c>
      <c r="G30" s="567">
        <f>IF(SUM(G23:G28)=0,"",SUM(G23:G28))</f>
      </c>
    </row>
    <row r="31" spans="1:7" ht="15.75">
      <c r="A31" s="119" t="s">
        <v>205</v>
      </c>
      <c r="B31" s="67"/>
      <c r="C31" s="116"/>
      <c r="D31" s="131">
        <f>summ!E41</f>
        <v>7</v>
      </c>
      <c r="E31" s="135" t="s">
        <v>200</v>
      </c>
      <c r="F31" s="384" t="str">
        <f>IF(F30&gt;computation!J34,"Yes","No")</f>
        <v>Yes</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v>8</v>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Timberhill Township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5143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5143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20635</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18808</v>
      </c>
      <c r="F14" s="146"/>
      <c r="G14" s="37"/>
      <c r="H14" s="37"/>
      <c r="I14" s="149"/>
      <c r="J14" s="37"/>
    </row>
    <row r="15" spans="1:10" ht="15.75">
      <c r="A15" s="145"/>
      <c r="B15" s="18" t="s">
        <v>99</v>
      </c>
      <c r="C15" s="18" t="str">
        <f>CONCATENATE("Personal Property ",J1-2,"")</f>
        <v>Personal Property 2011</v>
      </c>
      <c r="D15" s="145" t="s">
        <v>95</v>
      </c>
      <c r="E15" s="41">
        <f>inputOth!E11</f>
        <v>30464</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20636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1324931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1304295</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0.01582157410708467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81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5224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5224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Timberhill Township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5143</v>
      </c>
      <c r="D11" s="123">
        <f>IF(E17=0,0,E17-D12-D13-D14)</f>
        <v>993</v>
      </c>
      <c r="E11" s="123">
        <f>IF(E19=0,0,E19-E12-E13-E14)</f>
        <v>12</v>
      </c>
      <c r="F11" s="123">
        <f>IF(E21=0,0,E21-F12-F13-F14)</f>
        <v>52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5143</v>
      </c>
      <c r="D15" s="130">
        <f>SUM(D11:D14)</f>
        <v>993</v>
      </c>
      <c r="E15" s="130">
        <f>SUM(E11:E14)</f>
        <v>12</v>
      </c>
      <c r="F15" s="203">
        <f>SUM(F11:F14)</f>
        <v>52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993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52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0.19307797005638733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0.00233326852031888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0.010110830254715146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Timberhill Township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2012-07-18T20:21:21Z</cp:lastPrinted>
  <dcterms:created xsi:type="dcterms:W3CDTF">1999-08-06T13:59:57Z</dcterms:created>
  <dcterms:modified xsi:type="dcterms:W3CDTF">2012-07-18T20:21:24Z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